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'молоко'!$A$1:$K$21</definedName>
    <definedName name="_xlnm.Print_Area" localSheetId="9">'мясо'!$A$1:$K$23</definedName>
    <definedName name="_xlnm.Print_Area" localSheetId="7">'на 100 га'!$A$1:$F$17</definedName>
    <definedName name="_xlnm.Print_Area" localSheetId="0">'пало1'!$A$1:$T$23</definedName>
    <definedName name="_xlnm.Print_Area" localSheetId="1">'привес'!$A$1:$T$23</definedName>
    <definedName name="_xlnm.Print_Area" localSheetId="4">'приплод 2'!$A$1:$P$13</definedName>
    <definedName name="_xlnm.Print_Area" localSheetId="3">'численность 1'!$A$1:$U$23</definedName>
    <definedName name="_xlnm.Print_Area" localSheetId="2">'численность 2'!$A$1:$M$23</definedName>
  </definedNames>
  <calcPr fullCalcOnLoad="1"/>
</workbook>
</file>

<file path=xl/sharedStrings.xml><?xml version="1.0" encoding="utf-8"?>
<sst xmlns="http://schemas.openxmlformats.org/spreadsheetml/2006/main" count="305" uniqueCount="120">
  <si>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</si>
  <si>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</si>
  <si>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</si>
  <si>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</si>
  <si>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</si>
  <si>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</si>
  <si>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</si>
  <si>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</si>
  <si>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</si>
  <si>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</si>
  <si>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</si>
  <si>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</si>
  <si>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</si>
  <si>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</si>
  <si>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</si>
  <si>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</si>
  <si>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</si>
  <si>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</si>
  <si>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</si>
  <si>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</si>
  <si>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</si>
  <si>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</si>
  <si>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</si>
  <si>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</si>
  <si>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</si>
  <si>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</si>
  <si>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</si>
  <si>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</si>
  <si>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</si>
  <si>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</si>
  <si>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</si>
  <si>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</si>
  <si>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</si>
  <si>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</si>
  <si>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</si>
  <si>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</si>
  <si>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</si>
  <si>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</si>
  <si>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</si>
  <si>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</si>
  <si>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</si>
  <si>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</si>
  <si>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</si>
  <si>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</si>
  <si>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</si>
  <si>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</si>
  <si>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</si>
  <si>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</si>
  <si>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</si>
  <si>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</si>
  <si>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</si>
  <si>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</si>
  <si>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</si>
  <si>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</si>
  <si>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</si>
  <si>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</si>
  <si>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</si>
  <si>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</si>
  <si>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</si>
  <si>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</si>
  <si>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</si>
  <si>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</si>
  <si>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</si>
  <si>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</si>
  <si>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</si>
  <si>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</si>
  <si>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</si>
  <si>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</si>
  <si>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</si>
  <si>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</si>
  <si>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</si>
  <si>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</si>
  <si>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</si>
  <si>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</si>
  <si>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</si>
  <si>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</si>
  <si>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</si>
  <si>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</si>
  <si>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</si>
  <si>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</si>
  <si>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</si>
  <si>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</si>
  <si>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</si>
  <si>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</si>
  <si>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</si>
  <si>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</si>
  <si>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</si>
  <si>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</si>
  <si>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</si>
  <si>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</si>
  <si>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</si>
  <si>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</si>
  <si>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</si>
  <si>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</si>
  <si>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</si>
  <si>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</si>
  <si>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</si>
  <si>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</si>
  <si>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</si>
  <si>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</si>
  <si>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</si>
  <si>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</si>
  <si>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</si>
  <si>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</si>
  <si>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</si>
  <si>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</si>
  <si>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Численность скота по Ибресинскому району на 1.02.2012 г., (голов)</t>
  </si>
  <si>
    <t xml:space="preserve">                      </t>
  </si>
  <si>
    <t>Поступление приплода (поросят) за январь 2012 года по Ибресинкому  району</t>
  </si>
  <si>
    <t>Случено и осеменено за январь 2012 года по Ибресинскому району</t>
  </si>
  <si>
    <t>с 20110 г.</t>
  </si>
  <si>
    <t>Поступление приплода (телят) за январь 2012 года по Ибресинскому  району</t>
  </si>
  <si>
    <t xml:space="preserve">    Производство мяса и молока на 100 га с/х угодий</t>
  </si>
  <si>
    <t xml:space="preserve">   Производство мяса за январь 2012 года по Ибресинскому району </t>
  </si>
  <si>
    <t>Производство молока за  январь 2012 года по Ибресинскому району</t>
  </si>
  <si>
    <t xml:space="preserve">по Ибресинскому району за январь 2012 год 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</si>
  <si>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1.01.2012 г., (голов)</t>
    </r>
  </si>
  <si>
    <t>Показатели получения привесов за январь 2012 года по Ибресинскому району</t>
  </si>
  <si>
    <t>Пало, погибло, куплено и продано  сельскохозяйственных животных за январь 2012 год по Ибресинскому.р-ну</t>
  </si>
  <si>
    <t>разница с 2011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</si>
</sst>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1" sqref="M11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29" t="s">
        <v>118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0" s="20" customFormat="1" ht="18.75" customHeight="1">
      <c r="A3" s="34" t="s">
        <v>2</v>
      </c>
      <c r="B3" s="23" t="s">
        <v>3</v>
      </c>
      <c r="C3" s="130" t="s">
        <v>38</v>
      </c>
      <c r="D3" s="131"/>
      <c r="E3" s="132"/>
      <c r="F3" s="130" t="s">
        <v>52</v>
      </c>
      <c r="G3" s="131"/>
      <c r="H3" s="132"/>
      <c r="I3" s="99"/>
      <c r="J3" s="104" t="s">
        <v>40</v>
      </c>
      <c r="K3" s="104"/>
      <c r="L3" s="104"/>
      <c r="M3" s="106"/>
      <c r="N3" s="106"/>
      <c r="O3" s="106"/>
      <c r="P3" s="106"/>
      <c r="Q3" s="99"/>
      <c r="R3" s="104" t="s">
        <v>41</v>
      </c>
      <c r="S3" s="104"/>
      <c r="T3" s="103"/>
    </row>
    <row r="4" spans="1:20" s="20" customFormat="1" ht="18.75" customHeight="1">
      <c r="A4" s="39"/>
      <c r="B4" s="33"/>
      <c r="C4" s="133">
        <v>2011</v>
      </c>
      <c r="D4" s="133">
        <v>2012</v>
      </c>
      <c r="E4" s="108" t="s">
        <v>39</v>
      </c>
      <c r="F4" s="133">
        <v>2011</v>
      </c>
      <c r="G4" s="133">
        <v>2012</v>
      </c>
      <c r="H4" s="108" t="s">
        <v>39</v>
      </c>
      <c r="I4" s="135" t="s">
        <v>86</v>
      </c>
      <c r="J4" s="136"/>
      <c r="K4" s="135" t="s">
        <v>84</v>
      </c>
      <c r="L4" s="136"/>
      <c r="M4" s="135" t="s">
        <v>80</v>
      </c>
      <c r="N4" s="136"/>
      <c r="O4" s="135" t="s">
        <v>81</v>
      </c>
      <c r="P4" s="136"/>
      <c r="Q4" s="135" t="s">
        <v>83</v>
      </c>
      <c r="R4" s="136"/>
      <c r="S4" s="135" t="s">
        <v>84</v>
      </c>
      <c r="T4" s="136"/>
    </row>
    <row r="5" spans="1:20" s="20" customFormat="1" ht="18.75" customHeight="1">
      <c r="A5" s="30"/>
      <c r="B5" s="29"/>
      <c r="C5" s="134"/>
      <c r="D5" s="134"/>
      <c r="E5" s="109" t="s">
        <v>105</v>
      </c>
      <c r="F5" s="134"/>
      <c r="G5" s="134"/>
      <c r="H5" s="109" t="s">
        <v>105</v>
      </c>
      <c r="I5" s="110">
        <v>2011</v>
      </c>
      <c r="J5" s="111">
        <v>2012</v>
      </c>
      <c r="K5" s="110">
        <v>2011</v>
      </c>
      <c r="L5" s="111">
        <v>2012</v>
      </c>
      <c r="M5" s="110">
        <v>2011</v>
      </c>
      <c r="N5" s="111">
        <v>2012</v>
      </c>
      <c r="O5" s="110">
        <v>2011</v>
      </c>
      <c r="P5" s="111">
        <v>2012</v>
      </c>
      <c r="Q5" s="110">
        <v>2011</v>
      </c>
      <c r="R5" s="111">
        <v>2012</v>
      </c>
      <c r="S5" s="110">
        <v>2011</v>
      </c>
      <c r="T5" s="111">
        <v>2012</v>
      </c>
    </row>
    <row r="6" spans="1:20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56</v>
      </c>
      <c r="C7" s="3">
        <v>1</v>
      </c>
      <c r="D7" s="3"/>
      <c r="E7" s="11">
        <f t="shared" si="0"/>
        <v>-1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6</v>
      </c>
      <c r="R8" s="3"/>
      <c r="S8" s="3"/>
      <c r="T8" s="3"/>
    </row>
    <row r="9" spans="1:20" s="20" customFormat="1" ht="12.75" customHeight="1">
      <c r="A9" s="31">
        <v>4</v>
      </c>
      <c r="B9" s="22" t="s">
        <v>58</v>
      </c>
      <c r="C9" s="3">
        <v>1</v>
      </c>
      <c r="D9" s="3">
        <v>2</v>
      </c>
      <c r="E9" s="11">
        <f t="shared" si="0"/>
        <v>1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/>
      <c r="T9" s="3">
        <v>6</v>
      </c>
    </row>
    <row r="10" spans="1:20" s="20" customFormat="1" ht="13.5" customHeight="1">
      <c r="A10" s="31">
        <v>5</v>
      </c>
      <c r="B10" s="94" t="s">
        <v>59</v>
      </c>
      <c r="C10" s="3"/>
      <c r="D10" s="3"/>
      <c r="E10" s="11">
        <f t="shared" si="0"/>
        <v>0</v>
      </c>
      <c r="F10" s="3">
        <v>2</v>
      </c>
      <c r="G10" s="3">
        <v>6</v>
      </c>
      <c r="H10" s="3">
        <f>G10-F10</f>
        <v>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3</v>
      </c>
      <c r="T10" s="3"/>
    </row>
    <row r="11" spans="1:20" s="20" customFormat="1" ht="12.75" customHeight="1">
      <c r="A11" s="31">
        <v>6</v>
      </c>
      <c r="B11" s="32" t="s">
        <v>73</v>
      </c>
      <c r="C11" s="3"/>
      <c r="D11" s="3"/>
      <c r="E11" s="11">
        <f t="shared" si="0"/>
        <v>0</v>
      </c>
      <c r="F11" s="3"/>
      <c r="G11" s="3"/>
      <c r="H11" s="3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20" customFormat="1" ht="12.75" customHeight="1">
      <c r="A13" s="31">
        <v>8</v>
      </c>
      <c r="B13" s="32" t="s">
        <v>87</v>
      </c>
      <c r="C13" s="3"/>
      <c r="D13" s="3"/>
      <c r="E13" s="1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72</v>
      </c>
      <c r="C14" s="3"/>
      <c r="D14" s="3"/>
      <c r="E14" s="11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62</v>
      </c>
      <c r="C16" s="3"/>
      <c r="D16" s="3"/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69</v>
      </c>
      <c r="G17" s="3">
        <v>53</v>
      </c>
      <c r="H17" s="3">
        <f aca="true" t="shared" si="1" ref="H17:H23">G17-F17</f>
        <v>-16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2</v>
      </c>
      <c r="T17" s="3">
        <v>82</v>
      </c>
    </row>
    <row r="18" spans="1:20" s="20" customFormat="1" ht="12.75" customHeight="1">
      <c r="A18" s="31">
        <v>13</v>
      </c>
      <c r="B18" s="32" t="s">
        <v>71</v>
      </c>
      <c r="C18" s="3"/>
      <c r="D18" s="3"/>
      <c r="E18" s="11"/>
      <c r="F18" s="3"/>
      <c r="G18" s="3"/>
      <c r="H18" s="3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0" customFormat="1" ht="44.25" customHeight="1">
      <c r="A19" s="139" t="s">
        <v>103</v>
      </c>
      <c r="B19" s="140"/>
      <c r="C19" s="3">
        <f>SUM(C6:C18)</f>
        <v>2</v>
      </c>
      <c r="D19" s="3">
        <f>SUM(D6:D18)</f>
        <v>2</v>
      </c>
      <c r="E19" s="11">
        <f t="shared" si="0"/>
        <v>0</v>
      </c>
      <c r="F19" s="3">
        <f>SUM(F10:F18)</f>
        <v>71</v>
      </c>
      <c r="G19" s="3">
        <f>SUM(G10:G18)</f>
        <v>59</v>
      </c>
      <c r="H19" s="3">
        <f t="shared" si="1"/>
        <v>-12</v>
      </c>
      <c r="I19" s="3">
        <f>SUM(I6:I18)</f>
        <v>0</v>
      </c>
      <c r="J19" s="3">
        <f aca="true" t="shared" si="2" ref="J19:T19">SUM(J6:J18)</f>
        <v>0</v>
      </c>
      <c r="K19" s="3">
        <f t="shared" si="2"/>
        <v>2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6</v>
      </c>
      <c r="R19" s="3">
        <f t="shared" si="2"/>
        <v>0</v>
      </c>
      <c r="S19" s="3">
        <f t="shared" si="2"/>
        <v>5</v>
      </c>
      <c r="T19" s="3">
        <f t="shared" si="2"/>
        <v>88</v>
      </c>
    </row>
    <row r="20" spans="1:20" s="20" customFormat="1" ht="12.75" customHeight="1">
      <c r="A20" s="31">
        <v>1</v>
      </c>
      <c r="B20" s="32" t="s">
        <v>82</v>
      </c>
      <c r="C20" s="3"/>
      <c r="D20" s="3"/>
      <c r="E20" s="11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89"/>
      <c r="N20" s="3"/>
      <c r="O20" s="3"/>
      <c r="P20" s="3"/>
      <c r="Q20" s="3"/>
      <c r="R20" s="3"/>
      <c r="S20" s="113"/>
      <c r="T20" s="22"/>
    </row>
    <row r="21" spans="1:20" s="20" customFormat="1" ht="12.75" customHeight="1">
      <c r="A21" s="31">
        <v>2</v>
      </c>
      <c r="B21" s="32" t="s">
        <v>88</v>
      </c>
      <c r="C21" s="3"/>
      <c r="D21" s="3"/>
      <c r="E21" s="11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89"/>
      <c r="N21" s="3"/>
      <c r="O21" s="3"/>
      <c r="P21" s="3"/>
      <c r="Q21" s="3"/>
      <c r="R21" s="3"/>
      <c r="S21" s="113"/>
      <c r="T21" s="22"/>
    </row>
    <row r="22" spans="1:20" s="20" customFormat="1" ht="30" customHeight="1">
      <c r="A22" s="141" t="s">
        <v>90</v>
      </c>
      <c r="B22" s="142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T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0</v>
      </c>
    </row>
    <row r="23" spans="1:20" s="20" customFormat="1" ht="37.5" customHeight="1">
      <c r="A23" s="137" t="s">
        <v>91</v>
      </c>
      <c r="B23" s="138"/>
      <c r="C23" s="3">
        <f>C22+C19</f>
        <v>2</v>
      </c>
      <c r="D23" s="3">
        <f>D22+D19</f>
        <v>2</v>
      </c>
      <c r="E23" s="11">
        <f>D23-C23</f>
        <v>0</v>
      </c>
      <c r="F23" s="3">
        <f>F22+F19</f>
        <v>71</v>
      </c>
      <c r="G23" s="3">
        <f>G22+G19</f>
        <v>59</v>
      </c>
      <c r="H23" s="3">
        <f t="shared" si="1"/>
        <v>-12</v>
      </c>
      <c r="I23" s="3">
        <f aca="true" t="shared" si="4" ref="I23:T23">I22+I19</f>
        <v>0</v>
      </c>
      <c r="J23" s="3">
        <f t="shared" si="4"/>
        <v>0</v>
      </c>
      <c r="K23" s="3">
        <f t="shared" si="4"/>
        <v>2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6</v>
      </c>
      <c r="R23" s="3">
        <f t="shared" si="4"/>
        <v>0</v>
      </c>
      <c r="S23" s="3">
        <f t="shared" si="4"/>
        <v>5</v>
      </c>
      <c r="T23" s="3">
        <f t="shared" si="4"/>
        <v>88</v>
      </c>
    </row>
    <row r="24" ht="14.25">
      <c r="B24" s="73"/>
    </row>
  </sheetData>
  <sheetProtection/>
  <mergeCells count="16">
    <mergeCell ref="Q4:R4"/>
    <mergeCell ref="S4:T4"/>
    <mergeCell ref="I4:J4"/>
    <mergeCell ref="K4:L4"/>
    <mergeCell ref="A23:B23"/>
    <mergeCell ref="A19:B19"/>
    <mergeCell ref="A22:B22"/>
    <mergeCell ref="C1:R1"/>
    <mergeCell ref="F3:H3"/>
    <mergeCell ref="C3:E3"/>
    <mergeCell ref="C4:C5"/>
    <mergeCell ref="D4:D5"/>
    <mergeCell ref="F4:F5"/>
    <mergeCell ref="G4:G5"/>
    <mergeCell ref="M4:N4"/>
    <mergeCell ref="O4:P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5" zoomScaleNormal="65" zoomScaleSheetLayoutView="75" zoomScalePageLayoutView="0" workbookViewId="0" topLeftCell="A1">
      <selection activeCell="F32" sqref="F32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6" t="s">
        <v>113</v>
      </c>
      <c r="D1" s="96"/>
      <c r="E1" s="96"/>
      <c r="F1" s="96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6" t="s">
        <v>2</v>
      </c>
      <c r="B3" s="206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07"/>
      <c r="B4" s="207"/>
      <c r="C4" s="18">
        <v>2011</v>
      </c>
      <c r="D4" s="19">
        <v>2012</v>
      </c>
      <c r="E4" s="19" t="s">
        <v>97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08"/>
      <c r="B5" s="208"/>
      <c r="C5" s="40"/>
      <c r="D5" s="11"/>
      <c r="E5" s="11" t="s">
        <v>98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6</v>
      </c>
      <c r="D6" s="83">
        <v>3.5</v>
      </c>
      <c r="E6" s="82">
        <f aca="true" t="shared" si="0" ref="E6:E23">D6*100/C6</f>
        <v>58.333333333333336</v>
      </c>
      <c r="F6" s="83">
        <v>6</v>
      </c>
      <c r="G6" s="83">
        <v>3.5</v>
      </c>
      <c r="H6" s="83"/>
      <c r="I6" s="83"/>
      <c r="J6" s="83"/>
      <c r="K6" s="83"/>
      <c r="L6" s="20"/>
      <c r="M6" s="20"/>
    </row>
    <row r="7" spans="1:13" ht="16.5">
      <c r="A7" s="31">
        <v>2</v>
      </c>
      <c r="B7" s="31" t="s">
        <v>56</v>
      </c>
      <c r="C7" s="121">
        <v>2.3</v>
      </c>
      <c r="D7" s="83"/>
      <c r="E7" s="82">
        <f t="shared" si="0"/>
        <v>0</v>
      </c>
      <c r="F7" s="83">
        <v>2.3</v>
      </c>
      <c r="G7" s="83"/>
      <c r="H7" s="83"/>
      <c r="I7" s="83"/>
      <c r="J7" s="83"/>
      <c r="K7" s="83"/>
      <c r="L7" s="20"/>
      <c r="M7" s="20"/>
    </row>
    <row r="8" spans="1:13" ht="16.5">
      <c r="A8" s="31">
        <v>3</v>
      </c>
      <c r="B8" s="31" t="s">
        <v>57</v>
      </c>
      <c r="C8" s="83">
        <v>1.3</v>
      </c>
      <c r="D8" s="83">
        <v>1.2</v>
      </c>
      <c r="E8" s="82">
        <f t="shared" si="0"/>
        <v>92.3076923076923</v>
      </c>
      <c r="F8" s="83">
        <v>1.3</v>
      </c>
      <c r="G8" s="83">
        <v>1.2</v>
      </c>
      <c r="H8" s="83"/>
      <c r="I8" s="83"/>
      <c r="J8" s="83"/>
      <c r="K8" s="83"/>
      <c r="L8" s="20"/>
      <c r="M8" s="20"/>
    </row>
    <row r="9" spans="1:13" ht="16.5">
      <c r="A9" s="31">
        <v>4</v>
      </c>
      <c r="B9" s="41" t="s">
        <v>58</v>
      </c>
      <c r="C9" s="83">
        <v>13.8</v>
      </c>
      <c r="D9" s="83">
        <v>3.1</v>
      </c>
      <c r="E9" s="82">
        <f t="shared" si="0"/>
        <v>22.463768115942027</v>
      </c>
      <c r="F9" s="83">
        <v>13.2</v>
      </c>
      <c r="G9" s="83">
        <v>2.9</v>
      </c>
      <c r="H9" s="83">
        <v>0.2</v>
      </c>
      <c r="I9" s="83">
        <v>0.2</v>
      </c>
      <c r="J9" s="83">
        <v>0.4</v>
      </c>
      <c r="K9" s="83"/>
      <c r="L9" s="20"/>
      <c r="M9" s="20"/>
    </row>
    <row r="10" spans="1:13" ht="16.5">
      <c r="A10" s="31">
        <v>5</v>
      </c>
      <c r="B10" s="31" t="s">
        <v>59</v>
      </c>
      <c r="C10" s="121">
        <v>5.6</v>
      </c>
      <c r="D10" s="83">
        <v>12.6</v>
      </c>
      <c r="E10" s="82">
        <f t="shared" si="0"/>
        <v>225.00000000000003</v>
      </c>
      <c r="F10" s="83">
        <v>1</v>
      </c>
      <c r="G10" s="83">
        <v>11</v>
      </c>
      <c r="H10" s="83">
        <v>2.2</v>
      </c>
      <c r="I10" s="83">
        <v>1.6</v>
      </c>
      <c r="J10" s="83">
        <v>2.4</v>
      </c>
      <c r="K10" s="83"/>
      <c r="L10" s="20"/>
      <c r="M10" s="20"/>
    </row>
    <row r="11" spans="1:13" ht="16.5">
      <c r="A11" s="31">
        <v>6</v>
      </c>
      <c r="B11" s="32" t="s">
        <v>73</v>
      </c>
      <c r="C11" s="83">
        <v>1.5</v>
      </c>
      <c r="D11" s="121">
        <v>0.8</v>
      </c>
      <c r="E11" s="82">
        <f t="shared" si="0"/>
        <v>53.333333333333336</v>
      </c>
      <c r="F11" s="84">
        <v>1.5</v>
      </c>
      <c r="G11" s="84">
        <v>0.8</v>
      </c>
      <c r="H11" s="84"/>
      <c r="I11" s="84"/>
      <c r="J11" s="84"/>
      <c r="K11" s="84"/>
      <c r="L11" s="20"/>
      <c r="M11" s="20"/>
    </row>
    <row r="12" spans="1:13" ht="16.5">
      <c r="A12" s="31">
        <v>7</v>
      </c>
      <c r="B12" s="32" t="s">
        <v>60</v>
      </c>
      <c r="C12" s="83"/>
      <c r="D12" s="83"/>
      <c r="E12" s="82"/>
      <c r="F12" s="84"/>
      <c r="G12" s="84"/>
      <c r="H12" s="84"/>
      <c r="I12" s="84"/>
      <c r="J12" s="84"/>
      <c r="K12" s="84"/>
      <c r="L12" s="20"/>
      <c r="M12" s="20"/>
    </row>
    <row r="13" spans="1:13" ht="16.5">
      <c r="A13" s="31">
        <v>8</v>
      </c>
      <c r="B13" s="32" t="s">
        <v>87</v>
      </c>
      <c r="C13" s="83"/>
      <c r="D13" s="83">
        <v>6</v>
      </c>
      <c r="E13" s="82"/>
      <c r="F13" s="84"/>
      <c r="G13" s="84">
        <v>6</v>
      </c>
      <c r="H13" s="84"/>
      <c r="I13" s="84"/>
      <c r="J13" s="84"/>
      <c r="K13" s="84"/>
      <c r="L13" s="20"/>
      <c r="M13" s="20"/>
    </row>
    <row r="14" spans="1:13" ht="16.5">
      <c r="A14" s="31">
        <v>9</v>
      </c>
      <c r="B14" s="32" t="s">
        <v>72</v>
      </c>
      <c r="C14" s="83">
        <v>1.8</v>
      </c>
      <c r="D14" s="83">
        <v>0.22</v>
      </c>
      <c r="E14" s="82">
        <f t="shared" si="0"/>
        <v>12.222222222222221</v>
      </c>
      <c r="F14" s="84">
        <v>1.8</v>
      </c>
      <c r="G14" s="84"/>
      <c r="H14" s="84"/>
      <c r="I14" s="84"/>
      <c r="J14" s="84"/>
      <c r="K14" s="84">
        <v>0.22</v>
      </c>
      <c r="L14" s="20"/>
      <c r="M14" s="20"/>
    </row>
    <row r="15" spans="1:13" ht="16.5">
      <c r="A15" s="31">
        <v>10</v>
      </c>
      <c r="B15" s="32" t="s">
        <v>61</v>
      </c>
      <c r="C15" s="83">
        <v>0.3</v>
      </c>
      <c r="D15" s="83"/>
      <c r="E15" s="82">
        <f t="shared" si="0"/>
        <v>0</v>
      </c>
      <c r="F15" s="84">
        <v>0.3</v>
      </c>
      <c r="G15" s="84"/>
      <c r="H15" s="84"/>
      <c r="I15" s="84"/>
      <c r="J15" s="84"/>
      <c r="K15" s="84"/>
      <c r="L15" s="20"/>
      <c r="M15" s="20"/>
    </row>
    <row r="16" spans="1:13" ht="16.5">
      <c r="A16" s="31">
        <v>11</v>
      </c>
      <c r="B16" s="32" t="s">
        <v>62</v>
      </c>
      <c r="C16" s="83">
        <v>1.8</v>
      </c>
      <c r="D16" s="83">
        <v>0.4</v>
      </c>
      <c r="E16" s="82">
        <f t="shared" si="0"/>
        <v>22.22222222222222</v>
      </c>
      <c r="F16" s="84">
        <v>1.8</v>
      </c>
      <c r="G16" s="84">
        <v>0.4</v>
      </c>
      <c r="H16" s="84"/>
      <c r="I16" s="84"/>
      <c r="J16" s="84"/>
      <c r="K16" s="84"/>
      <c r="L16" s="20"/>
      <c r="M16" s="20"/>
    </row>
    <row r="17" spans="1:13" ht="16.5">
      <c r="A17" s="31">
        <v>12</v>
      </c>
      <c r="B17" s="32" t="s">
        <v>63</v>
      </c>
      <c r="C17" s="83">
        <v>61</v>
      </c>
      <c r="D17" s="83">
        <v>72</v>
      </c>
      <c r="E17" s="82">
        <f t="shared" si="0"/>
        <v>118.0327868852459</v>
      </c>
      <c r="F17" s="84"/>
      <c r="G17" s="84"/>
      <c r="H17" s="84">
        <v>61</v>
      </c>
      <c r="I17" s="84">
        <v>72</v>
      </c>
      <c r="J17" s="84"/>
      <c r="K17" s="84"/>
      <c r="L17" s="20"/>
      <c r="M17" s="20"/>
    </row>
    <row r="18" spans="1:13" ht="16.5">
      <c r="A18" s="31">
        <v>13</v>
      </c>
      <c r="B18" s="32" t="s">
        <v>71</v>
      </c>
      <c r="C18" s="83">
        <v>1</v>
      </c>
      <c r="D18" s="83"/>
      <c r="E18" s="82">
        <f t="shared" si="0"/>
        <v>0</v>
      </c>
      <c r="F18" s="84"/>
      <c r="G18" s="84"/>
      <c r="H18" s="84"/>
      <c r="I18" s="84"/>
      <c r="J18" s="84">
        <v>1</v>
      </c>
      <c r="K18" s="84"/>
      <c r="L18" s="20"/>
      <c r="M18" s="20"/>
    </row>
    <row r="19" spans="1:13" ht="46.5" customHeight="1">
      <c r="A19" s="209" t="s">
        <v>89</v>
      </c>
      <c r="B19" s="210"/>
      <c r="C19" s="83">
        <f>SUM(C6:C18)</f>
        <v>96.39999999999999</v>
      </c>
      <c r="D19" s="86">
        <f>SUM(D6:D18)</f>
        <v>99.82</v>
      </c>
      <c r="E19" s="82">
        <f t="shared" si="0"/>
        <v>103.54771784232366</v>
      </c>
      <c r="F19" s="84">
        <f aca="true" t="shared" si="1" ref="F19:K19">SUM(F6:F18)</f>
        <v>29.200000000000003</v>
      </c>
      <c r="G19" s="84">
        <f t="shared" si="1"/>
        <v>25.8</v>
      </c>
      <c r="H19" s="84">
        <f t="shared" si="1"/>
        <v>63.4</v>
      </c>
      <c r="I19" s="84">
        <f t="shared" si="1"/>
        <v>73.8</v>
      </c>
      <c r="J19" s="84">
        <f t="shared" si="1"/>
        <v>3.8</v>
      </c>
      <c r="K19" s="84">
        <f t="shared" si="1"/>
        <v>0.22</v>
      </c>
      <c r="L19" s="20"/>
      <c r="M19" s="20"/>
    </row>
    <row r="20" spans="1:13" ht="16.5">
      <c r="A20" s="31">
        <v>1</v>
      </c>
      <c r="B20" s="32" t="s">
        <v>82</v>
      </c>
      <c r="C20" s="83"/>
      <c r="D20" s="83"/>
      <c r="E20" s="82"/>
      <c r="F20" s="84"/>
      <c r="G20" s="84"/>
      <c r="H20" s="84"/>
      <c r="I20" s="84"/>
      <c r="J20" s="84"/>
      <c r="K20" s="84"/>
      <c r="L20" s="20"/>
      <c r="M20" s="20"/>
    </row>
    <row r="21" spans="1:13" ht="18">
      <c r="A21" s="31">
        <v>2</v>
      </c>
      <c r="B21" s="32" t="s">
        <v>88</v>
      </c>
      <c r="C21" s="83"/>
      <c r="D21" s="83"/>
      <c r="E21" s="82"/>
      <c r="F21" s="16"/>
      <c r="G21" s="84"/>
      <c r="H21" s="16"/>
      <c r="I21" s="84"/>
      <c r="J21" s="84"/>
      <c r="K21" s="84"/>
      <c r="L21" s="20"/>
      <c r="M21" s="20"/>
    </row>
    <row r="22" spans="1:13" ht="18">
      <c r="A22" s="211" t="s">
        <v>90</v>
      </c>
      <c r="B22" s="212"/>
      <c r="C22" s="83">
        <f>SUM(C20:C21)</f>
        <v>0</v>
      </c>
      <c r="D22" s="83">
        <f>SUM(D20:D21)</f>
        <v>0</v>
      </c>
      <c r="E22" s="82"/>
      <c r="F22" s="16">
        <f aca="true" t="shared" si="2" ref="F22:K22">SUM(F20:F21)</f>
        <v>0</v>
      </c>
      <c r="G22" s="84">
        <f t="shared" si="2"/>
        <v>0</v>
      </c>
      <c r="H22" s="16">
        <f t="shared" si="2"/>
        <v>0</v>
      </c>
      <c r="I22" s="84">
        <f t="shared" si="2"/>
        <v>0</v>
      </c>
      <c r="J22" s="84">
        <f t="shared" si="2"/>
        <v>0</v>
      </c>
      <c r="K22" s="84">
        <f t="shared" si="2"/>
        <v>0</v>
      </c>
      <c r="L22" s="20"/>
      <c r="M22" s="20"/>
    </row>
    <row r="23" spans="1:13" ht="16.5">
      <c r="A23" s="204" t="s">
        <v>91</v>
      </c>
      <c r="B23" s="205"/>
      <c r="C23" s="86">
        <f>C19+C22</f>
        <v>96.39999999999999</v>
      </c>
      <c r="D23" s="86">
        <f>D19+D22</f>
        <v>99.82</v>
      </c>
      <c r="E23" s="82">
        <f t="shared" si="0"/>
        <v>103.54771784232366</v>
      </c>
      <c r="F23" s="85">
        <f>F19+F22</f>
        <v>29.200000000000003</v>
      </c>
      <c r="G23" s="85">
        <f>G19+G22</f>
        <v>25.8</v>
      </c>
      <c r="H23" s="85">
        <f>H19+H22</f>
        <v>63.4</v>
      </c>
      <c r="I23" s="85">
        <f>I19+I22</f>
        <v>73.8</v>
      </c>
      <c r="J23" s="85">
        <f>J19+J22</f>
        <v>3.8</v>
      </c>
      <c r="K23" s="85">
        <f>K19+K22</f>
        <v>0.22</v>
      </c>
      <c r="L23" s="20"/>
      <c r="M23" s="20"/>
    </row>
  </sheetData>
  <sheetProtection/>
  <mergeCells count="5">
    <mergeCell ref="A23:B23"/>
    <mergeCell ref="A3:A5"/>
    <mergeCell ref="B3:B5"/>
    <mergeCell ref="A19:B19"/>
    <mergeCell ref="A22:B22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N8" sqref="N8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6"/>
      <c r="E4" s="106"/>
      <c r="F4" s="104"/>
      <c r="G4" s="104"/>
      <c r="H4" s="107"/>
      <c r="I4" s="99" t="s">
        <v>46</v>
      </c>
      <c r="J4" s="104"/>
      <c r="K4" s="106"/>
      <c r="L4" s="104"/>
      <c r="M4" s="104"/>
      <c r="N4" s="107"/>
      <c r="O4" s="99" t="s">
        <v>47</v>
      </c>
      <c r="P4" s="104"/>
      <c r="Q4" s="106"/>
      <c r="R4" s="104"/>
      <c r="S4" s="104"/>
      <c r="T4" s="107"/>
    </row>
    <row r="5" spans="1:20" ht="15" customHeight="1">
      <c r="A5" s="79" t="s">
        <v>2</v>
      </c>
      <c r="B5" s="33"/>
      <c r="C5" s="25" t="s">
        <v>48</v>
      </c>
      <c r="D5" s="104"/>
      <c r="E5" s="145" t="s">
        <v>104</v>
      </c>
      <c r="F5" s="99" t="s">
        <v>49</v>
      </c>
      <c r="G5" s="103"/>
      <c r="H5" s="145" t="s">
        <v>104</v>
      </c>
      <c r="I5" s="148" t="s">
        <v>48</v>
      </c>
      <c r="J5" s="148"/>
      <c r="K5" s="145" t="s">
        <v>104</v>
      </c>
      <c r="L5" s="148" t="s">
        <v>49</v>
      </c>
      <c r="M5" s="148"/>
      <c r="N5" s="145" t="s">
        <v>104</v>
      </c>
      <c r="O5" s="104" t="s">
        <v>48</v>
      </c>
      <c r="P5" s="104"/>
      <c r="Q5" s="145" t="s">
        <v>85</v>
      </c>
      <c r="R5" s="149" t="s">
        <v>49</v>
      </c>
      <c r="S5" s="150"/>
      <c r="T5" s="145" t="s">
        <v>104</v>
      </c>
    </row>
    <row r="6" spans="1:20" ht="15">
      <c r="A6" s="79" t="s">
        <v>70</v>
      </c>
      <c r="B6" s="33"/>
      <c r="C6" s="143">
        <v>2011</v>
      </c>
      <c r="D6" s="143">
        <v>2012</v>
      </c>
      <c r="E6" s="146"/>
      <c r="F6" s="143">
        <v>2011</v>
      </c>
      <c r="G6" s="143">
        <v>2012</v>
      </c>
      <c r="H6" s="146"/>
      <c r="I6" s="143">
        <v>2011</v>
      </c>
      <c r="J6" s="143">
        <v>2012</v>
      </c>
      <c r="K6" s="146"/>
      <c r="L6" s="143">
        <v>2011</v>
      </c>
      <c r="M6" s="143">
        <v>2012</v>
      </c>
      <c r="N6" s="146"/>
      <c r="O6" s="143">
        <v>2011</v>
      </c>
      <c r="P6" s="143">
        <v>2012</v>
      </c>
      <c r="Q6" s="146"/>
      <c r="R6" s="143">
        <v>2011</v>
      </c>
      <c r="S6" s="143">
        <v>2012</v>
      </c>
      <c r="T6" s="146"/>
    </row>
    <row r="7" spans="1:20" ht="15">
      <c r="A7" s="80"/>
      <c r="B7" s="29"/>
      <c r="C7" s="144"/>
      <c r="D7" s="144"/>
      <c r="E7" s="147"/>
      <c r="F7" s="144"/>
      <c r="G7" s="144"/>
      <c r="H7" s="147"/>
      <c r="I7" s="144"/>
      <c r="J7" s="144"/>
      <c r="K7" s="147"/>
      <c r="L7" s="144"/>
      <c r="M7" s="144"/>
      <c r="N7" s="147"/>
      <c r="O7" s="144"/>
      <c r="P7" s="144"/>
      <c r="Q7" s="147"/>
      <c r="R7" s="144"/>
      <c r="S7" s="144"/>
      <c r="T7" s="147"/>
    </row>
    <row r="8" spans="1:20" ht="15">
      <c r="A8" s="2">
        <v>1</v>
      </c>
      <c r="B8" s="22" t="s">
        <v>55</v>
      </c>
      <c r="C8" s="3">
        <v>23</v>
      </c>
      <c r="D8" s="3">
        <v>24</v>
      </c>
      <c r="E8" s="36">
        <f aca="true" t="shared" si="0" ref="E8:E18">D8/C8*100</f>
        <v>104.34782608695652</v>
      </c>
      <c r="F8" s="3"/>
      <c r="G8" s="3"/>
      <c r="H8" s="36"/>
      <c r="I8" s="3">
        <v>5878</v>
      </c>
      <c r="J8" s="3">
        <v>4564</v>
      </c>
      <c r="K8" s="36">
        <f>J8*100/I8</f>
        <v>77.6454576386526</v>
      </c>
      <c r="L8" s="3"/>
      <c r="M8" s="3"/>
      <c r="N8" s="36"/>
      <c r="O8" s="36">
        <f aca="true" t="shared" si="1" ref="O8:O18">C8/I8*100000</f>
        <v>391.28955427015995</v>
      </c>
      <c r="P8" s="36">
        <f aca="true" t="shared" si="2" ref="P8:P17">D8/J8*100000</f>
        <v>525.854513584575</v>
      </c>
      <c r="Q8" s="36">
        <f aca="true" t="shared" si="3" ref="Q8:Q18">P8/O8*100</f>
        <v>134.3901230804405</v>
      </c>
      <c r="R8" s="36"/>
      <c r="S8" s="36"/>
      <c r="T8" s="36"/>
    </row>
    <row r="9" spans="1:20" ht="15">
      <c r="A9" s="2">
        <v>2</v>
      </c>
      <c r="B9" s="22" t="s">
        <v>56</v>
      </c>
      <c r="C9" s="3">
        <v>4.92</v>
      </c>
      <c r="D9" s="3">
        <v>6.75</v>
      </c>
      <c r="E9" s="36">
        <f t="shared" si="0"/>
        <v>137.19512195121953</v>
      </c>
      <c r="F9" s="3"/>
      <c r="G9" s="3"/>
      <c r="H9" s="36"/>
      <c r="I9" s="3">
        <v>2084</v>
      </c>
      <c r="J9" s="3">
        <v>2902</v>
      </c>
      <c r="K9" s="36">
        <f aca="true" t="shared" si="4" ref="K9:K23">J9*100/I9</f>
        <v>139.25143953934742</v>
      </c>
      <c r="L9" s="3"/>
      <c r="M9" s="3"/>
      <c r="N9" s="36"/>
      <c r="O9" s="36">
        <f t="shared" si="1"/>
        <v>236.084452975048</v>
      </c>
      <c r="P9" s="36">
        <f t="shared" si="2"/>
        <v>232.59820813232253</v>
      </c>
      <c r="Q9" s="36">
        <f t="shared" si="3"/>
        <v>98.5233060462927</v>
      </c>
      <c r="R9" s="36"/>
      <c r="S9" s="36"/>
      <c r="T9" s="36"/>
    </row>
    <row r="10" spans="1:20" ht="15">
      <c r="A10" s="2">
        <v>3</v>
      </c>
      <c r="B10" s="37" t="s">
        <v>57</v>
      </c>
      <c r="C10" s="19">
        <v>10.3</v>
      </c>
      <c r="D10" s="19">
        <v>8.23</v>
      </c>
      <c r="E10" s="36">
        <f t="shared" si="0"/>
        <v>79.90291262135922</v>
      </c>
      <c r="F10" s="19"/>
      <c r="G10" s="19"/>
      <c r="H10" s="36"/>
      <c r="I10" s="3">
        <v>1240</v>
      </c>
      <c r="J10" s="3">
        <v>1217</v>
      </c>
      <c r="K10" s="36">
        <f t="shared" si="4"/>
        <v>98.14516129032258</v>
      </c>
      <c r="L10" s="19"/>
      <c r="M10" s="19"/>
      <c r="N10" s="88"/>
      <c r="O10" s="36">
        <f t="shared" si="1"/>
        <v>830.6451612903226</v>
      </c>
      <c r="P10" s="36">
        <f t="shared" si="2"/>
        <v>676.2530813475761</v>
      </c>
      <c r="Q10" s="36">
        <f t="shared" si="3"/>
        <v>81.41299231757226</v>
      </c>
      <c r="R10" s="88"/>
      <c r="S10" s="88"/>
      <c r="T10" s="88"/>
    </row>
    <row r="11" spans="1:20" ht="15">
      <c r="A11" s="2">
        <v>4</v>
      </c>
      <c r="B11" s="22" t="s">
        <v>58</v>
      </c>
      <c r="C11" s="3">
        <v>9</v>
      </c>
      <c r="D11" s="3">
        <v>40</v>
      </c>
      <c r="E11" s="36">
        <f t="shared" si="0"/>
        <v>444.44444444444446</v>
      </c>
      <c r="F11" s="3">
        <v>16</v>
      </c>
      <c r="G11" s="3">
        <v>19</v>
      </c>
      <c r="H11" s="36">
        <f>G11/F11*100</f>
        <v>118.75</v>
      </c>
      <c r="I11" s="3">
        <v>15109</v>
      </c>
      <c r="J11" s="3">
        <v>12617</v>
      </c>
      <c r="K11" s="36">
        <f t="shared" si="4"/>
        <v>83.50651929313653</v>
      </c>
      <c r="L11" s="3">
        <v>5146</v>
      </c>
      <c r="M11" s="3">
        <v>5611</v>
      </c>
      <c r="N11" s="36">
        <f>M11/L11*100</f>
        <v>109.03614457831326</v>
      </c>
      <c r="O11" s="36">
        <f t="shared" si="1"/>
        <v>59.56714541002052</v>
      </c>
      <c r="P11" s="36">
        <f t="shared" si="2"/>
        <v>317.0325750970912</v>
      </c>
      <c r="Q11" s="36">
        <f t="shared" si="3"/>
        <v>532.2272419046611</v>
      </c>
      <c r="R11" s="36">
        <f>F11/L11*100000</f>
        <v>310.9211037699184</v>
      </c>
      <c r="S11" s="36">
        <f>G11/M11*100000</f>
        <v>338.62056674389595</v>
      </c>
      <c r="T11" s="36">
        <f>S11/R11*100</f>
        <v>108.90883977900555</v>
      </c>
    </row>
    <row r="12" spans="1:20" ht="15">
      <c r="A12" s="2">
        <v>5</v>
      </c>
      <c r="B12" s="22" t="s">
        <v>59</v>
      </c>
      <c r="C12" s="89">
        <v>20</v>
      </c>
      <c r="D12" s="89">
        <v>27</v>
      </c>
      <c r="E12" s="90">
        <f t="shared" si="0"/>
        <v>135</v>
      </c>
      <c r="F12" s="89">
        <v>21</v>
      </c>
      <c r="G12" s="122">
        <v>2</v>
      </c>
      <c r="H12" s="124">
        <f>G12/F12*100</f>
        <v>9.523809523809524</v>
      </c>
      <c r="I12" s="122">
        <v>3644</v>
      </c>
      <c r="J12" s="122">
        <v>6292</v>
      </c>
      <c r="K12" s="124">
        <f t="shared" si="4"/>
        <v>172.66739846322722</v>
      </c>
      <c r="L12" s="122">
        <v>5659</v>
      </c>
      <c r="M12" s="122">
        <v>2570</v>
      </c>
      <c r="N12" s="36">
        <f>M12/L12*100</f>
        <v>45.414384166813925</v>
      </c>
      <c r="O12" s="36">
        <f t="shared" si="1"/>
        <v>548.8474204171241</v>
      </c>
      <c r="P12" s="36">
        <f t="shared" si="2"/>
        <v>429.11633820724734</v>
      </c>
      <c r="Q12" s="36">
        <f t="shared" si="3"/>
        <v>78.18499682136046</v>
      </c>
      <c r="R12" s="36">
        <f>F12/L12*100000</f>
        <v>371.0902986393356</v>
      </c>
      <c r="S12" s="36">
        <f>G12/M12*100000</f>
        <v>77.82101167315176</v>
      </c>
      <c r="T12" s="36">
        <f>S12/R12*100</f>
        <v>20.970909764684087</v>
      </c>
    </row>
    <row r="13" spans="1:20" ht="15">
      <c r="A13" s="2">
        <v>6</v>
      </c>
      <c r="B13" s="38" t="s">
        <v>73</v>
      </c>
      <c r="C13" s="89">
        <v>9.26</v>
      </c>
      <c r="D13" s="89">
        <v>25.28</v>
      </c>
      <c r="E13" s="90">
        <f t="shared" si="0"/>
        <v>273.00215982721386</v>
      </c>
      <c r="F13" s="89"/>
      <c r="G13" s="89"/>
      <c r="H13" s="90"/>
      <c r="I13" s="89">
        <v>4331</v>
      </c>
      <c r="J13" s="89">
        <v>3480</v>
      </c>
      <c r="K13" s="36">
        <f t="shared" si="4"/>
        <v>80.350958208266</v>
      </c>
      <c r="L13" s="89"/>
      <c r="M13" s="89"/>
      <c r="N13" s="90"/>
      <c r="O13" s="36">
        <f t="shared" si="1"/>
        <v>213.80743477256982</v>
      </c>
      <c r="P13" s="36">
        <f t="shared" si="2"/>
        <v>726.4367816091955</v>
      </c>
      <c r="Q13" s="36">
        <f t="shared" si="3"/>
        <v>339.762170750478</v>
      </c>
      <c r="R13" s="36"/>
      <c r="S13" s="36"/>
      <c r="T13" s="90"/>
    </row>
    <row r="14" spans="1:20" ht="15">
      <c r="A14" s="2">
        <v>7</v>
      </c>
      <c r="B14" s="38" t="s">
        <v>60</v>
      </c>
      <c r="C14" s="89">
        <v>7</v>
      </c>
      <c r="D14" s="89"/>
      <c r="E14" s="90">
        <f t="shared" si="0"/>
        <v>0</v>
      </c>
      <c r="F14" s="89"/>
      <c r="G14" s="89"/>
      <c r="H14" s="90"/>
      <c r="I14" s="89">
        <v>2666</v>
      </c>
      <c r="J14" s="89"/>
      <c r="K14" s="36">
        <f t="shared" si="4"/>
        <v>0</v>
      </c>
      <c r="L14" s="89"/>
      <c r="M14" s="89"/>
      <c r="N14" s="90"/>
      <c r="O14" s="36">
        <f t="shared" si="1"/>
        <v>262.5656414103526</v>
      </c>
      <c r="P14" s="36"/>
      <c r="Q14" s="90"/>
      <c r="R14" s="36"/>
      <c r="S14" s="3"/>
      <c r="T14" s="90"/>
    </row>
    <row r="15" spans="1:20" ht="15">
      <c r="A15" s="2">
        <v>8</v>
      </c>
      <c r="B15" s="32" t="s">
        <v>87</v>
      </c>
      <c r="C15" s="89"/>
      <c r="D15" s="89">
        <v>18</v>
      </c>
      <c r="E15" s="90"/>
      <c r="F15" s="89"/>
      <c r="G15" s="89"/>
      <c r="H15" s="90"/>
      <c r="I15" s="89"/>
      <c r="J15" s="89">
        <v>4231</v>
      </c>
      <c r="K15" s="36"/>
      <c r="L15" s="89"/>
      <c r="M15" s="89"/>
      <c r="N15" s="90"/>
      <c r="O15" s="36"/>
      <c r="P15" s="36">
        <f t="shared" si="2"/>
        <v>425.4313401087214</v>
      </c>
      <c r="Q15" s="90"/>
      <c r="R15" s="36"/>
      <c r="S15" s="3"/>
      <c r="T15" s="90"/>
    </row>
    <row r="16" spans="1:20" s="69" customFormat="1" ht="15">
      <c r="A16" s="2">
        <v>9</v>
      </c>
      <c r="B16" s="32" t="s">
        <v>72</v>
      </c>
      <c r="C16" s="91">
        <v>13.52</v>
      </c>
      <c r="D16" s="91">
        <v>9.63</v>
      </c>
      <c r="E16" s="92">
        <f t="shared" si="0"/>
        <v>71.22781065088758</v>
      </c>
      <c r="F16" s="91"/>
      <c r="G16" s="91"/>
      <c r="H16" s="92"/>
      <c r="I16" s="91">
        <v>2897</v>
      </c>
      <c r="J16" s="91">
        <v>4773</v>
      </c>
      <c r="K16" s="36">
        <f t="shared" si="4"/>
        <v>164.75664480497065</v>
      </c>
      <c r="L16" s="91"/>
      <c r="M16" s="91"/>
      <c r="N16" s="92"/>
      <c r="O16" s="36">
        <f t="shared" si="1"/>
        <v>466.68967897825337</v>
      </c>
      <c r="P16" s="36">
        <f t="shared" si="2"/>
        <v>201.75989943431804</v>
      </c>
      <c r="Q16" s="92">
        <f t="shared" si="3"/>
        <v>43.23213229742747</v>
      </c>
      <c r="R16" s="36"/>
      <c r="S16" s="36"/>
      <c r="T16" s="36"/>
    </row>
    <row r="17" spans="1:20" ht="15">
      <c r="A17" s="2">
        <v>10</v>
      </c>
      <c r="B17" s="38" t="s">
        <v>61</v>
      </c>
      <c r="C17" s="89">
        <v>1</v>
      </c>
      <c r="D17" s="89">
        <v>9.3</v>
      </c>
      <c r="E17" s="90">
        <f t="shared" si="0"/>
        <v>930.0000000000001</v>
      </c>
      <c r="F17" s="89"/>
      <c r="G17" s="89"/>
      <c r="H17" s="90"/>
      <c r="I17" s="89">
        <v>4351</v>
      </c>
      <c r="J17" s="89">
        <v>4371</v>
      </c>
      <c r="K17" s="36">
        <f t="shared" si="4"/>
        <v>100.45966444495518</v>
      </c>
      <c r="L17" s="89"/>
      <c r="M17" s="89"/>
      <c r="N17" s="90"/>
      <c r="O17" s="36">
        <f t="shared" si="1"/>
        <v>22.983222247759134</v>
      </c>
      <c r="P17" s="36">
        <f t="shared" si="2"/>
        <v>212.76595744680853</v>
      </c>
      <c r="Q17" s="90">
        <f t="shared" si="3"/>
        <v>925.744680851064</v>
      </c>
      <c r="R17" s="36"/>
      <c r="S17" s="36"/>
      <c r="T17" s="90"/>
    </row>
    <row r="18" spans="1:20" ht="15">
      <c r="A18" s="2">
        <v>11</v>
      </c>
      <c r="B18" s="38" t="s">
        <v>62</v>
      </c>
      <c r="C18" s="89">
        <v>4.9</v>
      </c>
      <c r="D18" s="89">
        <v>2.5</v>
      </c>
      <c r="E18" s="90">
        <f t="shared" si="0"/>
        <v>51.02040816326531</v>
      </c>
      <c r="F18" s="89"/>
      <c r="G18" s="89"/>
      <c r="H18" s="90"/>
      <c r="I18" s="89">
        <v>1550</v>
      </c>
      <c r="J18" s="89">
        <v>511</v>
      </c>
      <c r="K18" s="36">
        <f t="shared" si="4"/>
        <v>32.96774193548387</v>
      </c>
      <c r="L18" s="89"/>
      <c r="M18" s="89"/>
      <c r="N18" s="90"/>
      <c r="O18" s="36">
        <f t="shared" si="1"/>
        <v>316.12903225806457</v>
      </c>
      <c r="P18" s="36">
        <f>D18/J18*100000</f>
        <v>489.2367906066536</v>
      </c>
      <c r="Q18" s="90">
        <f t="shared" si="3"/>
        <v>154.75857662047204</v>
      </c>
      <c r="R18" s="36"/>
      <c r="S18" s="36"/>
      <c r="T18" s="90"/>
    </row>
    <row r="19" spans="1:20" ht="15">
      <c r="A19" s="2">
        <v>12</v>
      </c>
      <c r="B19" s="81" t="s">
        <v>63</v>
      </c>
      <c r="C19" s="89"/>
      <c r="D19" s="89"/>
      <c r="E19" s="90"/>
      <c r="F19" s="89">
        <v>748</v>
      </c>
      <c r="G19" s="89">
        <v>803</v>
      </c>
      <c r="H19" s="90">
        <f>G19/F19*100</f>
        <v>107.35294117647058</v>
      </c>
      <c r="I19" s="3"/>
      <c r="J19" s="89"/>
      <c r="K19" s="36"/>
      <c r="L19" s="89">
        <v>197332</v>
      </c>
      <c r="M19" s="89">
        <v>192427</v>
      </c>
      <c r="N19" s="90">
        <f>M19/L19*100</f>
        <v>97.51434131311699</v>
      </c>
      <c r="O19" s="36"/>
      <c r="P19" s="36"/>
      <c r="Q19" s="90"/>
      <c r="R19" s="36">
        <f aca="true" t="shared" si="5" ref="R19:S21">F19/L19*100000</f>
        <v>379.0566152474003</v>
      </c>
      <c r="S19" s="36">
        <f t="shared" si="5"/>
        <v>417.30110639359344</v>
      </c>
      <c r="T19" s="90">
        <f>S19/R19*100</f>
        <v>110.0893876027548</v>
      </c>
    </row>
    <row r="20" spans="1:20" ht="43.5" customHeight="1">
      <c r="A20" s="139" t="s">
        <v>103</v>
      </c>
      <c r="B20" s="140"/>
      <c r="C20" s="93">
        <f>SUM(C8:C19)</f>
        <v>102.9</v>
      </c>
      <c r="D20" s="3">
        <f>SUM(D8:D19)</f>
        <v>170.69</v>
      </c>
      <c r="E20" s="36">
        <f>D20/C20*100</f>
        <v>165.87949465500483</v>
      </c>
      <c r="F20" s="36">
        <f>SUM(F11:F19)</f>
        <v>785</v>
      </c>
      <c r="G20" s="3">
        <f>SUM(G11:G19)</f>
        <v>824</v>
      </c>
      <c r="H20" s="36">
        <f>G20/F20*100</f>
        <v>104.96815286624204</v>
      </c>
      <c r="I20" s="3">
        <f>SUM(I8:I19)</f>
        <v>43750</v>
      </c>
      <c r="J20" s="3">
        <f>SUM(J8:J19)</f>
        <v>44958</v>
      </c>
      <c r="K20" s="36">
        <f t="shared" si="4"/>
        <v>102.76114285714286</v>
      </c>
      <c r="L20" s="3">
        <f>SUM(L11:L19)</f>
        <v>208137</v>
      </c>
      <c r="M20" s="3">
        <f>SUM(M11:M19)</f>
        <v>200608</v>
      </c>
      <c r="N20" s="36">
        <f>M20/L20*100</f>
        <v>96.3826710291779</v>
      </c>
      <c r="O20" s="36">
        <f aca="true" t="shared" si="6" ref="O20:P23">C20/I20*100000</f>
        <v>235.2</v>
      </c>
      <c r="P20" s="36">
        <f t="shared" si="6"/>
        <v>379.66546554562035</v>
      </c>
      <c r="Q20" s="36">
        <f>P20/O20*100</f>
        <v>161.4223918136141</v>
      </c>
      <c r="R20" s="36">
        <f t="shared" si="5"/>
        <v>377.1554312784368</v>
      </c>
      <c r="S20" s="36">
        <f t="shared" si="5"/>
        <v>410.7513159993619</v>
      </c>
      <c r="T20" s="36">
        <f>S20/R20*100</f>
        <v>108.90770274924736</v>
      </c>
    </row>
    <row r="21" spans="1:20" ht="15">
      <c r="A21" s="2">
        <v>13</v>
      </c>
      <c r="B21" s="32" t="s">
        <v>82</v>
      </c>
      <c r="C21" s="98"/>
      <c r="D21" s="89"/>
      <c r="E21" s="36"/>
      <c r="F21" s="89"/>
      <c r="G21" s="89">
        <v>7.5</v>
      </c>
      <c r="H21" s="36"/>
      <c r="I21" s="3"/>
      <c r="J21" s="89"/>
      <c r="K21" s="36"/>
      <c r="L21" s="89"/>
      <c r="M21" s="89">
        <v>3007</v>
      </c>
      <c r="N21" s="90"/>
      <c r="O21" s="36"/>
      <c r="P21" s="36"/>
      <c r="Q21" s="36"/>
      <c r="R21" s="36"/>
      <c r="S21" s="36">
        <f t="shared" si="5"/>
        <v>249.4180246092451</v>
      </c>
      <c r="T21" s="36"/>
    </row>
    <row r="22" spans="1:20" ht="18" customHeight="1">
      <c r="A22" s="141" t="s">
        <v>90</v>
      </c>
      <c r="B22" s="142"/>
      <c r="C22" s="89"/>
      <c r="D22" s="89"/>
      <c r="E22" s="36"/>
      <c r="F22" s="89"/>
      <c r="G22" s="89">
        <f>SUM(G21)</f>
        <v>7.5</v>
      </c>
      <c r="H22" s="36"/>
      <c r="I22" s="3"/>
      <c r="J22" s="89"/>
      <c r="K22" s="36"/>
      <c r="L22" s="89"/>
      <c r="M22" s="89">
        <f>SUM(M21)</f>
        <v>3007</v>
      </c>
      <c r="N22" s="90"/>
      <c r="O22" s="36"/>
      <c r="P22" s="36"/>
      <c r="Q22" s="36"/>
      <c r="R22" s="36"/>
      <c r="S22" s="36">
        <f>G22/M22*100000</f>
        <v>249.4180246092451</v>
      </c>
      <c r="T22" s="36"/>
    </row>
    <row r="23" spans="1:20" ht="36.75" customHeight="1">
      <c r="A23" s="137" t="s">
        <v>91</v>
      </c>
      <c r="B23" s="138"/>
      <c r="C23" s="90">
        <f>C20+C22</f>
        <v>102.9</v>
      </c>
      <c r="D23" s="90">
        <f>D20+D22</f>
        <v>170.69</v>
      </c>
      <c r="E23" s="36">
        <f>D23/C23*100</f>
        <v>165.87949465500483</v>
      </c>
      <c r="F23" s="90">
        <f>F20+F22</f>
        <v>785</v>
      </c>
      <c r="G23" s="90">
        <f>G20+G22</f>
        <v>831.5</v>
      </c>
      <c r="H23" s="36">
        <f>G23/F23*100</f>
        <v>105.9235668789809</v>
      </c>
      <c r="I23" s="90">
        <f>I20+I22</f>
        <v>43750</v>
      </c>
      <c r="J23" s="90">
        <f>J20+J22</f>
        <v>44958</v>
      </c>
      <c r="K23" s="36">
        <f t="shared" si="4"/>
        <v>102.76114285714286</v>
      </c>
      <c r="L23" s="90">
        <f>L20+L22</f>
        <v>208137</v>
      </c>
      <c r="M23" s="90">
        <f>M20+M22</f>
        <v>203615</v>
      </c>
      <c r="N23" s="90"/>
      <c r="O23" s="36">
        <f t="shared" si="6"/>
        <v>235.2</v>
      </c>
      <c r="P23" s="36">
        <f t="shared" si="6"/>
        <v>379.66546554562035</v>
      </c>
      <c r="Q23" s="36">
        <f>P23/O23*100</f>
        <v>161.4223918136141</v>
      </c>
      <c r="R23" s="36">
        <f>F23/L23*100000</f>
        <v>377.1554312784368</v>
      </c>
      <c r="S23" s="36">
        <f>G23/M23*100000</f>
        <v>408.36873511283545</v>
      </c>
      <c r="T23" s="36">
        <f>S23/R23*100</f>
        <v>108.27597887921047</v>
      </c>
    </row>
  </sheetData>
  <sheetProtection/>
  <mergeCells count="24">
    <mergeCell ref="J6:J7"/>
    <mergeCell ref="S6:S7"/>
    <mergeCell ref="F6:F7"/>
    <mergeCell ref="I6:I7"/>
    <mergeCell ref="K5:K7"/>
    <mergeCell ref="E5:E7"/>
    <mergeCell ref="I5:J5"/>
    <mergeCell ref="P6:P7"/>
    <mergeCell ref="A23:B23"/>
    <mergeCell ref="T5:T7"/>
    <mergeCell ref="L5:M5"/>
    <mergeCell ref="R5:S5"/>
    <mergeCell ref="L6:L7"/>
    <mergeCell ref="M6:M7"/>
    <mergeCell ref="G6:G7"/>
    <mergeCell ref="H5:H7"/>
    <mergeCell ref="A20:B20"/>
    <mergeCell ref="A22:B22"/>
    <mergeCell ref="R6:R7"/>
    <mergeCell ref="O6:O7"/>
    <mergeCell ref="Q5:Q7"/>
    <mergeCell ref="N5:N7"/>
    <mergeCell ref="C6:C7"/>
    <mergeCell ref="D6:D7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50" zoomScaleSheetLayoutView="75" zoomScalePageLayoutView="0" workbookViewId="0" topLeftCell="A1">
      <selection activeCell="I23" sqref="I23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13.75390625" style="0" customWidth="1"/>
    <col min="12" max="12" width="14.375" style="0" customWidth="1"/>
    <col min="13" max="13" width="9.125" style="72" customWidth="1"/>
  </cols>
  <sheetData>
    <row r="1" ht="15.75">
      <c r="C1" s="1" t="s">
        <v>116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51</v>
      </c>
      <c r="E3" s="27"/>
      <c r="F3" s="155" t="s">
        <v>10</v>
      </c>
      <c r="G3" s="156"/>
      <c r="H3" s="157"/>
      <c r="I3" s="25" t="s">
        <v>6</v>
      </c>
      <c r="J3" s="21" t="s">
        <v>7</v>
      </c>
      <c r="K3" s="160" t="s">
        <v>68</v>
      </c>
      <c r="L3" s="161"/>
      <c r="M3" s="158"/>
    </row>
    <row r="4" spans="1:13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  <c r="K4" s="162" t="s">
        <v>1</v>
      </c>
      <c r="L4" s="162" t="s">
        <v>69</v>
      </c>
      <c r="M4" s="159"/>
    </row>
    <row r="5" spans="1:13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63"/>
      <c r="L5" s="163"/>
      <c r="M5" s="159"/>
    </row>
    <row r="6" spans="1:13" ht="15">
      <c r="A6" s="3">
        <v>1</v>
      </c>
      <c r="B6" s="22" t="s">
        <v>55</v>
      </c>
      <c r="C6" s="3"/>
      <c r="D6" s="3"/>
      <c r="E6" s="36"/>
      <c r="F6" s="3">
        <v>27</v>
      </c>
      <c r="G6" s="3">
        <v>14</v>
      </c>
      <c r="H6" s="90">
        <f aca="true" t="shared" si="0" ref="H6:H19">G6*100/F6</f>
        <v>51.851851851851855</v>
      </c>
      <c r="I6" s="124">
        <f>F6+(C6*0.2)+('численность 1'!M6*0.3)+'численность 1'!G6+(('численность 1'!C6-'численность 1'!G6)*0.6)</f>
        <v>320.4</v>
      </c>
      <c r="J6" s="124">
        <f>G6+(D6*0.2)+('численность 1'!N6*0.3)+'численность 1'!H6+(('численность 1'!D6-'численность 1'!H6)*0.6)</f>
        <v>275.6</v>
      </c>
      <c r="K6" s="3">
        <v>4075</v>
      </c>
      <c r="L6" s="3">
        <v>996</v>
      </c>
      <c r="M6" s="77"/>
    </row>
    <row r="7" spans="1:13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90">
        <f t="shared" si="0"/>
        <v>80</v>
      </c>
      <c r="I7" s="124">
        <f>F7+(C7*0.2)+('численность 1'!M7*0.3)+'численность 1'!G7+(('численность 1'!C7-'численность 1'!G7)*0.6)</f>
        <v>168.8</v>
      </c>
      <c r="J7" s="124">
        <f>G7+(D7*0.2)+('численность 1'!N7*0.3)+'численность 1'!H7+(('численность 1'!D7-'численность 1'!H7)*0.6)</f>
        <v>173.2</v>
      </c>
      <c r="K7" s="3">
        <v>6382</v>
      </c>
      <c r="L7" s="3">
        <v>2240</v>
      </c>
      <c r="M7" s="77"/>
    </row>
    <row r="8" spans="1:13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90">
        <f t="shared" si="0"/>
        <v>100</v>
      </c>
      <c r="I8" s="124">
        <f>F8+(C8*0.2)+('численность 1'!M8*0.3)+'численность 1'!G8+(('численность 1'!C8-'численность 1'!G8)*0.6)</f>
        <v>96.4</v>
      </c>
      <c r="J8" s="124">
        <f>G8+(D8*0.2)+('численность 1'!N8*0.3)+'численность 1'!H8+(('численность 1'!D8-'численность 1'!H8)*0.6)</f>
        <v>97.6</v>
      </c>
      <c r="K8" s="3">
        <v>1164</v>
      </c>
      <c r="L8" s="3">
        <v>296</v>
      </c>
      <c r="M8" s="77"/>
    </row>
    <row r="9" spans="1:13" ht="15">
      <c r="A9" s="3">
        <v>4</v>
      </c>
      <c r="B9" s="22" t="s">
        <v>58</v>
      </c>
      <c r="C9" s="3"/>
      <c r="D9" s="3"/>
      <c r="E9" s="3"/>
      <c r="F9" s="3">
        <v>24</v>
      </c>
      <c r="G9" s="3">
        <v>20</v>
      </c>
      <c r="H9" s="90">
        <f t="shared" si="0"/>
        <v>83.33333333333333</v>
      </c>
      <c r="I9" s="124">
        <f>F9+(C9*0.2)+('численность 1'!M9*0.3)+'численность 1'!G9+(('численность 1'!C9-'численность 1'!G9)*0.6)</f>
        <v>784.4</v>
      </c>
      <c r="J9" s="124">
        <f>G9+(D9*0.2)+('численность 1'!N9*0.3)+'численность 1'!H9+(('численность 1'!D9-'численность 1'!H9)*0.6)</f>
        <v>744.7</v>
      </c>
      <c r="K9" s="89">
        <v>9198</v>
      </c>
      <c r="L9" s="89">
        <v>3183</v>
      </c>
      <c r="M9" s="77"/>
    </row>
    <row r="10" spans="1:13" ht="15">
      <c r="A10" s="3">
        <v>5</v>
      </c>
      <c r="B10" s="22" t="s">
        <v>59</v>
      </c>
      <c r="C10" s="87">
        <v>142</v>
      </c>
      <c r="D10" s="3">
        <v>145</v>
      </c>
      <c r="E10" s="90">
        <f>D10*100/C10</f>
        <v>102.11267605633803</v>
      </c>
      <c r="F10" s="3">
        <v>22</v>
      </c>
      <c r="G10" s="3">
        <v>16</v>
      </c>
      <c r="H10" s="90">
        <f t="shared" si="0"/>
        <v>72.72727272727273</v>
      </c>
      <c r="I10" s="124">
        <f>F10+(C10*0.2)+('численность 1'!M10*0.3)+'численность 1'!G10+(('численность 1'!C10-'численность 1'!G10)*0.6)</f>
        <v>616.6</v>
      </c>
      <c r="J10" s="124">
        <f>G10+(D10*0.2)+('численность 1'!N10*0.3)+'численность 1'!H10+(('численность 1'!D10-'численность 1'!H10)*0.6)</f>
        <v>421.29999999999995</v>
      </c>
      <c r="K10" s="3">
        <v>4800</v>
      </c>
      <c r="L10" s="3">
        <v>1638</v>
      </c>
      <c r="M10" s="77"/>
    </row>
    <row r="11" spans="1:13" ht="15">
      <c r="A11" s="3">
        <v>6</v>
      </c>
      <c r="B11" s="38" t="s">
        <v>73</v>
      </c>
      <c r="C11" s="89"/>
      <c r="D11" s="89"/>
      <c r="E11" s="90"/>
      <c r="F11" s="3">
        <v>12</v>
      </c>
      <c r="G11" s="3">
        <v>9</v>
      </c>
      <c r="H11" s="90">
        <f t="shared" si="0"/>
        <v>75</v>
      </c>
      <c r="I11" s="124">
        <f>F11+(C11*0.2)+('численность 1'!M11*0.3)+'численность 1'!G11+(('численность 1'!C11-'численность 1'!G11)*0.6)</f>
        <v>241.6</v>
      </c>
      <c r="J11" s="124">
        <f>G11+(D11*0.2)+('численность 1'!N11*0.3)+'численность 1'!H11+(('численность 1'!D11-'численность 1'!H11)*0.6)</f>
        <v>210.39999999999998</v>
      </c>
      <c r="K11" s="89">
        <v>10305</v>
      </c>
      <c r="L11" s="89">
        <v>1440</v>
      </c>
      <c r="M11" s="77"/>
    </row>
    <row r="12" spans="1:13" ht="15">
      <c r="A12" s="3">
        <v>7</v>
      </c>
      <c r="B12" s="22" t="s">
        <v>60</v>
      </c>
      <c r="C12" s="89"/>
      <c r="D12" s="89"/>
      <c r="E12" s="90"/>
      <c r="F12" s="89">
        <v>3</v>
      </c>
      <c r="G12" s="89"/>
      <c r="H12" s="90">
        <f t="shared" si="0"/>
        <v>0</v>
      </c>
      <c r="I12" s="124">
        <f>F12+(C12*0.2)+('численность 1'!M12*0.3)+'численность 1'!G12+(('численность 1'!C12-'численность 1'!G12)*0.6)</f>
        <v>122.4</v>
      </c>
      <c r="J12" s="124">
        <f>G12+(D12*0.2)+('численность 1'!N12*0.3)+'численность 1'!H12+(('численность 1'!D12-'численность 1'!H12)*0.6)</f>
        <v>0</v>
      </c>
      <c r="K12" s="89"/>
      <c r="L12" s="89"/>
      <c r="M12" s="77"/>
    </row>
    <row r="13" spans="1:13" ht="15">
      <c r="A13" s="3">
        <v>8</v>
      </c>
      <c r="B13" s="32" t="s">
        <v>87</v>
      </c>
      <c r="C13" s="89"/>
      <c r="D13" s="89"/>
      <c r="E13" s="90"/>
      <c r="F13" s="89"/>
      <c r="G13" s="89">
        <v>3</v>
      </c>
      <c r="H13" s="90"/>
      <c r="I13" s="124">
        <f>F13+(C13*0.2)+('численность 1'!M13*0.3)+'численность 1'!G13+(('численность 1'!C13-'численность 1'!G13)*0.6)</f>
        <v>0</v>
      </c>
      <c r="J13" s="124">
        <f>G13+(D13*0.2)+('численность 1'!N13*0.3)+'численность 1'!H13+(('численность 1'!D13-'численность 1'!H13)*0.6)</f>
        <v>153.8</v>
      </c>
      <c r="K13" s="89">
        <v>2870</v>
      </c>
      <c r="L13" s="89">
        <v>221</v>
      </c>
      <c r="M13" s="77"/>
    </row>
    <row r="14" spans="1:13" ht="15">
      <c r="A14" s="3">
        <v>9</v>
      </c>
      <c r="B14" s="32" t="s">
        <v>72</v>
      </c>
      <c r="C14" s="89">
        <v>101</v>
      </c>
      <c r="D14" s="89">
        <v>129</v>
      </c>
      <c r="E14" s="90">
        <f>D14*100/C14</f>
        <v>127.72277227722772</v>
      </c>
      <c r="F14" s="3">
        <v>5</v>
      </c>
      <c r="G14" s="3">
        <v>3</v>
      </c>
      <c r="H14" s="90">
        <f t="shared" si="0"/>
        <v>60</v>
      </c>
      <c r="I14" s="124">
        <f>F14+(C14*0.2)+('численность 1'!M14*0.3)+'численность 1'!G14+(('численность 1'!C14-'численность 1'!G14)*0.6)</f>
        <v>186.6</v>
      </c>
      <c r="J14" s="124">
        <f>G14+(D14*0.2)+('численность 1'!N14*0.3)+'численность 1'!H14+(('численность 1'!D14-'численность 1'!H14)*0.6)</f>
        <v>214.2</v>
      </c>
      <c r="K14" s="89">
        <v>6747</v>
      </c>
      <c r="L14" s="89">
        <v>2144</v>
      </c>
      <c r="M14" s="77"/>
    </row>
    <row r="15" spans="1:13" ht="15">
      <c r="A15" s="3">
        <v>10</v>
      </c>
      <c r="B15" s="22" t="s">
        <v>61</v>
      </c>
      <c r="C15" s="89"/>
      <c r="D15" s="89"/>
      <c r="E15" s="90"/>
      <c r="F15" s="3">
        <v>4</v>
      </c>
      <c r="G15" s="3">
        <v>5</v>
      </c>
      <c r="H15" s="90">
        <f t="shared" si="0"/>
        <v>125</v>
      </c>
      <c r="I15" s="124">
        <f>F15+(C15*0.2)+('численность 1'!M15*0.3)+'численность 1'!G15+(('численность 1'!C15-'численность 1'!G15)*0.6)</f>
        <v>190.39999999999998</v>
      </c>
      <c r="J15" s="124">
        <f>G15+(D15*0.2)+('численность 1'!N15*0.3)+'численность 1'!H15+(('численность 1'!D15-'численность 1'!H15)*0.6)</f>
        <v>189.6</v>
      </c>
      <c r="K15" s="89">
        <v>4882</v>
      </c>
      <c r="L15" s="89">
        <v>957</v>
      </c>
      <c r="M15" s="77"/>
    </row>
    <row r="16" spans="1:13" ht="15">
      <c r="A16" s="3">
        <v>11</v>
      </c>
      <c r="B16" s="22" t="s">
        <v>62</v>
      </c>
      <c r="C16" s="89"/>
      <c r="D16" s="89"/>
      <c r="E16" s="90"/>
      <c r="F16" s="3">
        <v>2</v>
      </c>
      <c r="G16" s="3">
        <v>1</v>
      </c>
      <c r="H16" s="90">
        <f t="shared" si="0"/>
        <v>50</v>
      </c>
      <c r="I16" s="124">
        <f>F16+(C16*0.2)+('численность 1'!M16*0.3)+'численность 1'!G16+(('численность 1'!C16-'численность 1'!G16)*0.6)</f>
        <v>77.6</v>
      </c>
      <c r="J16" s="124">
        <f>G16+(D16*0.2)+('численность 1'!N16*0.3)+'численность 1'!H16+(('численность 1'!D16-'численность 1'!H16)*0.6)</f>
        <v>56.8</v>
      </c>
      <c r="K16" s="89">
        <v>1912</v>
      </c>
      <c r="L16" s="89">
        <v>330</v>
      </c>
      <c r="M16" s="77"/>
    </row>
    <row r="17" spans="1:13" ht="15">
      <c r="A17" s="3">
        <v>12</v>
      </c>
      <c r="B17" s="22" t="s">
        <v>63</v>
      </c>
      <c r="C17" s="89"/>
      <c r="D17" s="89"/>
      <c r="E17" s="90"/>
      <c r="F17" s="3">
        <v>1</v>
      </c>
      <c r="G17" s="3">
        <v>1</v>
      </c>
      <c r="H17" s="90">
        <f t="shared" si="0"/>
        <v>100</v>
      </c>
      <c r="I17" s="124">
        <f>F17+(C17*0.2)+('численность 1'!M17*0.3)+'численность 1'!G17+(('численность 1'!C17-'численность 1'!G17)*0.6)</f>
        <v>2621.2</v>
      </c>
      <c r="J17" s="124">
        <f>G17+(D17*0.2)+('численность 1'!N17*0.3)+'численность 1'!H17+(('численность 1'!D17-'численность 1'!H17)*0.6)</f>
        <v>2832.4</v>
      </c>
      <c r="K17" s="89">
        <v>5100</v>
      </c>
      <c r="L17" s="89">
        <v>5100</v>
      </c>
      <c r="M17" s="77"/>
    </row>
    <row r="18" spans="1:13" ht="15">
      <c r="A18" s="3">
        <v>13</v>
      </c>
      <c r="B18" s="32" t="s">
        <v>71</v>
      </c>
      <c r="C18" s="89"/>
      <c r="D18" s="89"/>
      <c r="E18" s="90"/>
      <c r="F18" s="3">
        <v>104</v>
      </c>
      <c r="G18" s="3">
        <v>154</v>
      </c>
      <c r="H18" s="90">
        <f t="shared" si="0"/>
        <v>148.07692307692307</v>
      </c>
      <c r="I18" s="124">
        <f>F18+(C18*0.2)+('численность 1'!M18*0.3)+'численность 1'!G18+(('численность 1'!C18-'численность 1'!G18)*0.6)</f>
        <v>104</v>
      </c>
      <c r="J18" s="124">
        <f>G18+(D18*0.2)+('численность 1'!N18*0.3)+'численность 1'!H18+(('численность 1'!D18-'численность 1'!H18)*0.6)</f>
        <v>154</v>
      </c>
      <c r="K18" s="89">
        <v>5676</v>
      </c>
      <c r="L18" s="89"/>
      <c r="M18" s="77"/>
    </row>
    <row r="19" spans="1:13" ht="60" customHeight="1">
      <c r="A19" s="151" t="s">
        <v>103</v>
      </c>
      <c r="B19" s="152"/>
      <c r="C19" s="89">
        <f>SUM(C10:C18)</f>
        <v>243</v>
      </c>
      <c r="D19" s="89">
        <f>SUM(D10:D18)</f>
        <v>274</v>
      </c>
      <c r="E19" s="90">
        <f>D19*100/C19</f>
        <v>112.75720164609054</v>
      </c>
      <c r="F19" s="3">
        <f>SUM(F6:F18)</f>
        <v>210</v>
      </c>
      <c r="G19" s="3">
        <f>SUM(G6:G18)</f>
        <v>231</v>
      </c>
      <c r="H19" s="90">
        <f t="shared" si="0"/>
        <v>110</v>
      </c>
      <c r="I19" s="124">
        <f>SUM(I6:I18)</f>
        <v>5530.4</v>
      </c>
      <c r="J19" s="124">
        <f>SUM(J6:J18)</f>
        <v>5523.6</v>
      </c>
      <c r="K19" s="89">
        <f>SUM(K6:K18)</f>
        <v>63111</v>
      </c>
      <c r="L19" s="89">
        <f>SUM(L6:L18)</f>
        <v>18545</v>
      </c>
      <c r="M19" s="77"/>
    </row>
    <row r="20" spans="1:13" ht="15">
      <c r="A20" s="3">
        <v>1</v>
      </c>
      <c r="B20" s="32" t="s">
        <v>82</v>
      </c>
      <c r="C20" s="89"/>
      <c r="D20" s="89"/>
      <c r="E20" s="90"/>
      <c r="F20" s="3"/>
      <c r="G20" s="3"/>
      <c r="H20" s="90"/>
      <c r="I20" s="124">
        <f>F20+(C20*0.2)+('численность 1'!M20*0.3)+'численность 1'!G20+(('численность 1'!C20-'численность 1'!G20)*0.6)</f>
        <v>0</v>
      </c>
      <c r="J20" s="124">
        <f>G20+(D20*0.2)+('численность 1'!N20*0.3)+'численность 1'!H20+(('численность 1'!D20-'численность 1'!H20)*0.6)</f>
        <v>34.5</v>
      </c>
      <c r="K20" s="122"/>
      <c r="L20" s="89"/>
      <c r="M20" s="77"/>
    </row>
    <row r="21" spans="1:13" ht="15">
      <c r="A21" s="3">
        <v>2</v>
      </c>
      <c r="B21" s="32" t="s">
        <v>88</v>
      </c>
      <c r="C21" s="3"/>
      <c r="D21" s="3">
        <v>54</v>
      </c>
      <c r="E21" s="36"/>
      <c r="F21" s="3"/>
      <c r="G21" s="3">
        <v>7</v>
      </c>
      <c r="H21" s="90"/>
      <c r="I21" s="124">
        <f>F21+(C21*0.2)+('численность 1'!M21*0.3)+'численность 1'!G21+(('численность 1'!C21-'численность 1'!G21)*0.6)</f>
        <v>0</v>
      </c>
      <c r="J21" s="124">
        <f>G21+(D21*0.2)+('численность 1'!N21*0.3)+'численность 1'!H21+(('численность 1'!D21-'численность 1'!H21)*0.6)</f>
        <v>17.8</v>
      </c>
      <c r="K21" s="3">
        <v>215</v>
      </c>
      <c r="L21" s="3">
        <v>15</v>
      </c>
      <c r="M21" s="77"/>
    </row>
    <row r="22" spans="1:12" ht="25.5" customHeight="1">
      <c r="A22" s="151" t="s">
        <v>90</v>
      </c>
      <c r="B22" s="152"/>
      <c r="C22" s="89"/>
      <c r="D22" s="89">
        <f>SUM(D21)</f>
        <v>54</v>
      </c>
      <c r="E22" s="36"/>
      <c r="F22" s="89"/>
      <c r="G22" s="89">
        <f>SUM(G20:G21)</f>
        <v>7</v>
      </c>
      <c r="H22" s="90"/>
      <c r="I22" s="124">
        <f>SUM(I20:I21)</f>
        <v>0</v>
      </c>
      <c r="J22" s="124">
        <f>SUM(J20:J21)</f>
        <v>52.3</v>
      </c>
      <c r="K22" s="89">
        <f>SUM(K20:K21)</f>
        <v>215</v>
      </c>
      <c r="L22" s="89">
        <f>SUM(L20:L21)</f>
        <v>15</v>
      </c>
    </row>
    <row r="23" spans="1:12" ht="41.25" customHeight="1">
      <c r="A23" s="153" t="s">
        <v>91</v>
      </c>
      <c r="B23" s="154"/>
      <c r="C23" s="89">
        <f>C19+C22</f>
        <v>243</v>
      </c>
      <c r="D23" s="89">
        <f>D19+D22</f>
        <v>328</v>
      </c>
      <c r="E23" s="36">
        <f>D23/C23*100</f>
        <v>134.97942386831278</v>
      </c>
      <c r="F23" s="89">
        <f>F19+F22</f>
        <v>210</v>
      </c>
      <c r="G23" s="89">
        <f>G19+G22</f>
        <v>238</v>
      </c>
      <c r="H23" s="90">
        <f>G23*100/F23</f>
        <v>113.33333333333333</v>
      </c>
      <c r="I23" s="122">
        <f>I19+I22</f>
        <v>5530.4</v>
      </c>
      <c r="J23" s="124">
        <f>J19+J22</f>
        <v>5575.900000000001</v>
      </c>
      <c r="K23" s="89">
        <f>K19+K22</f>
        <v>63326</v>
      </c>
      <c r="L23" s="89">
        <f>L19+L22</f>
        <v>18560</v>
      </c>
    </row>
  </sheetData>
  <sheetProtection/>
  <mergeCells count="8">
    <mergeCell ref="A22:B22"/>
    <mergeCell ref="A23:B23"/>
    <mergeCell ref="F3:H3"/>
    <mergeCell ref="M3:M5"/>
    <mergeCell ref="K3:L3"/>
    <mergeCell ref="K4:K5"/>
    <mergeCell ref="L4:L5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50" zoomScalePageLayoutView="0" workbookViewId="0" topLeftCell="A4">
      <selection activeCell="Q11" sqref="Q11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3" t="s">
        <v>3</v>
      </c>
      <c r="C3" s="130" t="s">
        <v>75</v>
      </c>
      <c r="D3" s="164"/>
      <c r="E3" s="165"/>
      <c r="F3" s="145" t="s">
        <v>74</v>
      </c>
      <c r="G3" s="130" t="s">
        <v>8</v>
      </c>
      <c r="H3" s="164"/>
      <c r="I3" s="165"/>
      <c r="J3" s="166" t="s">
        <v>67</v>
      </c>
      <c r="K3" s="167"/>
      <c r="L3" s="168"/>
      <c r="M3" s="130" t="s">
        <v>9</v>
      </c>
      <c r="N3" s="164"/>
      <c r="O3" s="164"/>
      <c r="P3" s="164"/>
      <c r="Q3" s="164"/>
      <c r="R3" s="164"/>
      <c r="S3" s="164"/>
      <c r="T3" s="164"/>
      <c r="U3" s="165"/>
    </row>
    <row r="4" spans="1:21" s="20" customFormat="1" ht="23.25" customHeight="1">
      <c r="A4" s="33"/>
      <c r="B4" s="171"/>
      <c r="C4" s="143">
        <v>2011</v>
      </c>
      <c r="D4" s="143">
        <v>2012</v>
      </c>
      <c r="E4" s="102" t="s">
        <v>4</v>
      </c>
      <c r="F4" s="146"/>
      <c r="G4" s="143">
        <v>2011</v>
      </c>
      <c r="H4" s="143">
        <v>2012</v>
      </c>
      <c r="I4" s="102" t="s">
        <v>4</v>
      </c>
      <c r="J4" s="143">
        <v>2011</v>
      </c>
      <c r="K4" s="143">
        <v>2012</v>
      </c>
      <c r="L4" s="102" t="s">
        <v>4</v>
      </c>
      <c r="M4" s="143">
        <v>2011</v>
      </c>
      <c r="N4" s="143">
        <v>2012</v>
      </c>
      <c r="O4" s="102" t="s">
        <v>4</v>
      </c>
      <c r="P4" s="99" t="s">
        <v>5</v>
      </c>
      <c r="Q4" s="103" t="s">
        <v>66</v>
      </c>
      <c r="R4" s="145" t="s">
        <v>102</v>
      </c>
      <c r="S4" s="99" t="s">
        <v>50</v>
      </c>
      <c r="T4" s="104"/>
      <c r="U4" s="145" t="s">
        <v>102</v>
      </c>
    </row>
    <row r="5" spans="1:21" s="20" customFormat="1" ht="23.25" customHeight="1">
      <c r="A5" s="29"/>
      <c r="B5" s="144"/>
      <c r="C5" s="169"/>
      <c r="D5" s="169"/>
      <c r="E5" s="105">
        <v>2011</v>
      </c>
      <c r="F5" s="147"/>
      <c r="G5" s="169"/>
      <c r="H5" s="169"/>
      <c r="I5" s="105">
        <v>2011</v>
      </c>
      <c r="J5" s="169"/>
      <c r="K5" s="169"/>
      <c r="L5" s="105">
        <v>2011</v>
      </c>
      <c r="M5" s="169"/>
      <c r="N5" s="169"/>
      <c r="O5" s="105">
        <v>2011</v>
      </c>
      <c r="P5" s="100">
        <v>2011</v>
      </c>
      <c r="Q5" s="100">
        <v>2012</v>
      </c>
      <c r="R5" s="170"/>
      <c r="S5" s="100">
        <v>2011</v>
      </c>
      <c r="T5" s="100">
        <v>2012</v>
      </c>
      <c r="U5" s="170"/>
    </row>
    <row r="6" spans="1:34" s="20" customFormat="1" ht="24.75" customHeight="1">
      <c r="A6" s="3">
        <v>1</v>
      </c>
      <c r="B6" s="22" t="s">
        <v>55</v>
      </c>
      <c r="C6" s="3">
        <v>369</v>
      </c>
      <c r="D6" s="3">
        <v>316</v>
      </c>
      <c r="E6" s="36">
        <f aca="true" t="shared" si="0" ref="E6:E16">D6*100/C6</f>
        <v>85.63685636856368</v>
      </c>
      <c r="F6" s="3">
        <v>5</v>
      </c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3">K6*100/J6</f>
        <v>100</v>
      </c>
      <c r="M6" s="66"/>
      <c r="N6" s="3"/>
      <c r="O6" s="36"/>
      <c r="P6" s="66"/>
      <c r="Q6" s="3"/>
      <c r="R6" s="36"/>
      <c r="S6" s="112"/>
      <c r="T6" s="36"/>
      <c r="U6" s="36"/>
      <c r="AH6" s="87"/>
    </row>
    <row r="7" spans="1:34" s="20" customFormat="1" ht="24.75" customHeight="1">
      <c r="A7" s="3">
        <v>2</v>
      </c>
      <c r="B7" s="22" t="s">
        <v>56</v>
      </c>
      <c r="C7" s="3">
        <v>203</v>
      </c>
      <c r="D7" s="3">
        <v>212</v>
      </c>
      <c r="E7" s="36">
        <f t="shared" si="0"/>
        <v>104.43349753694581</v>
      </c>
      <c r="F7" s="3">
        <v>10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2"/>
      <c r="T7" s="36"/>
      <c r="U7" s="36"/>
      <c r="AH7" s="87"/>
    </row>
    <row r="8" spans="1:34" s="20" customFormat="1" ht="24.75" customHeight="1">
      <c r="A8" s="3">
        <v>3</v>
      </c>
      <c r="B8" s="22" t="s">
        <v>57</v>
      </c>
      <c r="C8" s="3">
        <v>119</v>
      </c>
      <c r="D8" s="3">
        <v>121</v>
      </c>
      <c r="E8" s="36">
        <f t="shared" si="0"/>
        <v>101.68067226890756</v>
      </c>
      <c r="F8" s="89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101"/>
      <c r="P8" s="66"/>
      <c r="Q8" s="3"/>
      <c r="R8" s="36"/>
      <c r="S8" s="112"/>
      <c r="T8" s="36"/>
      <c r="U8" s="36"/>
      <c r="AH8" s="87"/>
    </row>
    <row r="9" spans="1:34" s="20" customFormat="1" ht="24.75" customHeight="1">
      <c r="A9" s="3">
        <v>4</v>
      </c>
      <c r="B9" s="22" t="s">
        <v>58</v>
      </c>
      <c r="C9" s="3">
        <v>852</v>
      </c>
      <c r="D9" s="3">
        <v>808</v>
      </c>
      <c r="E9" s="36">
        <f t="shared" si="0"/>
        <v>94.83568075117371</v>
      </c>
      <c r="F9" s="3">
        <v>39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420</v>
      </c>
      <c r="N9" s="3">
        <v>389</v>
      </c>
      <c r="O9" s="36">
        <f>N9*100/M9</f>
        <v>92.61904761904762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39</v>
      </c>
      <c r="U9" s="36">
        <f>T9*100/S9</f>
        <v>156</v>
      </c>
      <c r="AH9" s="87"/>
    </row>
    <row r="10" spans="1:34" s="20" customFormat="1" ht="24.75" customHeight="1">
      <c r="A10" s="3">
        <v>5</v>
      </c>
      <c r="B10" s="22" t="s">
        <v>59</v>
      </c>
      <c r="C10" s="3">
        <v>538</v>
      </c>
      <c r="D10" s="3">
        <v>364</v>
      </c>
      <c r="E10" s="36">
        <f t="shared" si="0"/>
        <v>67.65799256505576</v>
      </c>
      <c r="F10" s="89">
        <v>4</v>
      </c>
      <c r="G10" s="3">
        <v>280</v>
      </c>
      <c r="H10" s="3">
        <v>250</v>
      </c>
      <c r="I10" s="36">
        <f t="shared" si="1"/>
        <v>89.28571428571429</v>
      </c>
      <c r="J10" s="3">
        <v>280</v>
      </c>
      <c r="K10" s="3">
        <v>250</v>
      </c>
      <c r="L10" s="36">
        <f t="shared" si="2"/>
        <v>89.28571428571429</v>
      </c>
      <c r="M10" s="3">
        <v>438</v>
      </c>
      <c r="N10" s="3">
        <v>193</v>
      </c>
      <c r="O10" s="36">
        <f>N10*100/M10</f>
        <v>44.06392694063927</v>
      </c>
      <c r="P10" s="3">
        <v>80</v>
      </c>
      <c r="Q10" s="3">
        <v>80</v>
      </c>
      <c r="R10" s="36">
        <f>Q10*100/P10</f>
        <v>100</v>
      </c>
      <c r="S10" s="3">
        <v>9</v>
      </c>
      <c r="T10" s="3">
        <v>11</v>
      </c>
      <c r="U10" s="36">
        <f>T10*100/S10</f>
        <v>122.22222222222223</v>
      </c>
      <c r="AH10" s="87"/>
    </row>
    <row r="11" spans="1:34" s="20" customFormat="1" ht="24.75" customHeight="1">
      <c r="A11" s="3">
        <v>6</v>
      </c>
      <c r="B11" s="38" t="s">
        <v>73</v>
      </c>
      <c r="C11" s="3">
        <v>326</v>
      </c>
      <c r="D11" s="3">
        <v>279</v>
      </c>
      <c r="E11" s="36">
        <f t="shared" si="0"/>
        <v>85.58282208588957</v>
      </c>
      <c r="F11" s="89">
        <v>22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7"/>
    </row>
    <row r="12" spans="1:34" s="20" customFormat="1" ht="24.75" customHeight="1">
      <c r="A12" s="3">
        <v>7</v>
      </c>
      <c r="B12" s="22" t="s">
        <v>60</v>
      </c>
      <c r="C12" s="3">
        <v>159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>
        <f t="shared" si="2"/>
        <v>0</v>
      </c>
      <c r="M12" s="3"/>
      <c r="N12" s="3"/>
      <c r="O12" s="36"/>
      <c r="P12" s="3"/>
      <c r="Q12" s="3"/>
      <c r="R12" s="36"/>
      <c r="S12" s="3"/>
      <c r="T12" s="3"/>
      <c r="U12" s="36"/>
      <c r="AH12" s="87"/>
    </row>
    <row r="13" spans="1:34" s="20" customFormat="1" ht="24.75" customHeight="1">
      <c r="A13" s="3">
        <v>8</v>
      </c>
      <c r="B13" s="32" t="s">
        <v>87</v>
      </c>
      <c r="C13" s="3"/>
      <c r="D13" s="3">
        <v>208</v>
      </c>
      <c r="E13" s="36"/>
      <c r="F13" s="3">
        <v>15</v>
      </c>
      <c r="G13" s="3"/>
      <c r="H13" s="3">
        <v>65</v>
      </c>
      <c r="I13" s="36"/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7"/>
    </row>
    <row r="14" spans="1:34" s="20" customFormat="1" ht="24.75" customHeight="1">
      <c r="A14" s="3">
        <v>9</v>
      </c>
      <c r="B14" s="32" t="s">
        <v>72</v>
      </c>
      <c r="C14" s="3">
        <v>217</v>
      </c>
      <c r="D14" s="3">
        <v>257</v>
      </c>
      <c r="E14" s="36">
        <f t="shared" si="0"/>
        <v>118.4331797235023</v>
      </c>
      <c r="F14" s="3">
        <v>28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7"/>
    </row>
    <row r="15" spans="1:34" s="20" customFormat="1" ht="24.75" customHeight="1">
      <c r="A15" s="3">
        <v>10</v>
      </c>
      <c r="B15" s="22" t="s">
        <v>61</v>
      </c>
      <c r="C15" s="3">
        <v>244</v>
      </c>
      <c r="D15" s="3">
        <v>241</v>
      </c>
      <c r="E15" s="36">
        <f t="shared" si="0"/>
        <v>98.77049180327869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7"/>
    </row>
    <row r="16" spans="1:34" s="20" customFormat="1" ht="24.75" customHeight="1">
      <c r="A16" s="3">
        <v>11</v>
      </c>
      <c r="B16" s="22" t="s">
        <v>62</v>
      </c>
      <c r="C16" s="3">
        <v>98</v>
      </c>
      <c r="D16" s="3">
        <v>65</v>
      </c>
      <c r="E16" s="36">
        <f t="shared" si="0"/>
        <v>66.3265306122449</v>
      </c>
      <c r="F16" s="3">
        <v>5</v>
      </c>
      <c r="G16" s="3">
        <v>42</v>
      </c>
      <c r="H16" s="3">
        <v>42</v>
      </c>
      <c r="I16" s="36">
        <f t="shared" si="1"/>
        <v>100</v>
      </c>
      <c r="J16" s="3">
        <v>42</v>
      </c>
      <c r="K16" s="3">
        <v>42</v>
      </c>
      <c r="L16" s="36">
        <f t="shared" si="2"/>
        <v>100</v>
      </c>
      <c r="M16" s="3"/>
      <c r="N16" s="3"/>
      <c r="O16" s="36"/>
      <c r="P16" s="3"/>
      <c r="Q16" s="3"/>
      <c r="R16" s="36"/>
      <c r="S16" s="3"/>
      <c r="T16" s="3"/>
      <c r="U16" s="36"/>
      <c r="AH16" s="87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8734</v>
      </c>
      <c r="N17" s="3">
        <v>9438</v>
      </c>
      <c r="O17" s="36">
        <f>N17*100/M17</f>
        <v>108.06045340050377</v>
      </c>
      <c r="P17" s="3">
        <v>240</v>
      </c>
      <c r="Q17" s="3">
        <v>240</v>
      </c>
      <c r="R17" s="36">
        <f>Q17*100/P17</f>
        <v>100</v>
      </c>
      <c r="S17" s="3">
        <v>422</v>
      </c>
      <c r="T17" s="3">
        <v>383</v>
      </c>
      <c r="U17" s="36">
        <f>T17*100/S17</f>
        <v>90.75829383886256</v>
      </c>
      <c r="AH17" s="87"/>
    </row>
    <row r="18" spans="1:34" s="20" customFormat="1" ht="24.75" customHeight="1">
      <c r="A18" s="3">
        <v>13</v>
      </c>
      <c r="B18" s="32" t="s">
        <v>71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7"/>
    </row>
    <row r="19" spans="1:21" s="20" customFormat="1" ht="57" customHeight="1">
      <c r="A19" s="151" t="s">
        <v>103</v>
      </c>
      <c r="B19" s="152"/>
      <c r="C19" s="3">
        <f>SUM(C6:C18)</f>
        <v>3125</v>
      </c>
      <c r="D19" s="3">
        <f>SUM(D6:D18)</f>
        <v>2871</v>
      </c>
      <c r="E19" s="36">
        <f>D19*100/C19</f>
        <v>91.872</v>
      </c>
      <c r="F19" s="3">
        <f>SUM(F6:F18)</f>
        <v>146</v>
      </c>
      <c r="G19" s="3">
        <f>SUM(G6:G18)</f>
        <v>1298</v>
      </c>
      <c r="H19" s="3">
        <f>SUM(H6:H18)</f>
        <v>1273</v>
      </c>
      <c r="I19" s="36">
        <f>H19*100/G19</f>
        <v>98.07395993836671</v>
      </c>
      <c r="J19" s="3">
        <f>SUM(J6:J18)</f>
        <v>1298</v>
      </c>
      <c r="K19" s="3">
        <f>SUM(K6:K18)</f>
        <v>1273</v>
      </c>
      <c r="L19" s="36">
        <f t="shared" si="2"/>
        <v>98.07395993836671</v>
      </c>
      <c r="M19" s="3">
        <f>SUM(M9:M18)</f>
        <v>9592</v>
      </c>
      <c r="N19" s="3">
        <f>SUM(N9:N18)</f>
        <v>10020</v>
      </c>
      <c r="O19" s="36">
        <f>N19*100/M19</f>
        <v>104.46205170975813</v>
      </c>
      <c r="P19" s="3">
        <f>SUM(P9:P18)</f>
        <v>340</v>
      </c>
      <c r="Q19" s="3">
        <f>SUM(Q9:Q18)</f>
        <v>348</v>
      </c>
      <c r="R19" s="36">
        <f>Q19*100/P19</f>
        <v>102.3529411764706</v>
      </c>
      <c r="S19" s="3">
        <f>SUM(S9:S18)</f>
        <v>456</v>
      </c>
      <c r="T19" s="36">
        <f>SUM(T9:T18)</f>
        <v>433</v>
      </c>
      <c r="U19" s="36">
        <f>T19*100/S19</f>
        <v>94.95614035087719</v>
      </c>
    </row>
    <row r="20" spans="1:34" s="20" customFormat="1" ht="24.75" customHeight="1">
      <c r="A20" s="3">
        <v>1</v>
      </c>
      <c r="B20" s="32" t="s">
        <v>82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/>
      <c r="N20" s="3">
        <v>115</v>
      </c>
      <c r="O20" s="36"/>
      <c r="P20" s="3"/>
      <c r="Q20" s="3">
        <v>10</v>
      </c>
      <c r="R20" s="36"/>
      <c r="S20" s="3"/>
      <c r="T20" s="3"/>
      <c r="U20" s="36"/>
      <c r="AH20" s="87"/>
    </row>
    <row r="21" spans="1:34" s="20" customFormat="1" ht="24.75" customHeight="1">
      <c r="A21" s="3">
        <v>2</v>
      </c>
      <c r="B21" s="32" t="s">
        <v>88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"/>
      <c r="U21" s="36"/>
      <c r="AH21" s="87"/>
    </row>
    <row r="22" spans="1:34" s="20" customFormat="1" ht="24.75" customHeight="1">
      <c r="A22" s="151" t="s">
        <v>90</v>
      </c>
      <c r="B22" s="152"/>
      <c r="C22" s="3"/>
      <c r="D22" s="3"/>
      <c r="E22" s="36"/>
      <c r="F22" s="3"/>
      <c r="G22" s="3"/>
      <c r="H22" s="3"/>
      <c r="I22" s="36"/>
      <c r="J22" s="3"/>
      <c r="K22" s="3"/>
      <c r="L22" s="36"/>
      <c r="M22" s="3"/>
      <c r="N22" s="3">
        <f>SUM(N20:N21)</f>
        <v>115</v>
      </c>
      <c r="O22" s="36"/>
      <c r="P22" s="3"/>
      <c r="Q22" s="3">
        <f>SUM(Q20:Q21)</f>
        <v>10</v>
      </c>
      <c r="R22" s="36"/>
      <c r="S22" s="3"/>
      <c r="T22" s="3">
        <f>SUM(T20:T21)</f>
        <v>0</v>
      </c>
      <c r="U22" s="36"/>
      <c r="AH22" s="87"/>
    </row>
    <row r="23" spans="1:34" s="20" customFormat="1" ht="36" customHeight="1">
      <c r="A23" s="153" t="s">
        <v>91</v>
      </c>
      <c r="B23" s="154"/>
      <c r="C23" s="3">
        <f>C19+C22</f>
        <v>3125</v>
      </c>
      <c r="D23" s="3">
        <f>D19+D22</f>
        <v>2871</v>
      </c>
      <c r="E23" s="36">
        <f>D23*100/C23</f>
        <v>91.872</v>
      </c>
      <c r="F23" s="3">
        <f>F19+F22</f>
        <v>146</v>
      </c>
      <c r="G23" s="3">
        <f>G19+G22</f>
        <v>1298</v>
      </c>
      <c r="H23" s="3">
        <f>H19+H22</f>
        <v>1273</v>
      </c>
      <c r="I23" s="36">
        <f>H23*100/G23</f>
        <v>98.07395993836671</v>
      </c>
      <c r="J23" s="3">
        <f>J19+J22</f>
        <v>1298</v>
      </c>
      <c r="K23" s="3">
        <f>K19+K22</f>
        <v>1273</v>
      </c>
      <c r="L23" s="36">
        <f t="shared" si="2"/>
        <v>98.07395993836671</v>
      </c>
      <c r="M23" s="3">
        <f>M19+M22</f>
        <v>9592</v>
      </c>
      <c r="N23" s="3">
        <f>N19+N22</f>
        <v>10135</v>
      </c>
      <c r="O23" s="36">
        <f>N23*100/M23</f>
        <v>105.66096747289407</v>
      </c>
      <c r="P23" s="3">
        <f>P19+P22</f>
        <v>340</v>
      </c>
      <c r="Q23" s="3">
        <f>Q19+Q22</f>
        <v>358</v>
      </c>
      <c r="R23" s="36">
        <f>Q23*100/P23</f>
        <v>105.29411764705883</v>
      </c>
      <c r="S23" s="3">
        <f>S19+S22</f>
        <v>456</v>
      </c>
      <c r="T23" s="3">
        <f>T19+T22</f>
        <v>433</v>
      </c>
      <c r="U23" s="36">
        <f>T23*100/S23</f>
        <v>94.95614035087719</v>
      </c>
      <c r="AH23" s="87"/>
    </row>
  </sheetData>
  <sheetProtection/>
  <mergeCells count="19">
    <mergeCell ref="A22:B22"/>
    <mergeCell ref="A23:B23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19:B19"/>
    <mergeCell ref="J3:L3"/>
    <mergeCell ref="J4:J5"/>
    <mergeCell ref="K4:K5"/>
    <mergeCell ref="M3:U3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L6" sqref="L6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108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5" t="s">
        <v>107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2.75">
      <c r="A4" s="143" t="s">
        <v>2</v>
      </c>
      <c r="B4" s="145" t="s">
        <v>3</v>
      </c>
      <c r="C4" s="149" t="s">
        <v>79</v>
      </c>
      <c r="D4" s="178"/>
      <c r="E4" s="174"/>
      <c r="F4" s="172" t="s">
        <v>64</v>
      </c>
      <c r="G4" s="186"/>
      <c r="H4" s="172" t="s">
        <v>78</v>
      </c>
      <c r="I4" s="173"/>
      <c r="J4" s="174"/>
      <c r="K4" s="172" t="s">
        <v>76</v>
      </c>
      <c r="L4" s="186"/>
      <c r="M4" s="172" t="s">
        <v>77</v>
      </c>
      <c r="N4" s="186"/>
    </row>
    <row r="5" spans="1:14" ht="31.5" customHeight="1">
      <c r="A5" s="171"/>
      <c r="B5" s="146"/>
      <c r="C5" s="179"/>
      <c r="D5" s="180"/>
      <c r="E5" s="181"/>
      <c r="F5" s="175"/>
      <c r="G5" s="187"/>
      <c r="H5" s="175"/>
      <c r="I5" s="176"/>
      <c r="J5" s="177"/>
      <c r="K5" s="175"/>
      <c r="L5" s="187"/>
      <c r="M5" s="175"/>
      <c r="N5" s="187"/>
    </row>
    <row r="6" spans="1:14" ht="30">
      <c r="A6" s="144"/>
      <c r="B6" s="147"/>
      <c r="C6" s="3">
        <v>2011</v>
      </c>
      <c r="D6" s="19">
        <v>2012</v>
      </c>
      <c r="E6" s="97" t="s">
        <v>119</v>
      </c>
      <c r="F6" s="3">
        <v>2011</v>
      </c>
      <c r="G6" s="19">
        <v>2012</v>
      </c>
      <c r="H6" s="3">
        <v>2011</v>
      </c>
      <c r="I6" s="19">
        <v>2012</v>
      </c>
      <c r="J6" s="97" t="s">
        <v>119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/>
      <c r="D7" s="31"/>
      <c r="E7" s="31"/>
      <c r="F7" s="31"/>
      <c r="G7" s="31"/>
      <c r="H7" s="75"/>
      <c r="I7" s="75"/>
      <c r="J7" s="74"/>
      <c r="K7" s="31"/>
      <c r="L7" s="31"/>
      <c r="M7" s="95"/>
      <c r="N7" s="95"/>
    </row>
    <row r="8" spans="1:15" ht="16.5" customHeight="1">
      <c r="A8" s="31">
        <v>2</v>
      </c>
      <c r="B8" s="31" t="s">
        <v>59</v>
      </c>
      <c r="C8" s="31">
        <v>29</v>
      </c>
      <c r="D8" s="31">
        <v>28</v>
      </c>
      <c r="E8" s="31">
        <f aca="true" t="shared" si="0" ref="E8:E13">D8-C8</f>
        <v>-1</v>
      </c>
      <c r="F8" s="31">
        <v>29</v>
      </c>
      <c r="G8" s="31">
        <v>28</v>
      </c>
      <c r="H8" s="75">
        <f>F8*100/80</f>
        <v>36.25</v>
      </c>
      <c r="I8" s="75">
        <f>G8*100/80</f>
        <v>35</v>
      </c>
      <c r="J8" s="74">
        <f aca="true" t="shared" si="1" ref="J8:J13">I8-H8</f>
        <v>-1.25</v>
      </c>
      <c r="K8" s="32">
        <v>4</v>
      </c>
      <c r="L8" s="32">
        <v>4</v>
      </c>
      <c r="M8" s="95">
        <f aca="true" t="shared" si="2" ref="M8:M13">G8/L8</f>
        <v>7</v>
      </c>
      <c r="N8" s="95"/>
      <c r="O8" s="15"/>
    </row>
    <row r="9" spans="1:14" ht="16.5" customHeight="1">
      <c r="A9" s="31">
        <v>3</v>
      </c>
      <c r="B9" s="32" t="s">
        <v>63</v>
      </c>
      <c r="C9" s="31">
        <v>577</v>
      </c>
      <c r="D9" s="31">
        <v>669</v>
      </c>
      <c r="E9" s="31">
        <f t="shared" si="0"/>
        <v>92</v>
      </c>
      <c r="F9" s="31">
        <v>351</v>
      </c>
      <c r="G9" s="31">
        <v>432</v>
      </c>
      <c r="H9" s="75">
        <f>F9*100/226</f>
        <v>155.30973451327435</v>
      </c>
      <c r="I9" s="75">
        <f>G9*100/240</f>
        <v>180</v>
      </c>
      <c r="J9" s="74">
        <f t="shared" si="1"/>
        <v>24.69026548672565</v>
      </c>
      <c r="K9" s="32">
        <v>80</v>
      </c>
      <c r="L9" s="32">
        <v>48</v>
      </c>
      <c r="M9" s="119">
        <f t="shared" si="2"/>
        <v>9</v>
      </c>
      <c r="N9" s="119">
        <f>(D9-G9)/(K9-L9)</f>
        <v>7.40625</v>
      </c>
    </row>
    <row r="10" spans="1:14" ht="42.75" customHeight="1">
      <c r="A10" s="183" t="s">
        <v>101</v>
      </c>
      <c r="B10" s="184"/>
      <c r="C10" s="31">
        <f>SUM(C7:C9)</f>
        <v>606</v>
      </c>
      <c r="D10" s="31">
        <f>SUM(D7:D9)</f>
        <v>697</v>
      </c>
      <c r="E10" s="31">
        <f t="shared" si="0"/>
        <v>91</v>
      </c>
      <c r="F10" s="31">
        <f>SUM(F7:F9)</f>
        <v>380</v>
      </c>
      <c r="G10" s="31">
        <f>SUM(G7:G9)</f>
        <v>460</v>
      </c>
      <c r="H10" s="75">
        <f>F10*100/326</f>
        <v>116.56441717791411</v>
      </c>
      <c r="I10" s="75">
        <f>G10*100/348</f>
        <v>132.183908045977</v>
      </c>
      <c r="J10" s="74">
        <f t="shared" si="1"/>
        <v>15.619490868062897</v>
      </c>
      <c r="K10" s="74">
        <f>SUM(K7:K9)</f>
        <v>84</v>
      </c>
      <c r="L10" s="74">
        <f>SUM(L7:L9)</f>
        <v>52</v>
      </c>
      <c r="M10" s="95">
        <f t="shared" si="2"/>
        <v>8.846153846153847</v>
      </c>
      <c r="N10" s="95">
        <f>(D10-G10)/(K10-L10)</f>
        <v>7.40625</v>
      </c>
    </row>
    <row r="11" spans="1:14" ht="15">
      <c r="A11" s="31">
        <v>1</v>
      </c>
      <c r="B11" s="32" t="s">
        <v>82</v>
      </c>
      <c r="C11" s="31"/>
      <c r="D11" s="31">
        <v>8</v>
      </c>
      <c r="E11" s="31">
        <f t="shared" si="0"/>
        <v>8</v>
      </c>
      <c r="F11" s="2"/>
      <c r="G11" s="2">
        <v>8</v>
      </c>
      <c r="H11" s="75">
        <f>F11*100/11</f>
        <v>0</v>
      </c>
      <c r="I11" s="75">
        <f>G11*100/10</f>
        <v>80</v>
      </c>
      <c r="J11" s="74">
        <f t="shared" si="1"/>
        <v>80</v>
      </c>
      <c r="K11" s="74">
        <v>1</v>
      </c>
      <c r="L11" s="2">
        <v>1</v>
      </c>
      <c r="M11" s="95">
        <f t="shared" si="2"/>
        <v>8</v>
      </c>
      <c r="N11" s="95"/>
    </row>
    <row r="12" spans="1:14" ht="25.5" customHeight="1">
      <c r="A12" s="151" t="s">
        <v>90</v>
      </c>
      <c r="B12" s="152"/>
      <c r="C12" s="31">
        <f>SUM(C11)</f>
        <v>0</v>
      </c>
      <c r="D12" s="31">
        <f>SUM(D11)</f>
        <v>8</v>
      </c>
      <c r="E12" s="31">
        <f t="shared" si="0"/>
        <v>8</v>
      </c>
      <c r="F12" s="31">
        <f>SUM(F11)</f>
        <v>0</v>
      </c>
      <c r="G12" s="31">
        <f>SUM(G11)</f>
        <v>8</v>
      </c>
      <c r="H12" s="75">
        <f>F12*100/11</f>
        <v>0</v>
      </c>
      <c r="I12" s="75">
        <f>G12*100/10</f>
        <v>80</v>
      </c>
      <c r="J12" s="74">
        <f t="shared" si="1"/>
        <v>80</v>
      </c>
      <c r="K12" s="31">
        <f>SUM(K11)</f>
        <v>1</v>
      </c>
      <c r="L12" s="31">
        <f>SUM(L11)</f>
        <v>1</v>
      </c>
      <c r="M12" s="95">
        <f t="shared" si="2"/>
        <v>8</v>
      </c>
      <c r="N12" s="95"/>
    </row>
    <row r="13" spans="1:14" ht="28.5" customHeight="1">
      <c r="A13" s="182" t="s">
        <v>91</v>
      </c>
      <c r="B13" s="182"/>
      <c r="C13" s="31">
        <f>C10+C12</f>
        <v>606</v>
      </c>
      <c r="D13" s="31">
        <f>SUM(D10:D11)</f>
        <v>705</v>
      </c>
      <c r="E13" s="31">
        <f t="shared" si="0"/>
        <v>99</v>
      </c>
      <c r="F13" s="31">
        <f>F10+F12</f>
        <v>380</v>
      </c>
      <c r="G13" s="31">
        <f>SUM(G10:G11)</f>
        <v>468</v>
      </c>
      <c r="H13" s="75">
        <f>F13*100/337</f>
        <v>112.75964391691394</v>
      </c>
      <c r="I13" s="75">
        <f>G13*100/358</f>
        <v>130.72625698324023</v>
      </c>
      <c r="J13" s="74">
        <f t="shared" si="1"/>
        <v>17.96661306632629</v>
      </c>
      <c r="K13" s="31">
        <f>K10+K12</f>
        <v>85</v>
      </c>
      <c r="L13" s="31">
        <f>SUM(L10:L11)</f>
        <v>53</v>
      </c>
      <c r="M13" s="95">
        <f t="shared" si="2"/>
        <v>8.830188679245284</v>
      </c>
      <c r="N13" s="95">
        <f>(D13-G13)/(K13-L13)</f>
        <v>7.40625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14"/>
      <c r="D16" s="114"/>
      <c r="E16" s="114"/>
      <c r="F16" s="114"/>
      <c r="G16" s="114"/>
      <c r="H16" s="115"/>
      <c r="I16" s="116"/>
      <c r="J16" s="115"/>
      <c r="K16" s="114"/>
      <c r="L16" s="114"/>
      <c r="M16" s="117"/>
      <c r="N16" s="117"/>
      <c r="O16" s="72"/>
      <c r="P16" s="72"/>
      <c r="Q16" s="72"/>
    </row>
    <row r="17" spans="2:17" ht="15">
      <c r="B17" s="72"/>
      <c r="C17" s="114"/>
      <c r="D17" s="114"/>
      <c r="E17" s="114"/>
      <c r="F17" s="114"/>
      <c r="G17" s="114"/>
      <c r="H17" s="116"/>
      <c r="I17" s="116"/>
      <c r="J17" s="115"/>
      <c r="K17" s="118"/>
      <c r="L17" s="118"/>
      <c r="M17" s="117"/>
      <c r="N17" s="117"/>
      <c r="O17" s="72"/>
      <c r="P17" s="72"/>
      <c r="Q17" s="72"/>
    </row>
    <row r="18" spans="2:17" ht="15">
      <c r="B18" s="72"/>
      <c r="C18" s="114"/>
      <c r="D18" s="114"/>
      <c r="E18" s="114"/>
      <c r="F18" s="114"/>
      <c r="G18" s="114"/>
      <c r="H18" s="115"/>
      <c r="I18" s="116"/>
      <c r="J18" s="115"/>
      <c r="K18" s="118"/>
      <c r="L18" s="118"/>
      <c r="M18" s="117"/>
      <c r="N18" s="117"/>
      <c r="O18" s="72"/>
      <c r="P18" s="72"/>
      <c r="Q18" s="72"/>
    </row>
    <row r="19" spans="2:17" ht="15">
      <c r="B19" s="72"/>
      <c r="C19" s="114"/>
      <c r="D19" s="114"/>
      <c r="E19" s="114"/>
      <c r="F19" s="114"/>
      <c r="G19" s="114"/>
      <c r="H19" s="115"/>
      <c r="I19" s="116"/>
      <c r="J19" s="115"/>
      <c r="K19" s="118"/>
      <c r="L19" s="118"/>
      <c r="M19" s="117"/>
      <c r="N19" s="117"/>
      <c r="O19" s="72"/>
      <c r="P19" s="72"/>
      <c r="Q19" s="72"/>
    </row>
    <row r="20" spans="2:17" ht="15">
      <c r="B20" s="72"/>
      <c r="C20" s="114"/>
      <c r="D20" s="114"/>
      <c r="E20" s="114"/>
      <c r="F20" s="114"/>
      <c r="G20" s="114"/>
      <c r="H20" s="115"/>
      <c r="I20" s="116"/>
      <c r="J20" s="115"/>
      <c r="K20" s="118"/>
      <c r="L20" s="118"/>
      <c r="M20" s="117"/>
      <c r="N20" s="117"/>
      <c r="O20" s="72"/>
      <c r="P20" s="72"/>
      <c r="Q20" s="72"/>
    </row>
    <row r="21" spans="2:17" ht="15">
      <c r="B21" s="72"/>
      <c r="C21" s="114"/>
      <c r="D21" s="114"/>
      <c r="E21" s="114"/>
      <c r="F21" s="114"/>
      <c r="G21" s="114"/>
      <c r="H21" s="115"/>
      <c r="I21" s="116"/>
      <c r="J21" s="115"/>
      <c r="K21" s="116"/>
      <c r="L21" s="116"/>
      <c r="M21" s="117"/>
      <c r="N21" s="117"/>
      <c r="O21" s="72"/>
      <c r="P21" s="72"/>
      <c r="Q21" s="72"/>
    </row>
    <row r="22" spans="2:17" ht="15">
      <c r="B22" s="72"/>
      <c r="C22" s="114"/>
      <c r="D22" s="114"/>
      <c r="E22" s="114"/>
      <c r="F22" s="114"/>
      <c r="G22" s="114"/>
      <c r="H22" s="115"/>
      <c r="I22" s="116"/>
      <c r="J22" s="115"/>
      <c r="K22" s="118"/>
      <c r="L22" s="118"/>
      <c r="M22" s="117"/>
      <c r="N22" s="117"/>
      <c r="O22" s="72"/>
      <c r="P22" s="72"/>
      <c r="Q22" s="72"/>
    </row>
    <row r="23" spans="2:17" ht="15">
      <c r="B23" s="72"/>
      <c r="C23" s="114"/>
      <c r="D23" s="114"/>
      <c r="E23" s="114"/>
      <c r="F23" s="114"/>
      <c r="G23" s="114"/>
      <c r="H23" s="116"/>
      <c r="I23" s="116"/>
      <c r="J23" s="115"/>
      <c r="K23" s="118"/>
      <c r="L23" s="118"/>
      <c r="M23" s="117"/>
      <c r="N23" s="117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A3:N3"/>
    <mergeCell ref="F4:G5"/>
    <mergeCell ref="K4:L5"/>
    <mergeCell ref="M4:N5"/>
    <mergeCell ref="B4:B6"/>
    <mergeCell ref="A4:A6"/>
    <mergeCell ref="H4:J5"/>
    <mergeCell ref="C4:E5"/>
    <mergeCell ref="A12:B12"/>
    <mergeCell ref="A13:B13"/>
    <mergeCell ref="A10:B10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L14" sqref="L14:L15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88" t="s">
        <v>109</v>
      </c>
      <c r="D1" s="188"/>
      <c r="E1" s="188"/>
      <c r="F1" s="188"/>
      <c r="G1" s="188"/>
      <c r="H1" s="188"/>
      <c r="I1" s="188"/>
      <c r="J1" s="188"/>
      <c r="K1" s="188"/>
      <c r="L1" s="20"/>
      <c r="M1" s="20"/>
      <c r="N1" s="20"/>
    </row>
    <row r="2" spans="1:14" ht="15">
      <c r="A2" s="143" t="s">
        <v>2</v>
      </c>
      <c r="B2" s="143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1"/>
      <c r="B3" s="171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44"/>
      <c r="B4" s="144"/>
      <c r="C4" s="29"/>
      <c r="D4" s="29"/>
      <c r="E4" s="45" t="s">
        <v>105</v>
      </c>
      <c r="F4" s="29"/>
      <c r="G4" s="29"/>
      <c r="H4" s="45" t="s">
        <v>110</v>
      </c>
      <c r="I4" s="29"/>
      <c r="J4" s="29"/>
      <c r="K4" s="45" t="s">
        <v>105</v>
      </c>
      <c r="L4" s="29"/>
      <c r="M4" s="29"/>
      <c r="N4" s="45" t="s">
        <v>105</v>
      </c>
    </row>
    <row r="5" spans="1:14" ht="16.5" customHeight="1">
      <c r="A5" s="31">
        <v>1</v>
      </c>
      <c r="B5" s="31" t="s">
        <v>55</v>
      </c>
      <c r="C5" s="12">
        <v>6</v>
      </c>
      <c r="D5" s="12">
        <v>24</v>
      </c>
      <c r="E5" s="16">
        <f aca="true" t="shared" si="0" ref="E5:E15">D5-C5</f>
        <v>18</v>
      </c>
      <c r="F5" s="12"/>
      <c r="G5" s="12">
        <v>3</v>
      </c>
      <c r="H5" s="16">
        <f aca="true" t="shared" si="1" ref="H5:H15">G5-F5</f>
        <v>3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5</v>
      </c>
      <c r="D6" s="12">
        <v>3</v>
      </c>
      <c r="E6" s="16">
        <f t="shared" si="0"/>
        <v>-2</v>
      </c>
      <c r="F6" s="12"/>
      <c r="G6" s="12"/>
      <c r="H6" s="16">
        <f t="shared" si="1"/>
        <v>0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4</v>
      </c>
      <c r="D7" s="12">
        <v>12</v>
      </c>
      <c r="E7" s="16">
        <f t="shared" si="0"/>
        <v>8</v>
      </c>
      <c r="F7" s="12"/>
      <c r="G7" s="12"/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28</v>
      </c>
      <c r="D8" s="12">
        <v>43</v>
      </c>
      <c r="E8" s="16">
        <f t="shared" si="0"/>
        <v>15</v>
      </c>
      <c r="F8" s="12"/>
      <c r="G8" s="12"/>
      <c r="H8" s="16">
        <f t="shared" si="1"/>
        <v>0</v>
      </c>
      <c r="I8" s="16">
        <v>12</v>
      </c>
      <c r="J8" s="16">
        <v>15</v>
      </c>
      <c r="K8" s="12">
        <f>J8-I8</f>
        <v>3</v>
      </c>
      <c r="L8" s="12">
        <v>5</v>
      </c>
      <c r="M8" s="12">
        <v>15</v>
      </c>
      <c r="N8" s="12">
        <f>M8-L8</f>
        <v>10</v>
      </c>
    </row>
    <row r="9" spans="1:14" ht="16.5" customHeight="1">
      <c r="A9" s="31">
        <v>5</v>
      </c>
      <c r="B9" s="31" t="s">
        <v>59</v>
      </c>
      <c r="C9" s="12">
        <v>14</v>
      </c>
      <c r="D9" s="12">
        <v>6</v>
      </c>
      <c r="E9" s="16">
        <f t="shared" si="0"/>
        <v>-8</v>
      </c>
      <c r="F9" s="12"/>
      <c r="G9" s="12"/>
      <c r="H9" s="16">
        <f t="shared" si="1"/>
        <v>0</v>
      </c>
      <c r="I9" s="12">
        <v>16</v>
      </c>
      <c r="J9" s="12">
        <v>15</v>
      </c>
      <c r="K9" s="12">
        <f>J9-I9</f>
        <v>-1</v>
      </c>
      <c r="L9" s="12"/>
      <c r="M9" s="16">
        <v>2</v>
      </c>
      <c r="N9" s="12">
        <f>M9-L9</f>
        <v>2</v>
      </c>
    </row>
    <row r="10" spans="1:14" ht="16.5" customHeight="1">
      <c r="A10" s="31">
        <v>6</v>
      </c>
      <c r="B10" s="32" t="s">
        <v>73</v>
      </c>
      <c r="C10" s="12">
        <v>4</v>
      </c>
      <c r="D10" s="12"/>
      <c r="E10" s="16">
        <f t="shared" si="0"/>
        <v>-4</v>
      </c>
      <c r="F10" s="12"/>
      <c r="G10" s="12"/>
      <c r="H10" s="16">
        <f t="shared" si="1"/>
        <v>0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5</v>
      </c>
      <c r="D11" s="12"/>
      <c r="E11" s="16">
        <f t="shared" si="0"/>
        <v>-5</v>
      </c>
      <c r="F11" s="12"/>
      <c r="G11" s="12"/>
      <c r="H11" s="16">
        <f t="shared" si="1"/>
        <v>0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87</v>
      </c>
      <c r="C12" s="12"/>
      <c r="D12" s="12">
        <v>10</v>
      </c>
      <c r="E12" s="16">
        <f t="shared" si="0"/>
        <v>10</v>
      </c>
      <c r="F12" s="12"/>
      <c r="G12" s="12">
        <v>2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72</v>
      </c>
      <c r="C13" s="12">
        <v>6</v>
      </c>
      <c r="D13" s="12">
        <v>27</v>
      </c>
      <c r="E13" s="16">
        <f t="shared" si="0"/>
        <v>21</v>
      </c>
      <c r="F13" s="12">
        <v>3</v>
      </c>
      <c r="G13" s="12">
        <v>12</v>
      </c>
      <c r="H13" s="16">
        <f t="shared" si="1"/>
        <v>9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10</v>
      </c>
      <c r="D14" s="12">
        <v>5</v>
      </c>
      <c r="E14" s="16">
        <f t="shared" si="0"/>
        <v>-5</v>
      </c>
      <c r="F14" s="12">
        <v>5</v>
      </c>
      <c r="G14" s="12"/>
      <c r="H14" s="16">
        <f t="shared" si="1"/>
        <v>-5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/>
      <c r="D15" s="12">
        <v>1</v>
      </c>
      <c r="E15" s="16">
        <f t="shared" si="0"/>
        <v>1</v>
      </c>
      <c r="F15" s="12"/>
      <c r="G15" s="12"/>
      <c r="H15" s="16">
        <f t="shared" si="1"/>
        <v>0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165</v>
      </c>
      <c r="J16" s="12">
        <v>154</v>
      </c>
      <c r="K16" s="12">
        <f>J16-I16</f>
        <v>-11</v>
      </c>
      <c r="L16" s="12">
        <v>89</v>
      </c>
      <c r="M16" s="12">
        <v>72</v>
      </c>
      <c r="N16" s="12">
        <f>M16-L16</f>
        <v>-17</v>
      </c>
    </row>
    <row r="17" spans="1:14" ht="60.75" customHeight="1">
      <c r="A17" s="151" t="s">
        <v>100</v>
      </c>
      <c r="B17" s="152"/>
      <c r="C17" s="12">
        <f>SUM(C5:C15)</f>
        <v>82</v>
      </c>
      <c r="D17" s="12">
        <f>SUM(D5:D16)</f>
        <v>131</v>
      </c>
      <c r="E17" s="12">
        <f>D17-C17</f>
        <v>49</v>
      </c>
      <c r="F17" s="12">
        <f>SUM(F5:F16)</f>
        <v>8</v>
      </c>
      <c r="G17" s="12">
        <f>SUM(G5:G16)</f>
        <v>17</v>
      </c>
      <c r="H17" s="12">
        <f>G17-F17</f>
        <v>9</v>
      </c>
      <c r="I17" s="12">
        <f>SUM(I5:I16)</f>
        <v>193</v>
      </c>
      <c r="J17" s="12">
        <f>SUM(J5:J16)</f>
        <v>184</v>
      </c>
      <c r="K17" s="12">
        <f>J17-I17</f>
        <v>-9</v>
      </c>
      <c r="L17" s="12">
        <f>SUM(L5:L16)</f>
        <v>94</v>
      </c>
      <c r="M17" s="12">
        <f>SUM(M5:M16)</f>
        <v>89</v>
      </c>
      <c r="N17" s="12">
        <f>M17-L17</f>
        <v>-5</v>
      </c>
    </row>
    <row r="18" spans="1:14" ht="16.5" customHeight="1">
      <c r="A18" s="31">
        <v>1</v>
      </c>
      <c r="B18" s="32" t="s">
        <v>82</v>
      </c>
      <c r="C18" s="12"/>
      <c r="D18" s="16"/>
      <c r="E18" s="12">
        <f>D18-C18</f>
        <v>0</v>
      </c>
      <c r="F18" s="16"/>
      <c r="G18" s="16"/>
      <c r="H18" s="12">
        <f>G18-F18</f>
        <v>0</v>
      </c>
      <c r="I18" s="12"/>
      <c r="J18" s="12"/>
      <c r="K18" s="12">
        <f>J18-I18</f>
        <v>0</v>
      </c>
      <c r="L18" s="12"/>
      <c r="M18" s="12"/>
      <c r="N18" s="12">
        <f>M18-L18</f>
        <v>0</v>
      </c>
    </row>
    <row r="19" spans="1:14" ht="18.75" customHeight="1">
      <c r="A19" s="151" t="s">
        <v>90</v>
      </c>
      <c r="B19" s="152"/>
      <c r="C19" s="12"/>
      <c r="D19" s="12"/>
      <c r="E19" s="12">
        <f>D19-C19</f>
        <v>0</v>
      </c>
      <c r="F19" s="12"/>
      <c r="G19" s="12"/>
      <c r="H19" s="12">
        <f>G19-F19</f>
        <v>0</v>
      </c>
      <c r="I19" s="12"/>
      <c r="J19" s="12"/>
      <c r="K19" s="12">
        <f>J19-I19</f>
        <v>0</v>
      </c>
      <c r="L19" s="12"/>
      <c r="M19" s="12"/>
      <c r="N19" s="12">
        <f>M19-L19</f>
        <v>0</v>
      </c>
    </row>
    <row r="20" spans="1:14" ht="39" customHeight="1">
      <c r="A20" s="153" t="s">
        <v>91</v>
      </c>
      <c r="B20" s="154"/>
      <c r="C20" s="12">
        <f>C17+C19</f>
        <v>82</v>
      </c>
      <c r="D20" s="12">
        <f>D17+D19</f>
        <v>131</v>
      </c>
      <c r="E20" s="12">
        <f>D20-C20</f>
        <v>49</v>
      </c>
      <c r="F20" s="12">
        <f>F17+F19</f>
        <v>8</v>
      </c>
      <c r="G20" s="12">
        <f>G17+G19</f>
        <v>17</v>
      </c>
      <c r="H20" s="12">
        <f>G20-F20</f>
        <v>9</v>
      </c>
      <c r="I20" s="12">
        <f>I17+I19</f>
        <v>193</v>
      </c>
      <c r="J20" s="12">
        <f>J17+J19</f>
        <v>184</v>
      </c>
      <c r="K20" s="12">
        <f>J20-I20</f>
        <v>-9</v>
      </c>
      <c r="L20" s="12">
        <f>L17+L19</f>
        <v>94</v>
      </c>
      <c r="M20" s="12">
        <f>M17+M19</f>
        <v>89</v>
      </c>
      <c r="N20" s="12">
        <f>M20-L20</f>
        <v>-5</v>
      </c>
    </row>
  </sheetData>
  <sheetProtection/>
  <mergeCells count="6">
    <mergeCell ref="C1:K1"/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M17" sqref="M17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9" t="s">
        <v>111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48" t="s">
        <v>2</v>
      </c>
      <c r="B3" s="148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2"/>
      <c r="B4" s="192"/>
      <c r="C4" s="18">
        <v>2011</v>
      </c>
      <c r="D4" s="19">
        <v>2012</v>
      </c>
      <c r="E4" s="19" t="s">
        <v>97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2"/>
      <c r="B5" s="192"/>
      <c r="C5" s="40"/>
      <c r="D5" s="11"/>
      <c r="E5" s="11" t="s">
        <v>98</v>
      </c>
      <c r="F5" s="29"/>
      <c r="G5" s="28"/>
      <c r="H5" s="29" t="s">
        <v>99</v>
      </c>
      <c r="I5" s="18">
        <v>2011</v>
      </c>
      <c r="J5" s="19">
        <v>2012</v>
      </c>
      <c r="K5" s="29" t="s">
        <v>99</v>
      </c>
      <c r="L5" s="18">
        <v>2011</v>
      </c>
      <c r="M5" s="19">
        <v>2012</v>
      </c>
      <c r="N5" s="29" t="s">
        <v>99</v>
      </c>
    </row>
    <row r="6" spans="1:14" ht="16.5" customHeight="1">
      <c r="A6" s="31">
        <v>1</v>
      </c>
      <c r="B6" s="31" t="s">
        <v>55</v>
      </c>
      <c r="C6" s="36">
        <v>30</v>
      </c>
      <c r="D6" s="36">
        <v>14</v>
      </c>
      <c r="E6" s="36">
        <f aca="true" t="shared" si="0" ref="E6:E17">D6*100/C6</f>
        <v>46.666666666666664</v>
      </c>
      <c r="F6" s="36">
        <v>30</v>
      </c>
      <c r="G6" s="36">
        <v>14</v>
      </c>
      <c r="H6" s="36">
        <f aca="true" t="shared" si="1" ref="H6:H17">G6-F6</f>
        <v>-16</v>
      </c>
      <c r="I6" s="36">
        <f>F6*100/180</f>
        <v>16.666666666666668</v>
      </c>
      <c r="J6" s="36">
        <f>G6*100/180</f>
        <v>7.777777777777778</v>
      </c>
      <c r="K6" s="36">
        <f aca="true" t="shared" si="2" ref="K6:K17">J6-I6</f>
        <v>-8.88888888888889</v>
      </c>
      <c r="L6" s="36">
        <f>(C6-F6)*100/180</f>
        <v>0</v>
      </c>
      <c r="M6" s="36">
        <f>(D6-G6)*100/180</f>
        <v>0</v>
      </c>
      <c r="N6" s="36">
        <f>M6-L6</f>
        <v>0</v>
      </c>
    </row>
    <row r="7" spans="1:14" ht="16.5" customHeight="1">
      <c r="A7" s="31">
        <v>2</v>
      </c>
      <c r="B7" s="31" t="s">
        <v>56</v>
      </c>
      <c r="C7" s="36"/>
      <c r="D7" s="36">
        <v>6</v>
      </c>
      <c r="E7" s="36"/>
      <c r="F7" s="36"/>
      <c r="G7" s="36">
        <v>6</v>
      </c>
      <c r="H7" s="36">
        <f t="shared" si="1"/>
        <v>6</v>
      </c>
      <c r="I7" s="36">
        <f>F7*100/105</f>
        <v>0</v>
      </c>
      <c r="J7" s="36">
        <f>G7*100/105</f>
        <v>5.714285714285714</v>
      </c>
      <c r="K7" s="36">
        <f>J7-I7</f>
        <v>5.714285714285714</v>
      </c>
      <c r="L7" s="36">
        <f>(C7-F7)*100/105</f>
        <v>0</v>
      </c>
      <c r="M7" s="36">
        <f>(D7-G7)*100/105</f>
        <v>0</v>
      </c>
      <c r="N7" s="36">
        <f>M7-L7</f>
        <v>0</v>
      </c>
    </row>
    <row r="8" spans="1:14" ht="16.5" customHeight="1">
      <c r="A8" s="31">
        <v>3</v>
      </c>
      <c r="B8" s="31" t="s">
        <v>57</v>
      </c>
      <c r="C8" s="36">
        <v>15</v>
      </c>
      <c r="D8" s="36">
        <v>7</v>
      </c>
      <c r="E8" s="36">
        <f t="shared" si="0"/>
        <v>46.666666666666664</v>
      </c>
      <c r="F8" s="36">
        <v>15</v>
      </c>
      <c r="G8" s="36">
        <v>7</v>
      </c>
      <c r="H8" s="36">
        <f t="shared" si="1"/>
        <v>-8</v>
      </c>
      <c r="I8" s="36">
        <f>F8*100/60</f>
        <v>25</v>
      </c>
      <c r="J8" s="36">
        <f>G8*100/60</f>
        <v>11.666666666666666</v>
      </c>
      <c r="K8" s="36">
        <f>J8-I8</f>
        <v>-13.333333333333334</v>
      </c>
      <c r="L8" s="36">
        <f>(C8-F8)*100/60</f>
        <v>0</v>
      </c>
      <c r="M8" s="36">
        <f>(D8-G8)*100/60</f>
        <v>0</v>
      </c>
      <c r="N8" s="36">
        <f>M8-L8</f>
        <v>0</v>
      </c>
    </row>
    <row r="9" spans="1:14" ht="16.5" customHeight="1">
      <c r="A9" s="31">
        <v>4</v>
      </c>
      <c r="B9" s="22" t="s">
        <v>58</v>
      </c>
      <c r="C9" s="36"/>
      <c r="D9" s="36">
        <v>27</v>
      </c>
      <c r="E9" s="36"/>
      <c r="F9" s="36"/>
      <c r="G9" s="36">
        <v>27</v>
      </c>
      <c r="H9" s="36">
        <f t="shared" si="1"/>
        <v>27</v>
      </c>
      <c r="I9" s="36">
        <f>F9*100/308</f>
        <v>0</v>
      </c>
      <c r="J9" s="36">
        <f>G9*100/308</f>
        <v>8.766233766233766</v>
      </c>
      <c r="K9" s="36">
        <f t="shared" si="2"/>
        <v>8.766233766233766</v>
      </c>
      <c r="L9" s="36">
        <f>(C9-F9)*100/308</f>
        <v>0</v>
      </c>
      <c r="M9" s="36">
        <f>(D9-G9)*100/308</f>
        <v>0</v>
      </c>
      <c r="N9" s="36">
        <f aca="true" t="shared" si="3" ref="N9:N17">M9-L9</f>
        <v>0</v>
      </c>
    </row>
    <row r="10" spans="1:14" ht="16.5" customHeight="1">
      <c r="A10" s="31">
        <v>5</v>
      </c>
      <c r="B10" s="31" t="s">
        <v>59</v>
      </c>
      <c r="C10" s="36">
        <v>21</v>
      </c>
      <c r="D10" s="36">
        <v>28</v>
      </c>
      <c r="E10" s="36">
        <f t="shared" si="0"/>
        <v>133.33333333333334</v>
      </c>
      <c r="F10" s="36">
        <v>21</v>
      </c>
      <c r="G10" s="36">
        <v>20</v>
      </c>
      <c r="H10" s="36">
        <f t="shared" si="1"/>
        <v>-1</v>
      </c>
      <c r="I10" s="36">
        <f>F10*100/280</f>
        <v>7.5</v>
      </c>
      <c r="J10" s="36">
        <f>G10*100/280</f>
        <v>7.142857142857143</v>
      </c>
      <c r="K10" s="36">
        <f t="shared" si="2"/>
        <v>-0.35714285714285676</v>
      </c>
      <c r="L10" s="36">
        <f>(C10-F10)*100/280</f>
        <v>0</v>
      </c>
      <c r="M10" s="36">
        <f>(D10-G10)*100/280</f>
        <v>2.857142857142857</v>
      </c>
      <c r="N10" s="36">
        <f t="shared" si="3"/>
        <v>2.857142857142857</v>
      </c>
    </row>
    <row r="11" spans="1:14" ht="16.5" customHeight="1">
      <c r="A11" s="31">
        <v>6</v>
      </c>
      <c r="B11" s="32" t="s">
        <v>73</v>
      </c>
      <c r="C11" s="90">
        <v>14</v>
      </c>
      <c r="D11" s="90">
        <v>19</v>
      </c>
      <c r="E11" s="36">
        <f t="shared" si="0"/>
        <v>135.71428571428572</v>
      </c>
      <c r="F11" s="90">
        <v>14</v>
      </c>
      <c r="G11" s="90">
        <v>16</v>
      </c>
      <c r="H11" s="36">
        <f t="shared" si="1"/>
        <v>2</v>
      </c>
      <c r="I11" s="90">
        <f>F11*100/85</f>
        <v>16.470588235294116</v>
      </c>
      <c r="J11" s="90">
        <f>G11*100/85</f>
        <v>18.823529411764707</v>
      </c>
      <c r="K11" s="36">
        <f t="shared" si="2"/>
        <v>2.3529411764705905</v>
      </c>
      <c r="L11" s="36">
        <f>(C11-F11)*100/85</f>
        <v>0</v>
      </c>
      <c r="M11" s="36">
        <f>(D11-G11)*100/85</f>
        <v>3.5294117647058822</v>
      </c>
      <c r="N11" s="90">
        <f t="shared" si="3"/>
        <v>3.5294117647058822</v>
      </c>
    </row>
    <row r="12" spans="1:14" ht="16.5" customHeight="1">
      <c r="A12" s="31">
        <v>7</v>
      </c>
      <c r="B12" s="32" t="s">
        <v>60</v>
      </c>
      <c r="C12" s="90">
        <v>12</v>
      </c>
      <c r="D12" s="90"/>
      <c r="E12" s="36">
        <f t="shared" si="0"/>
        <v>0</v>
      </c>
      <c r="F12" s="90">
        <v>12</v>
      </c>
      <c r="G12" s="90"/>
      <c r="H12" s="36">
        <f t="shared" si="1"/>
        <v>-12</v>
      </c>
      <c r="I12" s="90">
        <f>F12*100/60</f>
        <v>20</v>
      </c>
      <c r="J12" s="90">
        <f>G12*100/60</f>
        <v>0</v>
      </c>
      <c r="K12" s="36">
        <f t="shared" si="2"/>
        <v>-20</v>
      </c>
      <c r="L12" s="36">
        <f>(C12-F12)*100/60</f>
        <v>0</v>
      </c>
      <c r="M12" s="36">
        <f>(D12-G12)*100/60</f>
        <v>0</v>
      </c>
      <c r="N12" s="90">
        <f t="shared" si="3"/>
        <v>0</v>
      </c>
    </row>
    <row r="13" spans="1:14" ht="16.5" customHeight="1">
      <c r="A13" s="31">
        <v>8</v>
      </c>
      <c r="B13" s="32" t="s">
        <v>87</v>
      </c>
      <c r="C13" s="120"/>
      <c r="D13" s="90">
        <v>21</v>
      </c>
      <c r="E13" s="36">
        <f>D13*100/C14</f>
        <v>100</v>
      </c>
      <c r="F13" s="90"/>
      <c r="G13" s="90">
        <v>21</v>
      </c>
      <c r="H13" s="36">
        <f t="shared" si="1"/>
        <v>21</v>
      </c>
      <c r="I13" s="90"/>
      <c r="J13" s="90">
        <f>G13*100/5</f>
        <v>420</v>
      </c>
      <c r="K13" s="36"/>
      <c r="L13" s="36"/>
      <c r="M13" s="36">
        <f>(D13-G13)*100/5</f>
        <v>0</v>
      </c>
      <c r="N13" s="90"/>
    </row>
    <row r="14" spans="1:14" ht="16.5" customHeight="1">
      <c r="A14" s="31">
        <v>9</v>
      </c>
      <c r="B14" s="32" t="s">
        <v>72</v>
      </c>
      <c r="C14" s="90">
        <v>21</v>
      </c>
      <c r="D14" s="90">
        <v>15</v>
      </c>
      <c r="E14" s="36">
        <f>D14*100/C15</f>
        <v>250</v>
      </c>
      <c r="F14" s="90">
        <v>21</v>
      </c>
      <c r="G14" s="90">
        <v>15</v>
      </c>
      <c r="H14" s="36">
        <f t="shared" si="1"/>
        <v>-6</v>
      </c>
      <c r="I14" s="90">
        <f>F14*100/78</f>
        <v>26.923076923076923</v>
      </c>
      <c r="J14" s="90">
        <f>G14*100/78</f>
        <v>19.23076923076923</v>
      </c>
      <c r="K14" s="36">
        <f t="shared" si="2"/>
        <v>-7.692307692307693</v>
      </c>
      <c r="L14" s="36">
        <f>(C14-F14)*100/78</f>
        <v>0</v>
      </c>
      <c r="M14" s="36">
        <f>(D14-G14)*100/78</f>
        <v>0</v>
      </c>
      <c r="N14" s="90">
        <f t="shared" si="3"/>
        <v>0</v>
      </c>
    </row>
    <row r="15" spans="1:14" ht="16.5" customHeight="1">
      <c r="A15" s="31">
        <v>10</v>
      </c>
      <c r="B15" s="32" t="s">
        <v>61</v>
      </c>
      <c r="C15" s="90">
        <v>6</v>
      </c>
      <c r="D15" s="90"/>
      <c r="E15" s="36">
        <f>D15*100/C16</f>
        <v>0</v>
      </c>
      <c r="F15" s="90">
        <v>6</v>
      </c>
      <c r="G15" s="90"/>
      <c r="H15" s="36">
        <f t="shared" si="1"/>
        <v>-6</v>
      </c>
      <c r="I15" s="90">
        <f>F15*100/100</f>
        <v>6</v>
      </c>
      <c r="J15" s="90">
        <f>G15*100/100</f>
        <v>0</v>
      </c>
      <c r="K15" s="36">
        <f t="shared" si="2"/>
        <v>-6</v>
      </c>
      <c r="L15" s="36">
        <f>(C15-F15)*100/100</f>
        <v>0</v>
      </c>
      <c r="M15" s="36">
        <f>(D15-G15)*100/100</f>
        <v>0</v>
      </c>
      <c r="N15" s="90">
        <f t="shared" si="3"/>
        <v>0</v>
      </c>
    </row>
    <row r="16" spans="1:14" ht="16.5" customHeight="1">
      <c r="A16" s="31">
        <v>11</v>
      </c>
      <c r="B16" s="32" t="s">
        <v>62</v>
      </c>
      <c r="C16" s="90">
        <v>12</v>
      </c>
      <c r="D16" s="90">
        <v>10</v>
      </c>
      <c r="E16" s="36">
        <f>D16*100/C17</f>
        <v>7.633587786259542</v>
      </c>
      <c r="F16" s="90">
        <v>12</v>
      </c>
      <c r="G16" s="90">
        <v>10</v>
      </c>
      <c r="H16" s="36">
        <f t="shared" si="1"/>
        <v>-2</v>
      </c>
      <c r="I16" s="90">
        <f>F16*100/42</f>
        <v>28.571428571428573</v>
      </c>
      <c r="J16" s="90">
        <f>G16*100/42</f>
        <v>23.80952380952381</v>
      </c>
      <c r="K16" s="36">
        <f t="shared" si="2"/>
        <v>-4.761904761904763</v>
      </c>
      <c r="L16" s="36">
        <f>(C16-F16)*100/42</f>
        <v>0</v>
      </c>
      <c r="M16" s="36">
        <f>(D16-G16)*100/42</f>
        <v>0</v>
      </c>
      <c r="N16" s="90">
        <f t="shared" si="3"/>
        <v>0</v>
      </c>
    </row>
    <row r="17" spans="1:14" ht="61.5" customHeight="1">
      <c r="A17" s="190" t="s">
        <v>96</v>
      </c>
      <c r="B17" s="191"/>
      <c r="C17" s="36">
        <f>SUM(C6:C16)</f>
        <v>131</v>
      </c>
      <c r="D17" s="3">
        <f>SUM(D6:D16)</f>
        <v>147</v>
      </c>
      <c r="E17" s="36">
        <f t="shared" si="0"/>
        <v>112.21374045801527</v>
      </c>
      <c r="F17" s="3">
        <f>SUM(F6:F16)</f>
        <v>131</v>
      </c>
      <c r="G17" s="3">
        <f>SUM(G6:G16)</f>
        <v>136</v>
      </c>
      <c r="H17" s="36">
        <f t="shared" si="1"/>
        <v>5</v>
      </c>
      <c r="I17" s="36">
        <f>F17*100/1298</f>
        <v>10.092449922958398</v>
      </c>
      <c r="J17" s="36">
        <f>G17*100/1303</f>
        <v>10.437452033768228</v>
      </c>
      <c r="K17" s="36">
        <f t="shared" si="2"/>
        <v>0.3450021108098298</v>
      </c>
      <c r="L17" s="36">
        <f>(C17-F17)*100/1298</f>
        <v>0</v>
      </c>
      <c r="M17" s="36">
        <f>(D17-G17)*100/1303</f>
        <v>0.8442056792018419</v>
      </c>
      <c r="N17" s="36">
        <f t="shared" si="3"/>
        <v>0.8442056792018419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93" t="s">
        <v>112</v>
      </c>
      <c r="B1" s="193"/>
      <c r="C1" s="193"/>
      <c r="D1" s="193"/>
      <c r="E1" s="193"/>
      <c r="F1" s="193"/>
      <c r="G1" s="76"/>
      <c r="H1" s="76"/>
      <c r="I1" s="76"/>
    </row>
    <row r="2" spans="1:9" ht="15.75">
      <c r="A2" s="194" t="s">
        <v>115</v>
      </c>
      <c r="B2" s="194"/>
      <c r="C2" s="194"/>
      <c r="D2" s="194"/>
      <c r="E2" s="194"/>
      <c r="F2" s="194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17.92</v>
      </c>
      <c r="D5" s="36">
        <f>(молоко!D7*1000)/1875</f>
        <v>14.613333333333333</v>
      </c>
      <c r="E5" s="36">
        <f>(мясо!C6*1000)/1875</f>
        <v>3.2</v>
      </c>
      <c r="F5" s="36">
        <f>(мясо!D6*1000)/1875</f>
        <v>1.8666666666666667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17.146433041301627</v>
      </c>
      <c r="D6" s="36">
        <f>(молоко!D8*1000)/799</f>
        <v>11.264080100125156</v>
      </c>
      <c r="E6" s="36">
        <f>(мясо!C7*1000)/799</f>
        <v>2.8785982478097623</v>
      </c>
      <c r="F6" s="36">
        <f>(мясо!D7*1000)/799</f>
        <v>0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7.802469135802469</v>
      </c>
      <c r="D7" s="36">
        <f>(молоко!D9*1000)/2025</f>
        <v>6.864197530864198</v>
      </c>
      <c r="E7" s="36">
        <f>(мясо!C8*1000)/2025</f>
        <v>0.6419753086419753</v>
      </c>
      <c r="F7" s="36">
        <f>(мясо!D8*1000)/2025</f>
        <v>0.5925925925925926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19.330104923325262</v>
      </c>
      <c r="D8" s="36">
        <f>(молоко!D10*1000)/2478</f>
        <v>30.7909604519774</v>
      </c>
      <c r="E8" s="36">
        <f>(мясо!C9*1000)/2478</f>
        <v>5.5690072639225185</v>
      </c>
      <c r="F8" s="36">
        <f>(мясо!D9*1000)/2478</f>
        <v>1.2510088781275222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21.789522484932778</v>
      </c>
      <c r="D9" s="36">
        <f>(молоко!D11*1000)/2157</f>
        <v>8.344923504867872</v>
      </c>
      <c r="E9" s="36">
        <f>(мясо!C10*1000)/2157</f>
        <v>2.5961984237366713</v>
      </c>
      <c r="F9" s="36">
        <f>(мясо!D10*1000)/2157</f>
        <v>5.84144645340751</v>
      </c>
      <c r="H9" s="76"/>
      <c r="I9" s="76"/>
    </row>
    <row r="10" spans="1:9" ht="15">
      <c r="A10" s="3">
        <v>6</v>
      </c>
      <c r="B10" s="38" t="s">
        <v>73</v>
      </c>
      <c r="C10" s="36">
        <f>(молоко!C12*1000)/859</f>
        <v>35.739231664726425</v>
      </c>
      <c r="D10" s="36">
        <f>(молоко!D12*1000)/859</f>
        <v>35.85564610011642</v>
      </c>
      <c r="E10" s="36">
        <f>(мясо!C11*1000)/859</f>
        <v>1.7462165308498254</v>
      </c>
      <c r="F10" s="36">
        <f>(мясо!D11*1000)/859</f>
        <v>0.9313154831199069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10.728744939271255</v>
      </c>
      <c r="D11" s="36">
        <f>(молоко!D13*1000)/1482</f>
        <v>0</v>
      </c>
      <c r="E11" s="36">
        <f>(мясо!C12*1000)/1482</f>
        <v>0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87</v>
      </c>
      <c r="C12" s="36"/>
      <c r="D12" s="36"/>
      <c r="E12" s="36"/>
      <c r="F12" s="36"/>
      <c r="H12" s="76"/>
      <c r="I12" s="76"/>
    </row>
    <row r="13" spans="1:9" ht="15.75" customHeight="1">
      <c r="A13" s="3">
        <v>9</v>
      </c>
      <c r="B13" s="32" t="s">
        <v>72</v>
      </c>
      <c r="C13" s="36">
        <f>(молоко!C15*1000)/1077</f>
        <v>33.42618384401114</v>
      </c>
      <c r="D13" s="36">
        <f>(молоко!D15*1000)/1077</f>
        <v>33.459610027855156</v>
      </c>
      <c r="E13" s="36">
        <f>(мясо!C14*1000)/1077</f>
        <v>1.6713091922005572</v>
      </c>
      <c r="F13" s="36">
        <f>(мясо!D14*1000)/1077</f>
        <v>0.2042711234911792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15.682656826568266</v>
      </c>
      <c r="D14" s="36">
        <f>(молоко!D16*1000)/1084</f>
        <v>16.974169741697416</v>
      </c>
      <c r="E14" s="36">
        <f>(мясо!C15*1000)/1084</f>
        <v>0.2767527675276753</v>
      </c>
      <c r="F14" s="36">
        <f>(мясо!D15*1000)/1084</f>
        <v>0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16.468842729970326</v>
      </c>
      <c r="D15" s="36">
        <f>(молоко!D17*1000)/674</f>
        <v>10.534124629080118</v>
      </c>
      <c r="E15" s="36">
        <f>(мясо!C16*1000)/674</f>
        <v>2.6706231454005933</v>
      </c>
      <c r="F15" s="36">
        <f>(мясо!D16*1000)/674</f>
        <v>0.5934718100890207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62.054933875890136</v>
      </c>
      <c r="F16" s="36">
        <f>(мясо!D17*1000)/983</f>
        <v>73.24516785350967</v>
      </c>
      <c r="H16" s="76"/>
      <c r="I16" s="76"/>
    </row>
    <row r="17" spans="1:6" ht="63.75" customHeight="1">
      <c r="A17" s="190" t="s">
        <v>96</v>
      </c>
      <c r="B17" s="191"/>
      <c r="C17" s="36">
        <f>(молоко!C18*1000)/22877</f>
        <v>11.745421165362593</v>
      </c>
      <c r="D17" s="36">
        <f>(молоко!D18*1000)/22877</f>
        <v>11.099619705380952</v>
      </c>
      <c r="E17" s="36">
        <f>(мясо!C23*1000)/22877</f>
        <v>4.213839227171394</v>
      </c>
      <c r="F17" s="36">
        <f>(мясо!D23*1000)/22877</f>
        <v>4.363334353280587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75" zoomScaleSheetLayoutView="70" zoomScalePageLayoutView="0" workbookViewId="0" topLeftCell="A1">
      <selection activeCell="A19" sqref="A19:K19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114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3" t="s">
        <v>2</v>
      </c>
      <c r="B3" s="197" t="s">
        <v>3</v>
      </c>
      <c r="C3" s="198" t="s">
        <v>92</v>
      </c>
      <c r="D3" s="199"/>
      <c r="E3" s="200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1"/>
      <c r="B4" s="171"/>
      <c r="C4" s="58">
        <v>2011</v>
      </c>
      <c r="D4" s="54">
        <v>2012</v>
      </c>
      <c r="E4" s="54" t="s">
        <v>97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97</v>
      </c>
      <c r="K4" s="61" t="s">
        <v>18</v>
      </c>
    </row>
    <row r="5" spans="1:11" ht="18">
      <c r="A5" s="144"/>
      <c r="B5" s="144"/>
      <c r="C5" s="62"/>
      <c r="D5" s="63"/>
      <c r="E5" s="63" t="s">
        <v>98</v>
      </c>
      <c r="F5" s="63" t="s">
        <v>13</v>
      </c>
      <c r="G5" s="64"/>
      <c r="H5" s="62"/>
      <c r="I5" s="63"/>
      <c r="J5" s="63" t="s">
        <v>98</v>
      </c>
      <c r="K5" s="65" t="s">
        <v>0</v>
      </c>
    </row>
    <row r="6" spans="1:11" ht="18" customHeight="1">
      <c r="A6" s="201" t="s">
        <v>93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6.5" customHeight="1">
      <c r="A7" s="31">
        <v>1</v>
      </c>
      <c r="B7" s="66" t="s">
        <v>55</v>
      </c>
      <c r="C7" s="12">
        <v>33.6</v>
      </c>
      <c r="D7" s="12">
        <v>27.4</v>
      </c>
      <c r="E7" s="13">
        <f aca="true" t="shared" si="0" ref="E7:E17">D7/C7*100</f>
        <v>81.54761904761904</v>
      </c>
      <c r="F7" s="12">
        <v>23.8</v>
      </c>
      <c r="G7" s="13">
        <f aca="true" t="shared" si="1" ref="G7:G17">F7/D7*100</f>
        <v>86.86131386861314</v>
      </c>
      <c r="H7" s="17">
        <f>C7/'численность 1'!J6*1000</f>
        <v>186.66666666666669</v>
      </c>
      <c r="I7" s="17">
        <f>D7/'численность 1'!K6*1000</f>
        <v>152.2222222222222</v>
      </c>
      <c r="J7" s="13">
        <f aca="true" t="shared" si="2" ref="J7:J20">I7/H7*100</f>
        <v>81.54761904761902</v>
      </c>
      <c r="K7" s="12"/>
    </row>
    <row r="8" spans="1:11" ht="16.5" customHeight="1">
      <c r="A8" s="31">
        <v>2</v>
      </c>
      <c r="B8" s="66" t="s">
        <v>56</v>
      </c>
      <c r="C8" s="12">
        <v>13.7</v>
      </c>
      <c r="D8" s="12">
        <v>9</v>
      </c>
      <c r="E8" s="13">
        <f t="shared" si="0"/>
        <v>65.69343065693431</v>
      </c>
      <c r="F8" s="12">
        <v>8</v>
      </c>
      <c r="G8" s="13">
        <f t="shared" si="1"/>
        <v>88.88888888888889</v>
      </c>
      <c r="H8" s="17">
        <f>C8/'численность 1'!J7*1000</f>
        <v>130.47619047619048</v>
      </c>
      <c r="I8" s="13">
        <f>D8/'численность 1'!K7*1000</f>
        <v>85.71428571428571</v>
      </c>
      <c r="J8" s="13">
        <f t="shared" si="2"/>
        <v>65.69343065693431</v>
      </c>
      <c r="K8" s="12"/>
    </row>
    <row r="9" spans="1:11" ht="16.5" customHeight="1">
      <c r="A9" s="31">
        <v>3</v>
      </c>
      <c r="B9" s="66" t="s">
        <v>57</v>
      </c>
      <c r="C9" s="12">
        <v>15.8</v>
      </c>
      <c r="D9" s="12">
        <v>13.9</v>
      </c>
      <c r="E9" s="13">
        <f t="shared" si="0"/>
        <v>87.9746835443038</v>
      </c>
      <c r="F9" s="12">
        <v>8.9</v>
      </c>
      <c r="G9" s="13">
        <f t="shared" si="1"/>
        <v>64.02877697841727</v>
      </c>
      <c r="H9" s="17">
        <f>C9/'численность 1'!J8*1000</f>
        <v>263.33333333333337</v>
      </c>
      <c r="I9" s="13">
        <f>D9/'численность 1'!K8*1000</f>
        <v>231.66666666666666</v>
      </c>
      <c r="J9" s="13">
        <f t="shared" si="2"/>
        <v>87.97468354430377</v>
      </c>
      <c r="K9" s="12"/>
    </row>
    <row r="10" spans="1:11" ht="16.5" customHeight="1">
      <c r="A10" s="31">
        <v>4</v>
      </c>
      <c r="B10" s="66" t="s">
        <v>58</v>
      </c>
      <c r="C10" s="12">
        <v>47.9</v>
      </c>
      <c r="D10" s="12">
        <v>76.3</v>
      </c>
      <c r="E10" s="13">
        <f t="shared" si="0"/>
        <v>159.2901878914405</v>
      </c>
      <c r="F10" s="12">
        <v>70.1</v>
      </c>
      <c r="G10" s="13">
        <f t="shared" si="1"/>
        <v>91.87418086500655</v>
      </c>
      <c r="H10" s="17">
        <f>C10/'численность 1'!J9*1000</f>
        <v>155.5194805194805</v>
      </c>
      <c r="I10" s="13">
        <f>D10/'численность 1'!K9*1000</f>
        <v>247.72727272727272</v>
      </c>
      <c r="J10" s="13">
        <f t="shared" si="2"/>
        <v>159.29018789144052</v>
      </c>
      <c r="K10" s="12"/>
    </row>
    <row r="11" spans="1:11" ht="16.5" customHeight="1">
      <c r="A11" s="31">
        <v>5</v>
      </c>
      <c r="B11" s="67" t="s">
        <v>59</v>
      </c>
      <c r="C11" s="12">
        <v>47</v>
      </c>
      <c r="D11" s="12">
        <v>18</v>
      </c>
      <c r="E11" s="13">
        <f t="shared" si="0"/>
        <v>38.297872340425535</v>
      </c>
      <c r="F11" s="12">
        <v>11</v>
      </c>
      <c r="G11" s="13">
        <f t="shared" si="1"/>
        <v>61.111111111111114</v>
      </c>
      <c r="H11" s="17">
        <f>C11/'численность 1'!J10*1000</f>
        <v>167.85714285714283</v>
      </c>
      <c r="I11" s="13">
        <f>D11/'численность 1'!K10*1000</f>
        <v>72</v>
      </c>
      <c r="J11" s="13">
        <f t="shared" si="2"/>
        <v>42.893617021276604</v>
      </c>
      <c r="K11" s="12"/>
    </row>
    <row r="12" spans="1:11" ht="16.5" customHeight="1">
      <c r="A12" s="31">
        <v>6</v>
      </c>
      <c r="B12" s="67" t="s">
        <v>73</v>
      </c>
      <c r="C12" s="16">
        <v>30.7</v>
      </c>
      <c r="D12" s="16">
        <v>30.8</v>
      </c>
      <c r="E12" s="13">
        <f t="shared" si="0"/>
        <v>100.3257328990228</v>
      </c>
      <c r="F12" s="16">
        <v>22.1</v>
      </c>
      <c r="G12" s="17">
        <f t="shared" si="1"/>
        <v>71.75324675324676</v>
      </c>
      <c r="H12" s="17">
        <f>C12/'численность 1'!J11*1000</f>
        <v>361.17647058823525</v>
      </c>
      <c r="I12" s="13">
        <f>D12/'численность 1'!K11*1000</f>
        <v>362.3529411764706</v>
      </c>
      <c r="J12" s="13">
        <f t="shared" si="2"/>
        <v>100.32573289902282</v>
      </c>
      <c r="K12" s="16">
        <v>2.6</v>
      </c>
    </row>
    <row r="13" spans="1:11" ht="16.5" customHeight="1">
      <c r="A13" s="31">
        <v>7</v>
      </c>
      <c r="B13" s="67" t="s">
        <v>60</v>
      </c>
      <c r="C13" s="16">
        <v>15.9</v>
      </c>
      <c r="D13" s="16"/>
      <c r="E13" s="13">
        <f t="shared" si="0"/>
        <v>0</v>
      </c>
      <c r="F13" s="16">
        <v>8</v>
      </c>
      <c r="G13" s="17"/>
      <c r="H13" s="17">
        <f>C13/'численность 1'!J12*1000</f>
        <v>265</v>
      </c>
      <c r="I13" s="13"/>
      <c r="J13" s="13"/>
      <c r="K13" s="16"/>
    </row>
    <row r="14" spans="1:11" ht="16.5" customHeight="1">
      <c r="A14" s="31">
        <v>8</v>
      </c>
      <c r="B14" s="67" t="s">
        <v>87</v>
      </c>
      <c r="C14" s="16"/>
      <c r="D14" s="16">
        <v>16.99</v>
      </c>
      <c r="E14" s="13"/>
      <c r="F14" s="16">
        <v>13.7</v>
      </c>
      <c r="G14" s="17">
        <f t="shared" si="1"/>
        <v>80.63566804002355</v>
      </c>
      <c r="H14" s="17"/>
      <c r="I14" s="13">
        <f>D14/'численность 1'!K13*1000</f>
        <v>261.38461538461536</v>
      </c>
      <c r="J14" s="13"/>
      <c r="K14" s="16"/>
    </row>
    <row r="15" spans="1:11" ht="16.5" customHeight="1">
      <c r="A15" s="31">
        <v>9</v>
      </c>
      <c r="B15" s="67" t="s">
        <v>72</v>
      </c>
      <c r="C15" s="16">
        <v>36</v>
      </c>
      <c r="D15" s="16">
        <v>36.036</v>
      </c>
      <c r="E15" s="17">
        <f t="shared" si="0"/>
        <v>100.10000000000001</v>
      </c>
      <c r="F15" s="16">
        <v>31.666</v>
      </c>
      <c r="G15" s="17">
        <f t="shared" si="1"/>
        <v>87.87323787323787</v>
      </c>
      <c r="H15" s="17">
        <f>C15/'численность 1'!J14*1000</f>
        <v>461.53846153846155</v>
      </c>
      <c r="I15" s="17">
        <f>D15/'численность 1'!K14*1000</f>
        <v>462</v>
      </c>
      <c r="J15" s="13">
        <f t="shared" si="2"/>
        <v>100.1</v>
      </c>
      <c r="K15" s="16"/>
    </row>
    <row r="16" spans="1:11" ht="16.5" customHeight="1">
      <c r="A16" s="31">
        <v>10</v>
      </c>
      <c r="B16" s="67" t="s">
        <v>61</v>
      </c>
      <c r="C16" s="16">
        <v>17</v>
      </c>
      <c r="D16" s="16">
        <v>18.4</v>
      </c>
      <c r="E16" s="13">
        <f t="shared" si="0"/>
        <v>108.23529411764706</v>
      </c>
      <c r="F16" s="16">
        <v>15</v>
      </c>
      <c r="G16" s="17">
        <f t="shared" si="1"/>
        <v>81.5217391304348</v>
      </c>
      <c r="H16" s="17">
        <f>C16/'численность 1'!J15*1000</f>
        <v>170</v>
      </c>
      <c r="I16" s="13">
        <f>D16/'численность 1'!K15*1000</f>
        <v>184</v>
      </c>
      <c r="J16" s="13">
        <f t="shared" si="2"/>
        <v>108.23529411764706</v>
      </c>
      <c r="K16" s="16"/>
    </row>
    <row r="17" spans="1:11" ht="16.5" customHeight="1">
      <c r="A17" s="31">
        <v>11</v>
      </c>
      <c r="B17" s="67" t="s">
        <v>62</v>
      </c>
      <c r="C17" s="16">
        <v>11.1</v>
      </c>
      <c r="D17" s="16">
        <v>7.1</v>
      </c>
      <c r="E17" s="13">
        <f t="shared" si="0"/>
        <v>63.96396396396396</v>
      </c>
      <c r="F17" s="16">
        <v>4.8</v>
      </c>
      <c r="G17" s="17">
        <f t="shared" si="1"/>
        <v>67.6056338028169</v>
      </c>
      <c r="H17" s="17">
        <f>C17/'численность 1'!J16*1000</f>
        <v>264.2857142857143</v>
      </c>
      <c r="I17" s="13">
        <f>D17/'численность 1'!K16*1000</f>
        <v>169.04761904761904</v>
      </c>
      <c r="J17" s="13">
        <f t="shared" si="2"/>
        <v>63.96396396396396</v>
      </c>
      <c r="K17" s="16"/>
    </row>
    <row r="18" spans="1:11" ht="57" customHeight="1">
      <c r="A18" s="151" t="s">
        <v>103</v>
      </c>
      <c r="B18" s="152"/>
      <c r="C18" s="16">
        <f>SUM(C7:C17)</f>
        <v>268.70000000000005</v>
      </c>
      <c r="D18" s="68">
        <f>SUM(D7:D17)</f>
        <v>253.92600000000002</v>
      </c>
      <c r="E18" s="13">
        <f>D18/C18*100</f>
        <v>94.50167473018234</v>
      </c>
      <c r="F18" s="68">
        <f>SUM(F7:F17)</f>
        <v>217.066</v>
      </c>
      <c r="G18" s="13">
        <f>F18/D18*100</f>
        <v>85.48395989382733</v>
      </c>
      <c r="H18" s="13">
        <f>C18/'численность 1'!J19*1000</f>
        <v>207.0107858243452</v>
      </c>
      <c r="I18" s="13">
        <f>D18/'численность 1'!K19*1000</f>
        <v>199.47054202670859</v>
      </c>
      <c r="J18" s="13">
        <f t="shared" si="2"/>
        <v>96.3575599369809</v>
      </c>
      <c r="K18" s="68">
        <f>SUM(K7:K17)</f>
        <v>2.6</v>
      </c>
    </row>
    <row r="19" spans="1:11" ht="18">
      <c r="A19" s="201" t="s">
        <v>94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3"/>
    </row>
    <row r="20" spans="1:11" ht="17.25" customHeight="1">
      <c r="A20" s="123">
        <v>1</v>
      </c>
      <c r="B20" s="67" t="s">
        <v>72</v>
      </c>
      <c r="C20" s="125">
        <v>1.05</v>
      </c>
      <c r="D20" s="125">
        <v>0.706</v>
      </c>
      <c r="E20" s="128">
        <f>D20/C20*100</f>
        <v>67.23809523809523</v>
      </c>
      <c r="F20" s="125">
        <v>0.706</v>
      </c>
      <c r="G20" s="128">
        <f>F20/D20*100</f>
        <v>100</v>
      </c>
      <c r="H20" s="126">
        <f>C20/20*1000</f>
        <v>52.50000000000001</v>
      </c>
      <c r="I20" s="126">
        <f>D20/50*1000</f>
        <v>14.12</v>
      </c>
      <c r="J20" s="13">
        <f t="shared" si="2"/>
        <v>26.89523809523809</v>
      </c>
      <c r="K20" s="125"/>
    </row>
    <row r="21" spans="1:11" ht="37.5" customHeight="1">
      <c r="A21" s="195" t="s">
        <v>91</v>
      </c>
      <c r="B21" s="196"/>
      <c r="C21" s="125">
        <f>C18+C20</f>
        <v>269.75000000000006</v>
      </c>
      <c r="D21" s="127">
        <f>D18+D20</f>
        <v>254.632</v>
      </c>
      <c r="E21" s="128">
        <f>D21/C21*100</f>
        <v>94.39555143651528</v>
      </c>
      <c r="F21" s="127">
        <f>F18+F20</f>
        <v>217.772</v>
      </c>
      <c r="G21" s="128">
        <f>F21/D21*100</f>
        <v>85.52420748374124</v>
      </c>
      <c r="H21" s="125" t="s">
        <v>95</v>
      </c>
      <c r="I21" s="125" t="s">
        <v>95</v>
      </c>
      <c r="J21" s="125" t="s">
        <v>95</v>
      </c>
      <c r="K21" s="125">
        <f>K18+K20</f>
        <v>2.6</v>
      </c>
    </row>
  </sheetData>
  <sheetProtection/>
  <mergeCells count="7">
    <mergeCell ref="A21:B21"/>
    <mergeCell ref="A3:A5"/>
    <mergeCell ref="B3:B5"/>
    <mergeCell ref="A18:B18"/>
    <mergeCell ref="C3:E3"/>
    <mergeCell ref="A6:K6"/>
    <mergeCell ref="A19:K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2012-02-02T12:19:06Z</cp:lastPrinted>
  <dcterms:created xsi:type="dcterms:W3CDTF">2002-11-05T10:10:22Z</dcterms:created>
  <dcterms:modified xsi:type="dcterms:W3CDTF">2012-02-06T06:26:35Z</dcterms:modified>
  <cp:category/>
  <cp:version/>
  <cp:contentType/>
  <cp:contentStatus/>
</cp:coreProperties>
</file>