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0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случка" sheetId="5" r:id="rId5"/>
    <sheet name="приплод 2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'молоко'!$A$1:$K$18</definedName>
    <definedName name="_xlnm.Print_Area" localSheetId="9">'мясо'!$A$1:$K$21</definedName>
    <definedName name="_xlnm.Print_Area" localSheetId="7">'на 100 га'!$A$1:$F$17</definedName>
    <definedName name="_xlnm.Print_Area" localSheetId="1">'привес'!$A$1:$T$20</definedName>
    <definedName name="_xlnm.Print_Area" localSheetId="5">'приплод 2'!$A$1:$P$19</definedName>
    <definedName name="_xlnm.Print_Area" localSheetId="3">'численность 1'!$A$1:$U$18</definedName>
    <definedName name="_xlnm.Print_Area" localSheetId="2">'численность 2'!$A$1:$N$18</definedName>
  </definedNames>
  <calcPr fullCalcOnLoad="1"/>
</workbook>
</file>

<file path=xl/sharedStrings.xml><?xml version="1.0" encoding="utf-8"?>
<sst xmlns="http://schemas.openxmlformats.org/spreadsheetml/2006/main" count="291" uniqueCount="118">
  <si>
    <t>молока</t>
  </si>
  <si>
    <t>всего</t>
  </si>
  <si>
    <t>№</t>
  </si>
  <si>
    <t>Наименование хозяйств</t>
  </si>
  <si>
    <t xml:space="preserve"> в т.ч. </t>
  </si>
  <si>
    <t>нетелей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</si>
  <si>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</si>
  <si>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</si>
  <si>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</si>
  <si>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</si>
  <si>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</si>
  <si>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</si>
  <si>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</si>
  <si>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</si>
  <si>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</si>
  <si>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</si>
  <si>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</si>
  <si>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</si>
  <si>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</si>
  <si>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</si>
  <si>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</si>
  <si>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</si>
  <si>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</si>
  <si>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</si>
  <si>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</si>
  <si>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</si>
  <si>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</si>
  <si>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</si>
  <si>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</si>
  <si>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</si>
  <si>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</si>
  <si>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</si>
  <si>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</si>
  <si>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</si>
  <si>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</si>
  <si>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</si>
  <si>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</si>
  <si>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получено поросят , гол.</t>
  </si>
  <si>
    <t>разница</t>
  </si>
  <si>
    <t xml:space="preserve">получ. поросят на </t>
  </si>
  <si>
    <t>100 основн.с/маток</t>
  </si>
  <si>
    <t>в т.ч.осн.</t>
  </si>
  <si>
    <t xml:space="preserve">    Опоросилось</t>
  </si>
  <si>
    <t xml:space="preserve">    с/маток, гол.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</si>
  <si>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</si>
  <si>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</si>
  <si>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</si>
  <si>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</si>
  <si>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</si>
  <si>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</si>
  <si>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</si>
  <si>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   КРС </t>
  </si>
  <si>
    <t xml:space="preserve">     Свиней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</si>
  <si>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</si>
  <si>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</si>
  <si>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</si>
  <si>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</si>
  <si>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</si>
  <si>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</si>
  <si>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</si>
  <si>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</si>
  <si>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</si>
  <si>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</si>
  <si>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</si>
  <si>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</si>
  <si>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</si>
  <si>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</si>
  <si>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</si>
  <si>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</si>
  <si>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 xml:space="preserve">                      Кр. рогатого скота</t>
  </si>
  <si>
    <t xml:space="preserve">           Свиней</t>
  </si>
  <si>
    <t xml:space="preserve">             КРС</t>
  </si>
  <si>
    <t xml:space="preserve">      на 1 с/м</t>
  </si>
  <si>
    <t xml:space="preserve">Получ.поросят </t>
  </si>
  <si>
    <t>по Ибресинскому району</t>
  </si>
  <si>
    <t xml:space="preserve">                      по Ибресинскому  району</t>
  </si>
  <si>
    <t xml:space="preserve">                      по Ибресинкому  району</t>
  </si>
  <si>
    <t xml:space="preserve">           по Ибресинскому району</t>
  </si>
  <si>
    <t>ЗАО А-ф"Ибр."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</si>
  <si>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</si>
  <si>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</si>
  <si>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</si>
  <si>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</si>
  <si>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</si>
  <si>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СХПК "Патман"</t>
  </si>
  <si>
    <t>Колхоз "Трудовик"</t>
  </si>
  <si>
    <t>Колхоз "Путиловка"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</si>
  <si>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</si>
  <si>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</si>
  <si>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</si>
  <si>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</si>
  <si>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</si>
  <si>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 xml:space="preserve"> </t>
  </si>
  <si>
    <t>осн.</t>
  </si>
  <si>
    <t>2009 к 2008 г. %</t>
  </si>
  <si>
    <t xml:space="preserve">   Производство мяса за январь 2010 г.</t>
  </si>
  <si>
    <t xml:space="preserve">            Производство молока за январь  2010г. по Ибресинскому району</t>
  </si>
  <si>
    <t>2010 в %</t>
  </si>
  <si>
    <t>к 2009 г.</t>
  </si>
  <si>
    <t xml:space="preserve">      ЧИСЛЕННОСТЬ СКОТА по Ибресинскому району на 1.02.2010 г., (голов)</t>
  </si>
  <si>
    <t>СЛУЧЕНО И ОСЕМЕНЕНО за январь 2010 г.по Ибресинскому р-ну</t>
  </si>
  <si>
    <t>Поступление приплода (поросят) за январь 2010 г.</t>
  </si>
  <si>
    <t>Поступление приплода (телят) за январь 2010 г.</t>
  </si>
  <si>
    <t>по Ибресинскому району за январь 2010 года (ц)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</si>
  <si>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1.02.2010 г., (голов)</t>
    </r>
  </si>
  <si>
    <t>Показатели получения привесов за январь 2010 года</t>
  </si>
  <si>
    <t>2010 к 2009 г. %</t>
  </si>
  <si>
    <t>ПАЛО И ПОГИБЛО - КУПЛЕНО- ПРОДАНО крс, свиней за январь 2010 г.по Ибресинскому.р-ну</t>
  </si>
  <si>
    <t>с 2009 г.</t>
  </si>
  <si>
    <t>2010 +/-</t>
  </si>
  <si>
    <t>к 2009</t>
  </si>
  <si>
    <t>2009 г.</t>
  </si>
  <si>
    <t>Среднегодовое поголовье коров, гол</t>
  </si>
  <si>
    <t>в % к 2009 г.</t>
  </si>
  <si>
    <t>Наличие кормов, ц.к.ед.</t>
  </si>
  <si>
    <t>в т.ч. конц.</t>
  </si>
  <si>
    <t>из них покуп.</t>
  </si>
  <si>
    <t>п/п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</si>
</sst>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172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9" xfId="0" applyFont="1" applyBorder="1" applyAlignment="1">
      <alignment/>
    </xf>
    <xf numFmtId="14" fontId="1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72" fontId="0" fillId="0" borderId="0" xfId="0" applyNumberFormat="1" applyAlignment="1">
      <alignment/>
    </xf>
    <xf numFmtId="172" fontId="4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/>
    </xf>
    <xf numFmtId="1" fontId="4" fillId="0" borderId="1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" fontId="4" fillId="0" borderId="9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1" fontId="2" fillId="0" borderId="5" xfId="0" applyNumberFormat="1" applyFont="1" applyBorder="1" applyAlignment="1">
      <alignment horizontal="right"/>
    </xf>
    <xf numFmtId="0" fontId="2" fillId="0" borderId="2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2" xfId="0" applyFont="1" applyBorder="1" applyAlignment="1">
      <alignment/>
    </xf>
    <xf numFmtId="0" fontId="14" fillId="0" borderId="9" xfId="0" applyFont="1" applyBorder="1" applyAlignment="1">
      <alignment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9" xfId="0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90" zoomScaleSheetLayoutView="9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3" sqref="E22:E23"/>
    </sheetView>
  </sheetViews>
  <sheetFormatPr defaultColWidth="9.00390625" defaultRowHeight="12.75"/>
  <cols>
    <col min="1" max="1" width="4.00390625" style="104" customWidth="1"/>
    <col min="2" max="2" width="19.00390625" style="104" customWidth="1"/>
    <col min="3" max="3" width="5.375" style="104" customWidth="1"/>
    <col min="4" max="4" width="5.125" style="104" customWidth="1"/>
    <col min="5" max="5" width="7.00390625" style="104" customWidth="1"/>
    <col min="6" max="7" width="5.875" style="104" customWidth="1"/>
    <col min="8" max="8" width="6.875" style="104" customWidth="1"/>
    <col min="9" max="9" width="6.25390625" style="104" customWidth="1"/>
    <col min="10" max="10" width="5.875" style="104" customWidth="1"/>
    <col min="11" max="11" width="6.375" style="104" customWidth="1"/>
    <col min="12" max="12" width="7.00390625" style="104" customWidth="1"/>
    <col min="13" max="13" width="6.75390625" style="104" customWidth="1"/>
    <col min="14" max="15" width="6.00390625" style="104" customWidth="1"/>
    <col min="16" max="17" width="5.875" style="104" customWidth="1"/>
    <col min="18" max="18" width="5.75390625" style="104" customWidth="1"/>
    <col min="19" max="16384" width="9.125" style="104" customWidth="1"/>
  </cols>
  <sheetData>
    <row r="1" spans="3:16" ht="14.25">
      <c r="C1" s="174" t="s">
        <v>107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75"/>
      <c r="P1" s="175"/>
    </row>
    <row r="2" spans="3:10" ht="15">
      <c r="C2" s="105"/>
      <c r="D2" s="105"/>
      <c r="E2" s="105"/>
      <c r="F2" s="105"/>
      <c r="G2" s="105"/>
      <c r="H2" s="105"/>
      <c r="I2" s="105"/>
      <c r="J2" s="105"/>
    </row>
    <row r="3" spans="1:18" ht="18.75" customHeight="1">
      <c r="A3" s="115" t="s">
        <v>2</v>
      </c>
      <c r="B3" s="112" t="s">
        <v>3</v>
      </c>
      <c r="C3" s="107" t="s">
        <v>49</v>
      </c>
      <c r="D3" s="107"/>
      <c r="E3" s="112"/>
      <c r="F3" s="107" t="s">
        <v>66</v>
      </c>
      <c r="G3" s="107"/>
      <c r="H3" s="112"/>
      <c r="I3" s="118"/>
      <c r="J3" s="119" t="s">
        <v>53</v>
      </c>
      <c r="K3" s="119"/>
      <c r="L3" s="119"/>
      <c r="M3" s="120"/>
      <c r="N3" s="120"/>
      <c r="O3" s="118"/>
      <c r="P3" s="119" t="s">
        <v>54</v>
      </c>
      <c r="Q3" s="119"/>
      <c r="R3" s="121"/>
    </row>
    <row r="4" spans="1:18" ht="18.75" customHeight="1">
      <c r="A4" s="116"/>
      <c r="B4" s="113"/>
      <c r="C4" s="176">
        <v>2009</v>
      </c>
      <c r="D4" s="176">
        <v>2010</v>
      </c>
      <c r="E4" s="112" t="s">
        <v>50</v>
      </c>
      <c r="F4" s="176">
        <v>2009</v>
      </c>
      <c r="G4" s="176">
        <v>2010</v>
      </c>
      <c r="H4" s="112" t="s">
        <v>50</v>
      </c>
      <c r="I4" s="108" t="s">
        <v>51</v>
      </c>
      <c r="J4" s="114"/>
      <c r="K4" s="114" t="s">
        <v>52</v>
      </c>
      <c r="L4" s="117"/>
      <c r="M4" s="118" t="s">
        <v>65</v>
      </c>
      <c r="N4" s="119"/>
      <c r="O4" s="118" t="s">
        <v>71</v>
      </c>
      <c r="P4" s="121"/>
      <c r="Q4" s="119" t="s">
        <v>70</v>
      </c>
      <c r="R4" s="121"/>
    </row>
    <row r="5" spans="1:18" ht="18.75" customHeight="1">
      <c r="A5" s="117"/>
      <c r="B5" s="114"/>
      <c r="C5" s="177"/>
      <c r="D5" s="177"/>
      <c r="E5" s="114" t="s">
        <v>108</v>
      </c>
      <c r="F5" s="177"/>
      <c r="G5" s="177"/>
      <c r="H5" s="114" t="s">
        <v>108</v>
      </c>
      <c r="I5" s="121">
        <v>2009</v>
      </c>
      <c r="J5" s="107">
        <v>2010</v>
      </c>
      <c r="K5" s="121">
        <v>2009</v>
      </c>
      <c r="L5" s="107">
        <v>2010</v>
      </c>
      <c r="M5" s="121">
        <v>2009</v>
      </c>
      <c r="N5" s="107">
        <v>2010</v>
      </c>
      <c r="O5" s="121">
        <v>2009</v>
      </c>
      <c r="P5" s="107">
        <v>2010</v>
      </c>
      <c r="Q5" s="121">
        <v>2009</v>
      </c>
      <c r="R5" s="107">
        <v>2010</v>
      </c>
    </row>
    <row r="6" spans="1:18" ht="13.5" customHeight="1">
      <c r="A6" s="109">
        <v>1</v>
      </c>
      <c r="B6" s="109" t="s">
        <v>78</v>
      </c>
      <c r="C6" s="124"/>
      <c r="D6" s="124"/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1:18" ht="15" customHeight="1">
      <c r="A7" s="109">
        <v>2</v>
      </c>
      <c r="B7" s="109" t="s">
        <v>79</v>
      </c>
      <c r="C7" s="124"/>
      <c r="D7" s="124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1:18" ht="13.5" customHeight="1">
      <c r="A8" s="109">
        <v>3</v>
      </c>
      <c r="B8" s="109" t="s">
        <v>80</v>
      </c>
      <c r="C8" s="130"/>
      <c r="D8" s="130">
        <v>1</v>
      </c>
      <c r="E8" s="123">
        <f>D8-C8</f>
        <v>1</v>
      </c>
      <c r="F8" s="124"/>
      <c r="G8" s="124"/>
      <c r="H8" s="124"/>
      <c r="I8" s="124"/>
      <c r="J8" s="124"/>
      <c r="K8" s="124"/>
      <c r="L8" s="124"/>
      <c r="M8" s="124"/>
      <c r="N8" s="124"/>
      <c r="O8" s="124">
        <v>2</v>
      </c>
      <c r="P8" s="124">
        <v>2</v>
      </c>
      <c r="Q8" s="124"/>
      <c r="R8" s="124"/>
    </row>
    <row r="9" spans="1:18" ht="13.5" customHeight="1">
      <c r="A9" s="109">
        <v>4</v>
      </c>
      <c r="B9" s="109" t="s">
        <v>81</v>
      </c>
      <c r="C9" s="130"/>
      <c r="D9" s="130"/>
      <c r="E9" s="123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>
        <v>1</v>
      </c>
      <c r="Q9" s="124"/>
      <c r="R9" s="124"/>
    </row>
    <row r="10" spans="1:18" ht="12.75" customHeight="1">
      <c r="A10" s="109">
        <v>5</v>
      </c>
      <c r="B10" s="107" t="s">
        <v>82</v>
      </c>
      <c r="C10" s="130"/>
      <c r="D10" s="130"/>
      <c r="E10" s="123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30">
        <v>6</v>
      </c>
      <c r="R10" s="130"/>
    </row>
    <row r="11" spans="1:18" ht="13.5" customHeight="1">
      <c r="A11" s="109">
        <v>6</v>
      </c>
      <c r="B11" s="110" t="s">
        <v>83</v>
      </c>
      <c r="C11" s="130"/>
      <c r="D11" s="130"/>
      <c r="E11" s="123"/>
      <c r="F11" s="130"/>
      <c r="G11" s="130">
        <v>39</v>
      </c>
      <c r="H11" s="124">
        <f>G11-F11</f>
        <v>39</v>
      </c>
      <c r="I11" s="123"/>
      <c r="J11" s="124"/>
      <c r="K11" s="123"/>
      <c r="L11" s="123"/>
      <c r="M11" s="123"/>
      <c r="N11" s="123"/>
      <c r="O11" s="123">
        <v>2</v>
      </c>
      <c r="P11" s="123"/>
      <c r="Q11" s="130">
        <v>22</v>
      </c>
      <c r="R11" s="130">
        <v>5</v>
      </c>
    </row>
    <row r="12" spans="1:18" ht="12.75" customHeight="1">
      <c r="A12" s="109">
        <v>7</v>
      </c>
      <c r="B12" s="111" t="s">
        <v>84</v>
      </c>
      <c r="C12" s="130"/>
      <c r="D12" s="130"/>
      <c r="E12" s="123"/>
      <c r="F12" s="130"/>
      <c r="G12" s="130"/>
      <c r="H12" s="124"/>
      <c r="I12" s="131"/>
      <c r="J12" s="131"/>
      <c r="K12" s="131"/>
      <c r="L12" s="131"/>
      <c r="M12" s="131"/>
      <c r="N12" s="131"/>
      <c r="O12" s="131"/>
      <c r="P12" s="131"/>
      <c r="Q12" s="130"/>
      <c r="R12" s="130"/>
    </row>
    <row r="13" spans="1:18" ht="12.75" customHeight="1">
      <c r="A13" s="109">
        <v>8</v>
      </c>
      <c r="B13" s="109" t="s">
        <v>85</v>
      </c>
      <c r="C13" s="130"/>
      <c r="D13" s="130"/>
      <c r="E13" s="123"/>
      <c r="F13" s="130"/>
      <c r="G13" s="130"/>
      <c r="H13" s="124"/>
      <c r="I13" s="124"/>
      <c r="J13" s="124"/>
      <c r="K13" s="124"/>
      <c r="L13" s="124"/>
      <c r="M13" s="124"/>
      <c r="N13" s="124"/>
      <c r="O13" s="124"/>
      <c r="P13" s="124"/>
      <c r="Q13" s="130"/>
      <c r="R13" s="130"/>
    </row>
    <row r="14" spans="1:18" ht="13.5" customHeight="1">
      <c r="A14" s="109">
        <v>9</v>
      </c>
      <c r="B14" s="109" t="s">
        <v>86</v>
      </c>
      <c r="C14" s="130">
        <v>3</v>
      </c>
      <c r="D14" s="130"/>
      <c r="E14" s="123">
        <f>D14-C14</f>
        <v>-3</v>
      </c>
      <c r="F14" s="130"/>
      <c r="G14" s="130"/>
      <c r="H14" s="124"/>
      <c r="I14" s="124"/>
      <c r="J14" s="124"/>
      <c r="K14" s="124"/>
      <c r="L14" s="124"/>
      <c r="M14" s="124"/>
      <c r="N14" s="124"/>
      <c r="O14" s="124"/>
      <c r="P14" s="124"/>
      <c r="Q14" s="130"/>
      <c r="R14" s="130"/>
    </row>
    <row r="15" spans="1:18" ht="12.75" customHeight="1">
      <c r="A15" s="109">
        <v>10</v>
      </c>
      <c r="B15" s="109" t="s">
        <v>87</v>
      </c>
      <c r="C15" s="130"/>
      <c r="D15" s="130"/>
      <c r="E15" s="123"/>
      <c r="F15" s="130"/>
      <c r="G15" s="130"/>
      <c r="H15" s="124"/>
      <c r="I15" s="124"/>
      <c r="J15" s="124"/>
      <c r="K15" s="124"/>
      <c r="L15" s="124"/>
      <c r="M15" s="124"/>
      <c r="N15" s="124"/>
      <c r="O15" s="124">
        <v>2</v>
      </c>
      <c r="P15" s="124"/>
      <c r="Q15" s="130"/>
      <c r="R15" s="130"/>
    </row>
    <row r="16" spans="1:18" ht="12.75" customHeight="1">
      <c r="A16" s="109">
        <v>11</v>
      </c>
      <c r="B16" s="109" t="s">
        <v>88</v>
      </c>
      <c r="C16" s="130"/>
      <c r="D16" s="130"/>
      <c r="E16" s="123"/>
      <c r="F16" s="130"/>
      <c r="G16" s="130"/>
      <c r="H16" s="124"/>
      <c r="I16" s="124"/>
      <c r="J16" s="124"/>
      <c r="K16" s="124"/>
      <c r="L16" s="124"/>
      <c r="M16" s="124"/>
      <c r="N16" s="124"/>
      <c r="O16" s="124"/>
      <c r="P16" s="124"/>
      <c r="Q16" s="130"/>
      <c r="R16" s="130"/>
    </row>
    <row r="17" spans="1:18" ht="12.75" customHeight="1">
      <c r="A17" s="109">
        <v>12</v>
      </c>
      <c r="B17" s="109" t="s">
        <v>89</v>
      </c>
      <c r="C17" s="124"/>
      <c r="D17" s="124"/>
      <c r="E17" s="123"/>
      <c r="F17" s="130">
        <v>31</v>
      </c>
      <c r="G17" s="130">
        <v>96</v>
      </c>
      <c r="H17" s="124">
        <f>G17-F17</f>
        <v>65</v>
      </c>
      <c r="I17" s="124"/>
      <c r="J17" s="124"/>
      <c r="K17" s="124">
        <v>7</v>
      </c>
      <c r="L17" s="124"/>
      <c r="M17" s="124"/>
      <c r="N17" s="124"/>
      <c r="O17" s="124"/>
      <c r="P17" s="124"/>
      <c r="Q17" s="130">
        <v>24</v>
      </c>
      <c r="R17" s="130">
        <v>2</v>
      </c>
    </row>
    <row r="18" spans="1:18" ht="13.5" customHeight="1">
      <c r="A18" s="106"/>
      <c r="B18" s="109" t="s">
        <v>13</v>
      </c>
      <c r="C18" s="124">
        <f>SUM(C6:C16)</f>
        <v>3</v>
      </c>
      <c r="D18" s="124">
        <f>SUM(D6:D17)</f>
        <v>1</v>
      </c>
      <c r="E18" s="123">
        <f>D18-C18</f>
        <v>-2</v>
      </c>
      <c r="F18" s="130">
        <f>SUM(F6:F17)</f>
        <v>31</v>
      </c>
      <c r="G18" s="124">
        <f>SUM(G11:G17)</f>
        <v>135</v>
      </c>
      <c r="H18" s="124">
        <f>G18-F18</f>
        <v>104</v>
      </c>
      <c r="I18" s="124">
        <f aca="true" t="shared" si="0" ref="I18:R18">SUM(I6:I17)</f>
        <v>0</v>
      </c>
      <c r="J18" s="124">
        <f t="shared" si="0"/>
        <v>0</v>
      </c>
      <c r="K18" s="124">
        <f t="shared" si="0"/>
        <v>7</v>
      </c>
      <c r="L18" s="124">
        <f t="shared" si="0"/>
        <v>0</v>
      </c>
      <c r="M18" s="124">
        <f t="shared" si="0"/>
        <v>0</v>
      </c>
      <c r="N18" s="124">
        <f t="shared" si="0"/>
        <v>0</v>
      </c>
      <c r="O18" s="124">
        <f t="shared" si="0"/>
        <v>6</v>
      </c>
      <c r="P18" s="124">
        <f t="shared" si="0"/>
        <v>3</v>
      </c>
      <c r="Q18" s="124">
        <f>SUM(Q6:Q17)</f>
        <v>52</v>
      </c>
      <c r="R18" s="124">
        <f t="shared" si="0"/>
        <v>7</v>
      </c>
    </row>
    <row r="21" ht="14.25">
      <c r="B21" s="129"/>
    </row>
  </sheetData>
  <mergeCells count="5">
    <mergeCell ref="C1:P1"/>
    <mergeCell ref="C4:C5"/>
    <mergeCell ref="D4:D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75" zoomScaleNormal="65" zoomScaleSheetLayoutView="75" workbookViewId="0" topLeftCell="A1">
      <selection activeCell="B20" sqref="B20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30"/>
      <c r="B1" s="30"/>
      <c r="C1" s="1" t="s">
        <v>95</v>
      </c>
      <c r="D1" s="1"/>
      <c r="E1" s="1"/>
      <c r="F1" s="30"/>
      <c r="G1" s="30"/>
      <c r="H1" s="30"/>
      <c r="I1" s="30"/>
      <c r="J1" s="30"/>
      <c r="K1" s="30"/>
      <c r="L1" s="30"/>
      <c r="M1" s="30"/>
    </row>
    <row r="2" spans="1:13" ht="15">
      <c r="A2" s="30"/>
      <c r="B2" s="30"/>
      <c r="C2" s="30"/>
      <c r="D2" s="30" t="s">
        <v>77</v>
      </c>
      <c r="E2" s="30"/>
      <c r="F2" s="30"/>
      <c r="G2" s="30"/>
      <c r="H2" s="30"/>
      <c r="I2" s="30"/>
      <c r="J2" s="30"/>
      <c r="K2" s="30"/>
      <c r="L2" s="30"/>
      <c r="M2" s="30"/>
    </row>
    <row r="3" spans="1:13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>
      <c r="A4" s="45" t="s">
        <v>2</v>
      </c>
      <c r="B4" s="31" t="s">
        <v>3</v>
      </c>
      <c r="C4" s="34" t="s">
        <v>24</v>
      </c>
      <c r="D4" s="35"/>
      <c r="E4" s="38"/>
      <c r="F4" s="34"/>
      <c r="G4" s="35"/>
      <c r="H4" s="35" t="s">
        <v>25</v>
      </c>
      <c r="I4" s="35"/>
      <c r="J4" s="35"/>
      <c r="K4" s="38"/>
      <c r="L4" s="30"/>
      <c r="M4" s="30"/>
    </row>
    <row r="5" spans="1:13" ht="15">
      <c r="A5" s="51"/>
      <c r="B5" s="37"/>
      <c r="C5" s="28">
        <v>2009</v>
      </c>
      <c r="D5" s="29">
        <v>2010</v>
      </c>
      <c r="E5" s="29" t="s">
        <v>97</v>
      </c>
      <c r="F5" s="34" t="s">
        <v>28</v>
      </c>
      <c r="G5" s="38"/>
      <c r="H5" s="34" t="s">
        <v>26</v>
      </c>
      <c r="I5" s="38"/>
      <c r="J5" s="34" t="s">
        <v>27</v>
      </c>
      <c r="K5" s="38"/>
      <c r="L5" s="30"/>
      <c r="M5" s="30"/>
    </row>
    <row r="6" spans="1:13" ht="15">
      <c r="A6" s="41"/>
      <c r="B6" s="39"/>
      <c r="C6" s="52"/>
      <c r="D6" s="20"/>
      <c r="E6" s="20" t="s">
        <v>98</v>
      </c>
      <c r="F6" s="28">
        <v>2009</v>
      </c>
      <c r="G6" s="29">
        <v>2010</v>
      </c>
      <c r="H6" s="28">
        <v>2009</v>
      </c>
      <c r="I6" s="29">
        <v>2010</v>
      </c>
      <c r="J6" s="28">
        <v>2009</v>
      </c>
      <c r="K6" s="29">
        <v>2010</v>
      </c>
      <c r="L6" s="30"/>
      <c r="M6" s="30"/>
    </row>
    <row r="7" spans="1:13" ht="15">
      <c r="A7" s="42">
        <v>1</v>
      </c>
      <c r="B7" s="42" t="s">
        <v>78</v>
      </c>
      <c r="C7" s="32">
        <v>0.09</v>
      </c>
      <c r="D7" s="32"/>
      <c r="E7" s="48"/>
      <c r="F7" s="9">
        <v>0.09</v>
      </c>
      <c r="G7" s="9"/>
      <c r="H7" s="9"/>
      <c r="I7" s="9"/>
      <c r="J7" s="9"/>
      <c r="K7" s="9"/>
      <c r="L7" s="30"/>
      <c r="M7" s="30"/>
    </row>
    <row r="8" spans="1:13" ht="15">
      <c r="A8" s="42">
        <v>2</v>
      </c>
      <c r="B8" s="42" t="s">
        <v>79</v>
      </c>
      <c r="C8" s="32">
        <v>8.3</v>
      </c>
      <c r="D8" s="32">
        <v>2.1</v>
      </c>
      <c r="E8" s="48">
        <f aca="true" t="shared" si="0" ref="E8:E19">D8*100/C8</f>
        <v>25.301204819277107</v>
      </c>
      <c r="F8" s="9">
        <v>7.8</v>
      </c>
      <c r="G8" s="9">
        <v>1.8</v>
      </c>
      <c r="H8" s="9"/>
      <c r="I8" s="9"/>
      <c r="J8" s="9">
        <v>0.5</v>
      </c>
      <c r="K8" s="9">
        <v>0.3</v>
      </c>
      <c r="L8" s="30"/>
      <c r="M8" s="30"/>
    </row>
    <row r="9" spans="1:13" ht="15">
      <c r="A9" s="42">
        <v>3</v>
      </c>
      <c r="B9" s="42" t="s">
        <v>80</v>
      </c>
      <c r="C9" s="32">
        <v>3</v>
      </c>
      <c r="D9" s="32">
        <v>0.6</v>
      </c>
      <c r="E9" s="48">
        <f t="shared" si="0"/>
        <v>20</v>
      </c>
      <c r="F9" s="9">
        <v>3</v>
      </c>
      <c r="G9" s="9">
        <v>0.6</v>
      </c>
      <c r="H9" s="9"/>
      <c r="I9" s="9"/>
      <c r="J9" s="9"/>
      <c r="K9" s="9"/>
      <c r="L9" s="30"/>
      <c r="M9" s="30"/>
    </row>
    <row r="10" spans="1:13" ht="15">
      <c r="A10" s="42">
        <v>4</v>
      </c>
      <c r="B10" s="42" t="s">
        <v>81</v>
      </c>
      <c r="C10" s="32">
        <v>0.4</v>
      </c>
      <c r="D10" s="32">
        <v>0.04</v>
      </c>
      <c r="E10" s="48">
        <f t="shared" si="0"/>
        <v>10</v>
      </c>
      <c r="F10" s="9">
        <v>0.4</v>
      </c>
      <c r="G10" s="9">
        <v>0.04</v>
      </c>
      <c r="H10" s="9"/>
      <c r="I10" s="9"/>
      <c r="J10" s="9"/>
      <c r="K10" s="9"/>
      <c r="L10" s="30"/>
      <c r="M10" s="30"/>
    </row>
    <row r="11" spans="1:13" ht="15">
      <c r="A11" s="42">
        <v>5</v>
      </c>
      <c r="B11" s="53" t="s">
        <v>82</v>
      </c>
      <c r="C11" s="32">
        <v>11.3</v>
      </c>
      <c r="D11" s="32">
        <v>7.5</v>
      </c>
      <c r="E11" s="48">
        <f t="shared" si="0"/>
        <v>66.3716814159292</v>
      </c>
      <c r="F11" s="9">
        <v>8.1</v>
      </c>
      <c r="G11" s="9">
        <v>7.2</v>
      </c>
      <c r="H11" s="9">
        <v>2.6</v>
      </c>
      <c r="I11" s="9">
        <v>0.3</v>
      </c>
      <c r="J11" s="9">
        <v>0.6</v>
      </c>
      <c r="K11" s="9"/>
      <c r="L11" s="30"/>
      <c r="M11" s="30"/>
    </row>
    <row r="12" spans="1:13" ht="15">
      <c r="A12" s="42">
        <v>6</v>
      </c>
      <c r="B12" s="42" t="s">
        <v>83</v>
      </c>
      <c r="C12" s="32">
        <v>21</v>
      </c>
      <c r="D12" s="32">
        <v>3.9</v>
      </c>
      <c r="E12" s="48">
        <f t="shared" si="0"/>
        <v>18.571428571428573</v>
      </c>
      <c r="F12" s="9">
        <v>15</v>
      </c>
      <c r="G12" s="9">
        <v>2</v>
      </c>
      <c r="H12" s="9">
        <v>5</v>
      </c>
      <c r="I12" s="9"/>
      <c r="J12" s="9">
        <v>1</v>
      </c>
      <c r="K12" s="9">
        <v>1.9</v>
      </c>
      <c r="L12" s="30"/>
      <c r="M12" s="30"/>
    </row>
    <row r="13" spans="1:13" ht="15">
      <c r="A13" s="42">
        <v>7</v>
      </c>
      <c r="B13" s="43" t="s">
        <v>84</v>
      </c>
      <c r="C13" s="32">
        <v>4.4</v>
      </c>
      <c r="D13" s="32">
        <v>2.5</v>
      </c>
      <c r="E13" s="48">
        <f t="shared" si="0"/>
        <v>56.81818181818181</v>
      </c>
      <c r="F13" s="27">
        <v>4</v>
      </c>
      <c r="G13" s="27">
        <v>2.2</v>
      </c>
      <c r="H13" s="27"/>
      <c r="I13" s="27"/>
      <c r="J13" s="27">
        <v>0.4</v>
      </c>
      <c r="K13" s="27">
        <v>0.3</v>
      </c>
      <c r="L13" s="30"/>
      <c r="M13" s="30"/>
    </row>
    <row r="14" spans="1:13" ht="15">
      <c r="A14" s="42">
        <v>8</v>
      </c>
      <c r="B14" s="43" t="s">
        <v>85</v>
      </c>
      <c r="C14" s="32">
        <v>3.7</v>
      </c>
      <c r="D14" s="32"/>
      <c r="E14" s="48"/>
      <c r="F14" s="27">
        <v>2.7</v>
      </c>
      <c r="G14" s="27"/>
      <c r="H14" s="27"/>
      <c r="I14" s="27"/>
      <c r="J14" s="27">
        <v>1</v>
      </c>
      <c r="K14" s="27"/>
      <c r="L14" s="30"/>
      <c r="M14" s="30"/>
    </row>
    <row r="15" spans="1:13" ht="15">
      <c r="A15" s="42">
        <v>9</v>
      </c>
      <c r="B15" s="43" t="s">
        <v>86</v>
      </c>
      <c r="C15" s="32"/>
      <c r="D15" s="32">
        <v>0.7</v>
      </c>
      <c r="E15" s="48"/>
      <c r="F15" s="27"/>
      <c r="G15" s="27">
        <v>0.7</v>
      </c>
      <c r="H15" s="27"/>
      <c r="I15" s="27"/>
      <c r="J15" s="27"/>
      <c r="K15" s="27"/>
      <c r="L15" s="30"/>
      <c r="M15" s="30"/>
    </row>
    <row r="16" spans="1:13" ht="15">
      <c r="A16" s="42">
        <v>10</v>
      </c>
      <c r="B16" s="43" t="s">
        <v>87</v>
      </c>
      <c r="C16" s="32">
        <v>3</v>
      </c>
      <c r="D16" s="32">
        <v>2</v>
      </c>
      <c r="E16" s="48">
        <f t="shared" si="0"/>
        <v>66.66666666666667</v>
      </c>
      <c r="F16" s="27">
        <v>2</v>
      </c>
      <c r="G16" s="27">
        <v>2</v>
      </c>
      <c r="H16" s="27"/>
      <c r="I16" s="27"/>
      <c r="J16" s="27">
        <v>1</v>
      </c>
      <c r="K16" s="27"/>
      <c r="L16" s="30"/>
      <c r="M16" s="30"/>
    </row>
    <row r="17" spans="1:13" ht="15">
      <c r="A17" s="42">
        <v>11</v>
      </c>
      <c r="B17" s="43" t="s">
        <v>88</v>
      </c>
      <c r="C17" s="32">
        <v>1.2</v>
      </c>
      <c r="D17" s="32">
        <v>0.5</v>
      </c>
      <c r="E17" s="48">
        <f t="shared" si="0"/>
        <v>41.66666666666667</v>
      </c>
      <c r="F17" s="27">
        <v>1.2</v>
      </c>
      <c r="G17" s="27">
        <v>0.5</v>
      </c>
      <c r="H17" s="27"/>
      <c r="I17" s="27"/>
      <c r="J17" s="27"/>
      <c r="K17" s="27"/>
      <c r="L17" s="30"/>
      <c r="M17" s="30"/>
    </row>
    <row r="18" spans="1:13" ht="15">
      <c r="A18" s="42">
        <v>12</v>
      </c>
      <c r="B18" s="43" t="s">
        <v>89</v>
      </c>
      <c r="C18" s="32">
        <v>38</v>
      </c>
      <c r="D18" s="32">
        <v>59</v>
      </c>
      <c r="E18" s="48">
        <f t="shared" si="0"/>
        <v>155.26315789473685</v>
      </c>
      <c r="F18" s="27"/>
      <c r="G18" s="27"/>
      <c r="H18" s="27">
        <v>38</v>
      </c>
      <c r="I18" s="27">
        <v>59</v>
      </c>
      <c r="J18" s="27"/>
      <c r="K18" s="27"/>
      <c r="L18" s="30"/>
      <c r="M18" s="30"/>
    </row>
    <row r="19" spans="1:13" ht="15">
      <c r="A19" s="42"/>
      <c r="B19" s="42" t="s">
        <v>13</v>
      </c>
      <c r="C19" s="19">
        <f>SUM(C7:C18)</f>
        <v>94.39000000000001</v>
      </c>
      <c r="D19" s="158">
        <f>SUM(D7:D18)</f>
        <v>78.84</v>
      </c>
      <c r="E19" s="48">
        <f t="shared" si="0"/>
        <v>83.52579722428221</v>
      </c>
      <c r="F19" s="19">
        <f aca="true" t="shared" si="1" ref="F19:K19">SUM(F7:F18)</f>
        <v>44.290000000000006</v>
      </c>
      <c r="G19" s="19">
        <f t="shared" si="1"/>
        <v>17.04</v>
      </c>
      <c r="H19" s="19">
        <f t="shared" si="1"/>
        <v>45.6</v>
      </c>
      <c r="I19" s="19">
        <f t="shared" si="1"/>
        <v>59.3</v>
      </c>
      <c r="J19" s="19">
        <f t="shared" si="1"/>
        <v>4.5</v>
      </c>
      <c r="K19" s="19">
        <f t="shared" si="1"/>
        <v>2.4999999999999996</v>
      </c>
      <c r="L19" s="30"/>
      <c r="M19" s="30"/>
    </row>
    <row r="20" spans="3:4" ht="12.75">
      <c r="C20" s="137"/>
      <c r="D20" s="137"/>
    </row>
    <row r="21" spans="3:4" ht="12.75">
      <c r="C21" t="s">
        <v>92</v>
      </c>
      <c r="D21" s="137"/>
    </row>
  </sheetData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pane xSplit="2" topLeftCell="G1" activePane="topRight" state="frozen"/>
      <selection pane="topLeft" activeCell="A1" sqref="A1"/>
      <selection pane="topRight" activeCell="O24" sqref="O24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7.125" style="0" customWidth="1"/>
    <col min="4" max="4" width="7.00390625" style="0" customWidth="1"/>
    <col min="5" max="5" width="8.375" style="0" customWidth="1"/>
    <col min="6" max="6" width="7.25390625" style="0" customWidth="1"/>
    <col min="7" max="7" width="6.375" style="0" customWidth="1"/>
    <col min="8" max="8" width="8.125" style="0" customWidth="1"/>
    <col min="9" max="9" width="10.25390625" style="0" customWidth="1"/>
    <col min="10" max="10" width="9.875" style="0" customWidth="1"/>
    <col min="11" max="11" width="8.25390625" style="0" customWidth="1"/>
    <col min="12" max="12" width="8.875" style="0" customWidth="1"/>
    <col min="13" max="13" width="9.00390625" style="0" customWidth="1"/>
    <col min="14" max="14" width="8.375" style="0" customWidth="1"/>
    <col min="15" max="15" width="8.125" style="0" customWidth="1"/>
    <col min="16" max="16" width="6.625" style="0" customWidth="1"/>
    <col min="17" max="17" width="8.625" style="0" customWidth="1"/>
    <col min="18" max="19" width="7.00390625" style="0" customWidth="1"/>
    <col min="20" max="20" width="8.625" style="0" customWidth="1"/>
  </cols>
  <sheetData>
    <row r="1" spans="2:20" ht="1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2:20" ht="15">
      <c r="B2" s="30"/>
      <c r="C2" s="30"/>
      <c r="D2" s="30"/>
      <c r="E2" s="30"/>
      <c r="F2" s="30"/>
      <c r="G2" s="30" t="s">
        <v>105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2:20" ht="15">
      <c r="B3" s="30"/>
      <c r="C3" s="30"/>
      <c r="D3" s="30"/>
      <c r="E3" s="30"/>
      <c r="F3" s="30"/>
      <c r="G3" s="30"/>
      <c r="H3" s="30"/>
      <c r="I3" s="30" t="s">
        <v>74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5">
      <c r="A4" s="162"/>
      <c r="B4" s="33" t="s">
        <v>3</v>
      </c>
      <c r="C4" s="36" t="s">
        <v>91</v>
      </c>
      <c r="D4" s="36"/>
      <c r="E4" s="36"/>
      <c r="F4" s="35"/>
      <c r="G4" s="35"/>
      <c r="H4" s="31"/>
      <c r="I4" s="34" t="s">
        <v>59</v>
      </c>
      <c r="J4" s="35"/>
      <c r="K4" s="36"/>
      <c r="L4" s="35"/>
      <c r="M4" s="35"/>
      <c r="N4" s="31"/>
      <c r="O4" s="34" t="s">
        <v>60</v>
      </c>
      <c r="P4" s="35"/>
      <c r="Q4" s="36"/>
      <c r="R4" s="35"/>
      <c r="S4" s="35"/>
      <c r="T4" s="31"/>
    </row>
    <row r="5" spans="1:20" ht="15" customHeight="1">
      <c r="A5" s="163" t="s">
        <v>2</v>
      </c>
      <c r="B5" s="44"/>
      <c r="C5" s="35" t="s">
        <v>61</v>
      </c>
      <c r="D5" s="35"/>
      <c r="E5" s="178" t="s">
        <v>106</v>
      </c>
      <c r="F5" s="34" t="s">
        <v>62</v>
      </c>
      <c r="G5" s="38"/>
      <c r="H5" s="178" t="s">
        <v>106</v>
      </c>
      <c r="I5" s="181" t="s">
        <v>61</v>
      </c>
      <c r="J5" s="181"/>
      <c r="K5" s="178" t="s">
        <v>106</v>
      </c>
      <c r="L5" s="181" t="s">
        <v>62</v>
      </c>
      <c r="M5" s="181"/>
      <c r="N5" s="178" t="s">
        <v>106</v>
      </c>
      <c r="O5" s="35" t="s">
        <v>61</v>
      </c>
      <c r="P5" s="35"/>
      <c r="Q5" s="178" t="s">
        <v>94</v>
      </c>
      <c r="R5" s="182" t="s">
        <v>62</v>
      </c>
      <c r="S5" s="183"/>
      <c r="T5" s="178" t="s">
        <v>106</v>
      </c>
    </row>
    <row r="6" spans="1:20" ht="15">
      <c r="A6" s="163" t="s">
        <v>117</v>
      </c>
      <c r="B6" s="44"/>
      <c r="C6" s="184">
        <v>2009</v>
      </c>
      <c r="D6" s="184">
        <v>2010</v>
      </c>
      <c r="E6" s="179"/>
      <c r="F6" s="184">
        <v>2009</v>
      </c>
      <c r="G6" s="184">
        <v>2010</v>
      </c>
      <c r="H6" s="179"/>
      <c r="I6" s="184">
        <v>2009</v>
      </c>
      <c r="J6" s="184">
        <v>2010</v>
      </c>
      <c r="K6" s="179"/>
      <c r="L6" s="184">
        <v>2009</v>
      </c>
      <c r="M6" s="184">
        <v>2010</v>
      </c>
      <c r="N6" s="179"/>
      <c r="O6" s="184">
        <v>2009</v>
      </c>
      <c r="P6" s="184">
        <v>2010</v>
      </c>
      <c r="Q6" s="179"/>
      <c r="R6" s="184">
        <v>2009</v>
      </c>
      <c r="S6" s="184">
        <v>2010</v>
      </c>
      <c r="T6" s="179"/>
    </row>
    <row r="7" spans="1:20" ht="15">
      <c r="A7" s="164"/>
      <c r="B7" s="40"/>
      <c r="C7" s="185"/>
      <c r="D7" s="185"/>
      <c r="E7" s="180"/>
      <c r="F7" s="185"/>
      <c r="G7" s="185"/>
      <c r="H7" s="180"/>
      <c r="I7" s="185"/>
      <c r="J7" s="185"/>
      <c r="K7" s="180"/>
      <c r="L7" s="185"/>
      <c r="M7" s="185"/>
      <c r="N7" s="180"/>
      <c r="O7" s="185"/>
      <c r="P7" s="185"/>
      <c r="Q7" s="180"/>
      <c r="R7" s="185"/>
      <c r="S7" s="185"/>
      <c r="T7" s="180"/>
    </row>
    <row r="8" spans="1:20" ht="15">
      <c r="A8" s="3">
        <v>1</v>
      </c>
      <c r="B8" s="40" t="s">
        <v>78</v>
      </c>
      <c r="C8" s="141">
        <v>8.02</v>
      </c>
      <c r="D8" s="141"/>
      <c r="E8" s="142"/>
      <c r="F8" s="143"/>
      <c r="G8" s="143"/>
      <c r="H8" s="142"/>
      <c r="I8" s="143">
        <v>1705</v>
      </c>
      <c r="J8" s="143"/>
      <c r="K8" s="142"/>
      <c r="L8" s="141"/>
      <c r="M8" s="141"/>
      <c r="N8" s="142"/>
      <c r="O8" s="142">
        <f aca="true" t="shared" si="0" ref="O8:O16">C8/I8*100000</f>
        <v>470.38123167155425</v>
      </c>
      <c r="P8" s="142"/>
      <c r="Q8" s="142"/>
      <c r="R8" s="143"/>
      <c r="S8" s="143"/>
      <c r="T8" s="142"/>
    </row>
    <row r="9" spans="1:20" ht="15">
      <c r="A9" s="3">
        <v>2</v>
      </c>
      <c r="B9" s="32" t="s">
        <v>79</v>
      </c>
      <c r="C9" s="141">
        <v>25.4</v>
      </c>
      <c r="D9" s="141">
        <v>19</v>
      </c>
      <c r="E9" s="142">
        <f aca="true" t="shared" si="1" ref="E9:E18">D9/C9*100</f>
        <v>74.80314960629921</v>
      </c>
      <c r="F9" s="141"/>
      <c r="G9" s="141"/>
      <c r="H9" s="142"/>
      <c r="I9" s="141">
        <v>10227</v>
      </c>
      <c r="J9" s="141">
        <v>4061</v>
      </c>
      <c r="K9" s="142">
        <f aca="true" t="shared" si="2" ref="K9:K18">J9/I9*100</f>
        <v>39.708614451940946</v>
      </c>
      <c r="L9" s="141"/>
      <c r="M9" s="141"/>
      <c r="N9" s="142"/>
      <c r="O9" s="142">
        <f t="shared" si="0"/>
        <v>248.36217854698347</v>
      </c>
      <c r="P9" s="142">
        <f aca="true" t="shared" si="3" ref="P9:P17">D9/J9*100000</f>
        <v>467.86505786752036</v>
      </c>
      <c r="Q9" s="142">
        <f aca="true" t="shared" si="4" ref="Q9:Q18">P9/O9*100</f>
        <v>188.38015538626502</v>
      </c>
      <c r="R9" s="142"/>
      <c r="S9" s="142"/>
      <c r="T9" s="142"/>
    </row>
    <row r="10" spans="1:20" ht="15">
      <c r="A10" s="3">
        <v>3</v>
      </c>
      <c r="B10" s="32" t="s">
        <v>80</v>
      </c>
      <c r="C10" s="141"/>
      <c r="D10" s="141">
        <v>3</v>
      </c>
      <c r="E10" s="142"/>
      <c r="F10" s="141"/>
      <c r="G10" s="141"/>
      <c r="H10" s="142"/>
      <c r="I10" s="141">
        <v>2020</v>
      </c>
      <c r="J10" s="141">
        <v>2759</v>
      </c>
      <c r="K10" s="142">
        <f t="shared" si="2"/>
        <v>136.58415841584159</v>
      </c>
      <c r="L10" s="141"/>
      <c r="M10" s="141"/>
      <c r="N10" s="142"/>
      <c r="O10" s="142"/>
      <c r="P10" s="142">
        <f t="shared" si="3"/>
        <v>108.73504893077201</v>
      </c>
      <c r="Q10" s="142"/>
      <c r="R10" s="142"/>
      <c r="S10" s="142"/>
      <c r="T10" s="142"/>
    </row>
    <row r="11" spans="1:20" ht="15">
      <c r="A11" s="3">
        <v>4</v>
      </c>
      <c r="B11" s="49" t="s">
        <v>81</v>
      </c>
      <c r="C11" s="144">
        <v>7</v>
      </c>
      <c r="D11" s="144">
        <v>5</v>
      </c>
      <c r="E11" s="142">
        <f t="shared" si="1"/>
        <v>71.42857142857143</v>
      </c>
      <c r="F11" s="144"/>
      <c r="G11" s="144"/>
      <c r="H11" s="142"/>
      <c r="I11" s="141">
        <v>1275</v>
      </c>
      <c r="J11" s="141">
        <v>734</v>
      </c>
      <c r="K11" s="142">
        <f t="shared" si="2"/>
        <v>57.568627450980394</v>
      </c>
      <c r="L11" s="144"/>
      <c r="M11" s="144"/>
      <c r="N11" s="145"/>
      <c r="O11" s="142">
        <f t="shared" si="0"/>
        <v>549.0196078431372</v>
      </c>
      <c r="P11" s="142">
        <f t="shared" si="3"/>
        <v>681.1989100817439</v>
      </c>
      <c r="Q11" s="142">
        <f t="shared" si="4"/>
        <v>124.07551576488906</v>
      </c>
      <c r="R11" s="145"/>
      <c r="S11" s="145"/>
      <c r="T11" s="145"/>
    </row>
    <row r="12" spans="1:20" ht="15">
      <c r="A12" s="3">
        <v>5</v>
      </c>
      <c r="B12" s="32" t="s">
        <v>82</v>
      </c>
      <c r="C12" s="141">
        <v>21</v>
      </c>
      <c r="D12" s="141">
        <v>47</v>
      </c>
      <c r="E12" s="142">
        <f t="shared" si="1"/>
        <v>223.80952380952382</v>
      </c>
      <c r="F12" s="141">
        <v>28</v>
      </c>
      <c r="G12" s="141">
        <v>10</v>
      </c>
      <c r="H12" s="142">
        <f>G12/F12*100</f>
        <v>35.714285714285715</v>
      </c>
      <c r="I12" s="141">
        <v>8122</v>
      </c>
      <c r="J12" s="141">
        <v>16275</v>
      </c>
      <c r="K12" s="142">
        <f t="shared" si="2"/>
        <v>200.381679389313</v>
      </c>
      <c r="L12" s="141">
        <v>6797</v>
      </c>
      <c r="M12" s="141">
        <v>3565</v>
      </c>
      <c r="N12" s="142">
        <f>M12/L12*100</f>
        <v>52.4496101221127</v>
      </c>
      <c r="O12" s="142">
        <f t="shared" si="0"/>
        <v>258.55700566362964</v>
      </c>
      <c r="P12" s="142">
        <f t="shared" si="3"/>
        <v>288.78648233486945</v>
      </c>
      <c r="Q12" s="142">
        <f t="shared" si="4"/>
        <v>111.69160997732428</v>
      </c>
      <c r="R12" s="142">
        <f>F12/L12*100000</f>
        <v>411.94644696189494</v>
      </c>
      <c r="S12" s="142">
        <f>G12/M12*100000</f>
        <v>280.50490883590464</v>
      </c>
      <c r="T12" s="142">
        <f>S12/R12*100</f>
        <v>68.09256661991586</v>
      </c>
    </row>
    <row r="13" spans="1:20" ht="15">
      <c r="A13" s="3">
        <v>6</v>
      </c>
      <c r="B13" s="32" t="s">
        <v>83</v>
      </c>
      <c r="C13" s="141">
        <v>49</v>
      </c>
      <c r="D13" s="146">
        <v>27</v>
      </c>
      <c r="E13" s="147">
        <f t="shared" si="1"/>
        <v>55.10204081632652</v>
      </c>
      <c r="F13" s="146">
        <v>16</v>
      </c>
      <c r="G13" s="146">
        <v>9</v>
      </c>
      <c r="H13" s="142">
        <f>G13/F13*100</f>
        <v>56.25</v>
      </c>
      <c r="I13" s="141">
        <v>8537</v>
      </c>
      <c r="J13" s="141">
        <v>5018</v>
      </c>
      <c r="K13" s="142">
        <f t="shared" si="2"/>
        <v>58.77943071336536</v>
      </c>
      <c r="L13" s="141">
        <v>6980</v>
      </c>
      <c r="M13" s="141">
        <v>3220</v>
      </c>
      <c r="N13" s="142">
        <f>M13/L13*100</f>
        <v>46.13180515759313</v>
      </c>
      <c r="O13" s="142">
        <f t="shared" si="0"/>
        <v>573.9721213541056</v>
      </c>
      <c r="P13" s="142">
        <f t="shared" si="3"/>
        <v>538.0629732961339</v>
      </c>
      <c r="Q13" s="142">
        <f t="shared" si="4"/>
        <v>93.74374700059379</v>
      </c>
      <c r="R13" s="142">
        <f>F13/L13*100000</f>
        <v>229.22636103151862</v>
      </c>
      <c r="S13" s="142">
        <f>G13/M13*100000</f>
        <v>279.50310559006215</v>
      </c>
      <c r="T13" s="142">
        <f>S13/R13*100</f>
        <v>121.93322981366461</v>
      </c>
    </row>
    <row r="14" spans="1:20" ht="15">
      <c r="A14" s="3">
        <v>7</v>
      </c>
      <c r="B14" s="50" t="s">
        <v>84</v>
      </c>
      <c r="C14" s="146"/>
      <c r="D14" s="146">
        <v>12.44</v>
      </c>
      <c r="E14" s="147"/>
      <c r="F14" s="146"/>
      <c r="G14" s="146"/>
      <c r="H14" s="147"/>
      <c r="I14" s="146">
        <v>3902</v>
      </c>
      <c r="J14" s="146">
        <v>4109</v>
      </c>
      <c r="K14" s="147">
        <f t="shared" si="2"/>
        <v>105.30497180932853</v>
      </c>
      <c r="L14" s="146"/>
      <c r="M14" s="146"/>
      <c r="N14" s="147"/>
      <c r="O14" s="142"/>
      <c r="P14" s="142">
        <f t="shared" si="3"/>
        <v>302.75006084205404</v>
      </c>
      <c r="Q14" s="147"/>
      <c r="R14" s="142"/>
      <c r="S14" s="142"/>
      <c r="T14" s="147"/>
    </row>
    <row r="15" spans="1:20" ht="15">
      <c r="A15" s="3">
        <v>8</v>
      </c>
      <c r="B15" s="50" t="s">
        <v>85</v>
      </c>
      <c r="C15" s="146">
        <v>10</v>
      </c>
      <c r="D15" s="146">
        <v>8</v>
      </c>
      <c r="E15" s="147">
        <f t="shared" si="1"/>
        <v>80</v>
      </c>
      <c r="F15" s="146">
        <v>5</v>
      </c>
      <c r="G15" s="146"/>
      <c r="H15" s="147"/>
      <c r="I15" s="146">
        <v>2667</v>
      </c>
      <c r="J15" s="146">
        <v>2496</v>
      </c>
      <c r="K15" s="147">
        <f t="shared" si="2"/>
        <v>93.58830146231722</v>
      </c>
      <c r="L15" s="146">
        <v>1550</v>
      </c>
      <c r="M15" s="146"/>
      <c r="N15" s="147"/>
      <c r="O15" s="142">
        <f t="shared" si="0"/>
        <v>374.9531308586427</v>
      </c>
      <c r="P15" s="142">
        <f t="shared" si="3"/>
        <v>320.5128205128205</v>
      </c>
      <c r="Q15" s="147">
        <f t="shared" si="4"/>
        <v>85.48076923076923</v>
      </c>
      <c r="R15" s="142">
        <f>F15/L15*100000</f>
        <v>322.5806451612903</v>
      </c>
      <c r="T15" s="147"/>
    </row>
    <row r="16" spans="1:20" s="103" customFormat="1" ht="15">
      <c r="A16" s="3">
        <v>9</v>
      </c>
      <c r="B16" s="102" t="s">
        <v>86</v>
      </c>
      <c r="C16" s="148">
        <v>23.32</v>
      </c>
      <c r="D16" s="148">
        <v>10.88</v>
      </c>
      <c r="E16" s="149">
        <f t="shared" si="1"/>
        <v>46.65523156089194</v>
      </c>
      <c r="F16" s="148"/>
      <c r="G16" s="148"/>
      <c r="H16" s="149"/>
      <c r="I16" s="148">
        <v>3081</v>
      </c>
      <c r="J16" s="148">
        <v>2604</v>
      </c>
      <c r="K16" s="149">
        <f t="shared" si="2"/>
        <v>84.51801363193768</v>
      </c>
      <c r="L16" s="148"/>
      <c r="M16" s="148"/>
      <c r="N16" s="149"/>
      <c r="O16" s="142">
        <f t="shared" si="0"/>
        <v>756.8971113274911</v>
      </c>
      <c r="P16" s="142">
        <f t="shared" si="3"/>
        <v>417.81874039938555</v>
      </c>
      <c r="Q16" s="149">
        <f t="shared" si="4"/>
        <v>55.2015239781521</v>
      </c>
      <c r="R16" s="142"/>
      <c r="S16" s="142"/>
      <c r="T16" s="142"/>
    </row>
    <row r="17" spans="1:20" ht="15">
      <c r="A17" s="3">
        <v>10</v>
      </c>
      <c r="B17" s="50" t="s">
        <v>87</v>
      </c>
      <c r="C17" s="146"/>
      <c r="D17" s="146">
        <v>17</v>
      </c>
      <c r="E17" s="147"/>
      <c r="F17" s="146"/>
      <c r="G17" s="146"/>
      <c r="H17" s="147"/>
      <c r="I17" s="146">
        <v>3255</v>
      </c>
      <c r="J17" s="146">
        <v>2418</v>
      </c>
      <c r="K17" s="147">
        <f t="shared" si="2"/>
        <v>74.28571428571429</v>
      </c>
      <c r="L17" s="146"/>
      <c r="M17" s="146"/>
      <c r="N17" s="147"/>
      <c r="O17" s="142"/>
      <c r="P17" s="142">
        <f t="shared" si="3"/>
        <v>703.0603804797354</v>
      </c>
      <c r="Q17" s="147"/>
      <c r="R17" s="142"/>
      <c r="S17" s="142"/>
      <c r="T17" s="147"/>
    </row>
    <row r="18" spans="1:20" ht="15">
      <c r="A18" s="3">
        <v>11</v>
      </c>
      <c r="B18" s="50" t="s">
        <v>88</v>
      </c>
      <c r="C18" s="146">
        <v>2</v>
      </c>
      <c r="D18" s="146">
        <v>5.2</v>
      </c>
      <c r="E18" s="147">
        <f t="shared" si="1"/>
        <v>260</v>
      </c>
      <c r="F18" s="146"/>
      <c r="G18" s="146"/>
      <c r="H18" s="147"/>
      <c r="I18" s="146">
        <v>1147</v>
      </c>
      <c r="J18" s="146">
        <v>930</v>
      </c>
      <c r="K18" s="147">
        <f t="shared" si="2"/>
        <v>81.08108108108108</v>
      </c>
      <c r="L18" s="146"/>
      <c r="M18" s="146"/>
      <c r="N18" s="147"/>
      <c r="O18" s="142">
        <f>C18/I18*100000</f>
        <v>174.3679163034002</v>
      </c>
      <c r="P18" s="142">
        <f>D18/J18*100000</f>
        <v>559.1397849462365</v>
      </c>
      <c r="Q18" s="147">
        <f t="shared" si="4"/>
        <v>320.66666666666663</v>
      </c>
      <c r="R18" s="142"/>
      <c r="S18" s="142"/>
      <c r="T18" s="147"/>
    </row>
    <row r="19" spans="1:20" ht="15">
      <c r="A19" s="162">
        <v>12</v>
      </c>
      <c r="B19" s="166" t="s">
        <v>89</v>
      </c>
      <c r="C19" s="146"/>
      <c r="D19" s="146"/>
      <c r="E19" s="147"/>
      <c r="F19" s="146">
        <v>536</v>
      </c>
      <c r="G19" s="146">
        <v>587</v>
      </c>
      <c r="H19" s="147">
        <f>G19/F19*100</f>
        <v>109.51492537313432</v>
      </c>
      <c r="I19" s="146"/>
      <c r="J19" s="146"/>
      <c r="K19" s="147"/>
      <c r="L19" s="146">
        <v>150178</v>
      </c>
      <c r="M19" s="146">
        <v>176517</v>
      </c>
      <c r="N19" s="147">
        <f>M19/L19*100</f>
        <v>117.53852095513324</v>
      </c>
      <c r="O19" s="142"/>
      <c r="P19" s="142"/>
      <c r="Q19" s="147"/>
      <c r="R19" s="142">
        <f>F19/L19*100000</f>
        <v>356.90980037022734</v>
      </c>
      <c r="S19" s="142">
        <f>G19/M19*100000</f>
        <v>332.5458737685322</v>
      </c>
      <c r="T19" s="147">
        <f>S19/R19*100</f>
        <v>93.17364595300491</v>
      </c>
    </row>
    <row r="20" spans="1:20" ht="15">
      <c r="A20" s="167"/>
      <c r="B20" s="38" t="s">
        <v>13</v>
      </c>
      <c r="C20" s="165">
        <f>SUM(C8:C19)</f>
        <v>145.74</v>
      </c>
      <c r="D20" s="141">
        <f>SUM(D8:D19)</f>
        <v>154.51999999999998</v>
      </c>
      <c r="E20" s="142">
        <f>D20/C20*100</f>
        <v>106.02442706189102</v>
      </c>
      <c r="F20" s="142">
        <f>SUM(F9:F19)</f>
        <v>585</v>
      </c>
      <c r="G20" s="141">
        <f>SUM(G9:G19)</f>
        <v>606</v>
      </c>
      <c r="H20" s="142">
        <f>G20/F20*100</f>
        <v>103.5897435897436</v>
      </c>
      <c r="I20" s="141">
        <f>SUM(I8:I19)</f>
        <v>45938</v>
      </c>
      <c r="J20" s="141">
        <f>SUM(J8:J19)</f>
        <v>41404</v>
      </c>
      <c r="K20" s="142">
        <f>J20/I20*100</f>
        <v>90.13017545387261</v>
      </c>
      <c r="L20" s="141">
        <f>SUM(L9:L19)</f>
        <v>165505</v>
      </c>
      <c r="M20" s="141">
        <f>SUM(M9:M19)</f>
        <v>183302</v>
      </c>
      <c r="N20" s="142">
        <f>M20/L20*100</f>
        <v>110.7531494516782</v>
      </c>
      <c r="O20" s="142">
        <f>C20/I20*100000</f>
        <v>317.25368975575776</v>
      </c>
      <c r="P20" s="142">
        <f>D20/J20*100000</f>
        <v>373.20065694135826</v>
      </c>
      <c r="Q20" s="142">
        <f>P20/O20*100</f>
        <v>117.63477273618852</v>
      </c>
      <c r="R20" s="142">
        <f>F20/L20*100000</f>
        <v>353.46364158182536</v>
      </c>
      <c r="S20" s="142">
        <f>G20/M20*100000</f>
        <v>330.6019574254509</v>
      </c>
      <c r="T20" s="142">
        <f>S20/R20*100</f>
        <v>93.53209737384486</v>
      </c>
    </row>
  </sheetData>
  <mergeCells count="21">
    <mergeCell ref="C6:C7"/>
    <mergeCell ref="D6:D7"/>
    <mergeCell ref="K5:K7"/>
    <mergeCell ref="E5:E7"/>
    <mergeCell ref="I5:J5"/>
    <mergeCell ref="I6:I7"/>
    <mergeCell ref="J6:J7"/>
    <mergeCell ref="F6:F7"/>
    <mergeCell ref="S6:S7"/>
    <mergeCell ref="G6:G7"/>
    <mergeCell ref="Q5:Q7"/>
    <mergeCell ref="R6:R7"/>
    <mergeCell ref="H5:H7"/>
    <mergeCell ref="N5:N7"/>
    <mergeCell ref="T5:T7"/>
    <mergeCell ref="L5:M5"/>
    <mergeCell ref="R5:S5"/>
    <mergeCell ref="L6:L7"/>
    <mergeCell ref="M6:M7"/>
    <mergeCell ref="O6:O7"/>
    <mergeCell ref="P6:P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75" zoomScaleNormal="50" zoomScaleSheetLayoutView="75" workbookViewId="0" topLeftCell="A1">
      <selection activeCell="E13" sqref="E13"/>
    </sheetView>
  </sheetViews>
  <sheetFormatPr defaultColWidth="9.00390625" defaultRowHeight="12.75"/>
  <cols>
    <col min="1" max="1" width="3.625" style="0" customWidth="1"/>
    <col min="2" max="2" width="28.375" style="0" customWidth="1"/>
    <col min="3" max="3" width="7.25390625" style="0" customWidth="1"/>
    <col min="4" max="4" width="7.125" style="0" customWidth="1"/>
    <col min="5" max="5" width="8.125" style="0" customWidth="1"/>
    <col min="6" max="6" width="8.75390625" style="0" customWidth="1"/>
    <col min="7" max="7" width="8.875" style="0" customWidth="1"/>
    <col min="8" max="8" width="8.625" style="0" customWidth="1"/>
    <col min="9" max="9" width="8.75390625" style="0" customWidth="1"/>
    <col min="10" max="10" width="8.25390625" style="0" customWidth="1"/>
    <col min="11" max="11" width="9.00390625" style="0" customWidth="1"/>
    <col min="12" max="12" width="10.375" style="0" customWidth="1"/>
    <col min="14" max="14" width="9.125" style="126" customWidth="1"/>
  </cols>
  <sheetData>
    <row r="1" ht="15.75">
      <c r="C1" s="1" t="s">
        <v>104</v>
      </c>
    </row>
    <row r="2" spans="1:12" ht="15">
      <c r="A2" s="30"/>
      <c r="B2" s="30"/>
      <c r="C2" s="30"/>
      <c r="D2" s="30"/>
      <c r="E2" s="30"/>
      <c r="F2" s="30"/>
      <c r="G2" s="30"/>
      <c r="H2" s="18" t="s">
        <v>68</v>
      </c>
      <c r="I2" s="30"/>
      <c r="J2" s="30"/>
      <c r="K2" s="30"/>
      <c r="L2" s="30"/>
    </row>
    <row r="3" spans="1:14" ht="15" customHeight="1">
      <c r="A3" s="33" t="s">
        <v>2</v>
      </c>
      <c r="B3" s="33" t="s">
        <v>3</v>
      </c>
      <c r="C3" s="35"/>
      <c r="D3" s="35" t="s">
        <v>64</v>
      </c>
      <c r="E3" s="38"/>
      <c r="F3" s="182" t="s">
        <v>12</v>
      </c>
      <c r="G3" s="186"/>
      <c r="H3" s="187"/>
      <c r="I3" s="35" t="s">
        <v>8</v>
      </c>
      <c r="J3" s="31" t="s">
        <v>9</v>
      </c>
      <c r="K3" s="190" t="s">
        <v>114</v>
      </c>
      <c r="L3" s="168"/>
      <c r="M3" s="169"/>
      <c r="N3" s="188"/>
    </row>
    <row r="4" spans="1:14" ht="15">
      <c r="A4" s="44"/>
      <c r="B4" s="44"/>
      <c r="C4" s="17">
        <v>2009</v>
      </c>
      <c r="D4" s="54">
        <v>2010</v>
      </c>
      <c r="E4" s="28" t="s">
        <v>6</v>
      </c>
      <c r="F4" s="28">
        <v>2009</v>
      </c>
      <c r="G4" s="29">
        <v>2010</v>
      </c>
      <c r="H4" s="150" t="s">
        <v>6</v>
      </c>
      <c r="I4" s="54">
        <v>2009</v>
      </c>
      <c r="J4" s="29">
        <v>2010</v>
      </c>
      <c r="K4" s="178" t="s">
        <v>1</v>
      </c>
      <c r="L4" s="178" t="s">
        <v>115</v>
      </c>
      <c r="M4" s="171" t="s">
        <v>116</v>
      </c>
      <c r="N4" s="189"/>
    </row>
    <row r="5" spans="1:14" ht="15">
      <c r="A5" s="40"/>
      <c r="B5" s="40"/>
      <c r="C5" s="39"/>
      <c r="D5" s="47"/>
      <c r="E5" s="52">
        <v>2009</v>
      </c>
      <c r="F5" s="41"/>
      <c r="G5" s="40"/>
      <c r="H5" s="150">
        <v>2009</v>
      </c>
      <c r="I5" s="47"/>
      <c r="J5" s="40"/>
      <c r="K5" s="170"/>
      <c r="L5" s="170"/>
      <c r="M5" s="171"/>
      <c r="N5" s="189"/>
    </row>
    <row r="6" spans="1:13" ht="18">
      <c r="A6" s="9">
        <v>1</v>
      </c>
      <c r="B6" s="32" t="s">
        <v>78</v>
      </c>
      <c r="C6" s="21"/>
      <c r="D6" s="21"/>
      <c r="E6" s="22"/>
      <c r="F6" s="96">
        <v>1</v>
      </c>
      <c r="G6" s="96"/>
      <c r="H6" s="26"/>
      <c r="I6" s="22">
        <f>F6+(C6*0.2)+('численность 1'!M6*0.3)+'численность 1'!G6+(('численность 1'!C6-'численность 1'!G6-'численность 1'!F6)*0.6)+'численность 1'!F6</f>
        <v>63</v>
      </c>
      <c r="J6" s="161"/>
      <c r="K6" s="21"/>
      <c r="L6" s="21"/>
      <c r="M6" s="160"/>
    </row>
    <row r="7" spans="1:14" ht="18">
      <c r="A7" s="9">
        <v>2</v>
      </c>
      <c r="B7" s="32" t="s">
        <v>79</v>
      </c>
      <c r="C7" s="21"/>
      <c r="D7" s="21"/>
      <c r="E7" s="22"/>
      <c r="F7" s="125">
        <v>44</v>
      </c>
      <c r="G7" s="125">
        <v>26</v>
      </c>
      <c r="H7" s="26">
        <f aca="true" t="shared" si="0" ref="H7:H17">G7*100/F7</f>
        <v>59.09090909090909</v>
      </c>
      <c r="I7" s="22">
        <f>F7+(C7*0.2)+('численность 1'!M7*0.3)+'численность 1'!G7+(('численность 1'!C7-'численность 1'!G7)*0.6)</f>
        <v>437.2</v>
      </c>
      <c r="J7" s="22">
        <f>G7+(D7*0.2)+('численность 1'!N7*0.3)+'численность 1'!H7+(('численность 1'!D7-'численность 1'!H7)*0.6)</f>
        <v>285.8</v>
      </c>
      <c r="K7" s="21">
        <v>4000</v>
      </c>
      <c r="L7" s="21">
        <v>1245</v>
      </c>
      <c r="M7" s="140"/>
      <c r="N7" s="159"/>
    </row>
    <row r="8" spans="1:14" ht="18">
      <c r="A8" s="9">
        <v>3</v>
      </c>
      <c r="B8" s="32" t="s">
        <v>80</v>
      </c>
      <c r="C8" s="21"/>
      <c r="D8" s="21"/>
      <c r="E8" s="22"/>
      <c r="F8" s="125">
        <v>7</v>
      </c>
      <c r="G8" s="125">
        <v>7</v>
      </c>
      <c r="H8" s="26">
        <f t="shared" si="0"/>
        <v>100</v>
      </c>
      <c r="I8" s="22">
        <f>F8+(C8*0.2)+('численность 1'!M8*0.3)+'численность 1'!G8+(('численность 1'!C8-'численность 1'!G8)*0.6)</f>
        <v>172.6</v>
      </c>
      <c r="J8" s="22">
        <f>G8+(D8*0.2)+('численность 1'!N8*0.3)+'численность 1'!H8+(('численность 1'!D8-'численность 1'!H8)*0.6)</f>
        <v>165.4</v>
      </c>
      <c r="K8" s="21">
        <v>3416</v>
      </c>
      <c r="L8" s="21">
        <v>1092</v>
      </c>
      <c r="M8" s="140"/>
      <c r="N8" s="159"/>
    </row>
    <row r="9" spans="1:14" ht="18">
      <c r="A9" s="9">
        <v>4</v>
      </c>
      <c r="B9" s="32" t="s">
        <v>81</v>
      </c>
      <c r="C9" s="21"/>
      <c r="D9" s="21"/>
      <c r="E9" s="22"/>
      <c r="F9" s="125">
        <v>7</v>
      </c>
      <c r="G9" s="125">
        <v>2</v>
      </c>
      <c r="H9" s="26">
        <f t="shared" si="0"/>
        <v>28.571428571428573</v>
      </c>
      <c r="I9" s="22">
        <f>F9+(C9*0.2)+('численность 1'!M9*0.3)+'численность 1'!G9+(('численность 1'!C9-'численность 1'!G9)*0.6)</f>
        <v>95.19999999999999</v>
      </c>
      <c r="J9" s="22">
        <f>G9+(D9*0.2)+('численность 1'!N9*0.3)+'численность 1'!H9+(('численность 1'!D9-'численность 1'!H9)*0.6)</f>
        <v>84.8</v>
      </c>
      <c r="K9" s="21">
        <v>1171</v>
      </c>
      <c r="L9" s="21">
        <v>493</v>
      </c>
      <c r="M9" s="140"/>
      <c r="N9" s="159"/>
    </row>
    <row r="10" spans="1:14" ht="18">
      <c r="A10" s="9">
        <v>5</v>
      </c>
      <c r="B10" s="32" t="s">
        <v>82</v>
      </c>
      <c r="C10" s="125"/>
      <c r="D10" s="125"/>
      <c r="E10" s="125"/>
      <c r="F10" s="125">
        <v>39</v>
      </c>
      <c r="G10" s="125">
        <v>34</v>
      </c>
      <c r="H10" s="26">
        <f t="shared" si="0"/>
        <v>87.17948717948718</v>
      </c>
      <c r="I10" s="22">
        <f>F10+(C10*0.2)+('численность 1'!M10*0.3)+'численность 1'!G10+(('численность 1'!C10-'численность 1'!G10)*0.6)</f>
        <v>817.1</v>
      </c>
      <c r="J10" s="22">
        <f>G10+(D10*0.2)+('численность 1'!N10*0.3)+'численность 1'!H10+(('численность 1'!D10-'численность 1'!H10)*0.6)</f>
        <v>795.2</v>
      </c>
      <c r="K10" s="125">
        <v>8120</v>
      </c>
      <c r="L10" s="125">
        <v>4130</v>
      </c>
      <c r="M10" s="140"/>
      <c r="N10" s="159"/>
    </row>
    <row r="11" spans="1:14" ht="18">
      <c r="A11" s="9">
        <v>6</v>
      </c>
      <c r="B11" s="32" t="s">
        <v>83</v>
      </c>
      <c r="C11" s="125">
        <v>151</v>
      </c>
      <c r="D11" s="23">
        <v>117</v>
      </c>
      <c r="E11" s="26">
        <f>D11*100/C11</f>
        <v>77.48344370860927</v>
      </c>
      <c r="F11" s="125">
        <v>67</v>
      </c>
      <c r="G11" s="125">
        <v>49</v>
      </c>
      <c r="H11" s="26">
        <f t="shared" si="0"/>
        <v>73.13432835820896</v>
      </c>
      <c r="I11" s="22">
        <f>F11+(C11*0.2)+('численность 1'!M11*0.3)+'численность 1'!G11+(('численность 1'!C11-'численность 1'!G11)*0.6)</f>
        <v>730.3</v>
      </c>
      <c r="J11" s="22">
        <f>G11+(C11*0.2)+('численность 1'!N11*0.3)+'численность 1'!H11+(('численность 1'!D11-'численность 1'!H11)*0.6)</f>
        <v>576.4</v>
      </c>
      <c r="K11" s="21">
        <v>9000</v>
      </c>
      <c r="L11" s="21">
        <v>3420</v>
      </c>
      <c r="M11" s="140"/>
      <c r="N11" s="159"/>
    </row>
    <row r="12" spans="1:14" ht="18">
      <c r="A12" s="9">
        <v>7</v>
      </c>
      <c r="B12" s="50" t="s">
        <v>84</v>
      </c>
      <c r="C12" s="25"/>
      <c r="D12" s="25"/>
      <c r="E12" s="26"/>
      <c r="F12" s="125">
        <v>21</v>
      </c>
      <c r="G12" s="125">
        <v>15</v>
      </c>
      <c r="H12" s="26">
        <f t="shared" si="0"/>
        <v>71.42857142857143</v>
      </c>
      <c r="I12" s="22">
        <f>F12+(C12*0.2)+('численность 1'!M12*0.3)+'численность 1'!G12+(('численность 1'!C12-'численность 1'!G12)*0.6)</f>
        <v>274</v>
      </c>
      <c r="J12" s="22">
        <f>G12+(D12*0.2)+('численность 1'!N12*0.3)+'численность 1'!H12+(('численность 1'!D12-'численность 1'!H12)*0.6)</f>
        <v>241.6</v>
      </c>
      <c r="K12" s="25">
        <v>3311</v>
      </c>
      <c r="L12" s="25">
        <v>180</v>
      </c>
      <c r="M12" s="140"/>
      <c r="N12" s="159"/>
    </row>
    <row r="13" spans="1:14" ht="18">
      <c r="A13" s="9">
        <v>8</v>
      </c>
      <c r="B13" s="50" t="s">
        <v>85</v>
      </c>
      <c r="C13" s="25"/>
      <c r="D13" s="25"/>
      <c r="E13" s="26"/>
      <c r="F13" s="132">
        <v>4</v>
      </c>
      <c r="G13" s="132">
        <v>4</v>
      </c>
      <c r="H13" s="26">
        <f t="shared" si="0"/>
        <v>100</v>
      </c>
      <c r="I13" s="22">
        <f>F13+(C13*0.2)+('численность 1'!M13*0.3)+'численность 1'!G13+(('численность 1'!C13-'численность 1'!G13)*0.6)</f>
        <v>145</v>
      </c>
      <c r="J13" s="22">
        <f>G13+(D13*0.2)+('численность 1'!N13*0.3)+'численность 1'!H13+(('численность 1'!D13-'численность 1'!H13)*0.6)</f>
        <v>105.19999999999999</v>
      </c>
      <c r="K13" s="25">
        <v>1593</v>
      </c>
      <c r="L13" s="25">
        <v>600</v>
      </c>
      <c r="M13" s="140"/>
      <c r="N13" s="159"/>
    </row>
    <row r="14" spans="1:14" ht="18">
      <c r="A14" s="9">
        <v>9</v>
      </c>
      <c r="B14" s="50" t="s">
        <v>86</v>
      </c>
      <c r="C14" s="25"/>
      <c r="D14" s="25">
        <v>58</v>
      </c>
      <c r="E14" s="26"/>
      <c r="F14" s="125">
        <v>5</v>
      </c>
      <c r="G14" s="125">
        <v>4</v>
      </c>
      <c r="H14" s="26">
        <f t="shared" si="0"/>
        <v>80</v>
      </c>
      <c r="I14" s="22">
        <f>F14+(C14*0.2)+('численность 1'!M14*0.3)+'численность 1'!G14+(('численность 1'!C14-'численность 1'!G14)*0.6)</f>
        <v>110.6</v>
      </c>
      <c r="J14" s="22">
        <f>G14+(D14*0.2)+('численность 1'!N14*0.3)+'численность 1'!H14+(('численность 1'!D14-'численность 1'!H14)*0.6)</f>
        <v>150</v>
      </c>
      <c r="K14" s="25">
        <v>2020</v>
      </c>
      <c r="L14" s="25">
        <v>700</v>
      </c>
      <c r="M14" s="140"/>
      <c r="N14" s="159"/>
    </row>
    <row r="15" spans="1:14" ht="18">
      <c r="A15" s="9">
        <v>10</v>
      </c>
      <c r="B15" s="50" t="s">
        <v>87</v>
      </c>
      <c r="C15" s="25"/>
      <c r="D15" s="25"/>
      <c r="E15" s="26"/>
      <c r="F15" s="125">
        <v>16</v>
      </c>
      <c r="G15" s="125">
        <v>15</v>
      </c>
      <c r="H15" s="26">
        <f t="shared" si="0"/>
        <v>93.75</v>
      </c>
      <c r="I15" s="22">
        <f>F15+(C15*0.2)+('численность 1'!M15*0.3)+'численность 1'!G15+(('численность 1'!C15-'численность 1'!G15)*0.6)</f>
        <v>211.39999999999998</v>
      </c>
      <c r="J15" s="22">
        <f>G15+(D15*0.2)+('численность 1'!N15*0.3)+'численность 1'!H15+(('численность 1'!D15-'численность 1'!H15)*0.6)</f>
        <v>176.8</v>
      </c>
      <c r="K15" s="25">
        <v>1980</v>
      </c>
      <c r="L15" s="25">
        <v>1002</v>
      </c>
      <c r="M15" s="140"/>
      <c r="N15" s="159"/>
    </row>
    <row r="16" spans="1:14" ht="18">
      <c r="A16" s="9">
        <v>11</v>
      </c>
      <c r="B16" s="50" t="s">
        <v>88</v>
      </c>
      <c r="C16" s="25"/>
      <c r="D16" s="25"/>
      <c r="E16" s="26"/>
      <c r="F16" s="125">
        <v>4</v>
      </c>
      <c r="G16" s="125">
        <v>3</v>
      </c>
      <c r="H16" s="26">
        <f t="shared" si="0"/>
        <v>75</v>
      </c>
      <c r="I16" s="22">
        <f>F16+(C16*0.2)+('численность 1'!M16*0.3)+'численность 1'!G16+(('численность 1'!C16-'численность 1'!G16)*0.6)</f>
        <v>71.2</v>
      </c>
      <c r="J16" s="22">
        <f>G16+(D16*0.2)+('численность 1'!N16*0.3)+'численность 1'!H16+(('численность 1'!D16-'численность 1'!H16)*0.6)</f>
        <v>66</v>
      </c>
      <c r="K16" s="25">
        <v>2122</v>
      </c>
      <c r="L16" s="25">
        <v>33</v>
      </c>
      <c r="M16" s="140"/>
      <c r="N16" s="159"/>
    </row>
    <row r="17" spans="1:14" ht="18">
      <c r="A17" s="9">
        <v>12</v>
      </c>
      <c r="B17" s="50" t="s">
        <v>89</v>
      </c>
      <c r="C17" s="25"/>
      <c r="D17" s="25"/>
      <c r="E17" s="26"/>
      <c r="F17" s="125">
        <v>1</v>
      </c>
      <c r="G17" s="125">
        <v>1</v>
      </c>
      <c r="H17" s="26">
        <f t="shared" si="0"/>
        <v>100</v>
      </c>
      <c r="I17" s="22">
        <f>F17+(C17*0.2)+('численность 1'!M17*0.3)+'численность 1'!G17+(('численность 1'!C17-'численность 1'!G17)*0.6)</f>
        <v>2005.6</v>
      </c>
      <c r="J17" s="22">
        <f>G17+(D17*0.2)+('численность 1'!N17*0.3)+'численность 1'!H17+(('численность 1'!D17-'численность 1'!H17)*0.6)</f>
        <v>2413</v>
      </c>
      <c r="K17" s="25">
        <v>18187</v>
      </c>
      <c r="L17" s="25">
        <v>18187</v>
      </c>
      <c r="M17" s="140"/>
      <c r="N17" s="159"/>
    </row>
    <row r="18" spans="1:14" ht="18">
      <c r="A18" s="32"/>
      <c r="B18" s="32" t="s">
        <v>13</v>
      </c>
      <c r="C18" s="21">
        <f>SUM(C7:C17)</f>
        <v>151</v>
      </c>
      <c r="D18" s="21">
        <f>SUM(D7:D17)</f>
        <v>175</v>
      </c>
      <c r="E18" s="22">
        <f>D18/C18*100</f>
        <v>115.89403973509933</v>
      </c>
      <c r="F18" s="21">
        <f>SUM(F6:F17)</f>
        <v>216</v>
      </c>
      <c r="G18" s="21">
        <f>SUM(G6:G17)</f>
        <v>160</v>
      </c>
      <c r="H18" s="26">
        <f>G18*100/F18</f>
        <v>74.07407407407408</v>
      </c>
      <c r="I18" s="22">
        <f>SUM(I7:I17)</f>
        <v>5070.199999999999</v>
      </c>
      <c r="J18" s="22">
        <f>G18+(D18*0.2)+('численность 1'!N18*0.3)+'численность 1'!H18+(('численность 1'!D18-'численность 1'!H18)*0.6)</f>
        <v>5053.4</v>
      </c>
      <c r="K18" s="21">
        <f>SUM(K7:K17)</f>
        <v>54920</v>
      </c>
      <c r="L18" s="21">
        <f>SUM(L7:L17)</f>
        <v>31082</v>
      </c>
      <c r="M18" s="140"/>
      <c r="N18" s="159"/>
    </row>
  </sheetData>
  <mergeCells count="6"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view="pageBreakPreview" zoomScale="50" zoomScaleNormal="50" zoomScaleSheetLayoutView="50" workbookViewId="0" topLeftCell="A1">
      <selection activeCell="B25" sqref="B25"/>
    </sheetView>
  </sheetViews>
  <sheetFormatPr defaultColWidth="9.00390625" defaultRowHeight="12.75"/>
  <cols>
    <col min="1" max="1" width="5.25390625" style="0" customWidth="1"/>
    <col min="2" max="2" width="40.625" style="0" customWidth="1"/>
    <col min="3" max="3" width="13.00390625" style="0" customWidth="1"/>
    <col min="4" max="4" width="11.75390625" style="0" customWidth="1"/>
    <col min="5" max="5" width="14.625" style="0" customWidth="1"/>
    <col min="6" max="6" width="16.00390625" style="0" customWidth="1"/>
    <col min="7" max="7" width="12.00390625" style="0" customWidth="1"/>
    <col min="8" max="8" width="10.75390625" style="0" customWidth="1"/>
    <col min="9" max="9" width="12.375" style="0" customWidth="1"/>
    <col min="10" max="10" width="8.75390625" style="0" customWidth="1"/>
    <col min="11" max="11" width="8.125" style="0" customWidth="1"/>
    <col min="12" max="12" width="12.375" style="0" customWidth="1"/>
    <col min="13" max="13" width="12.75390625" style="0" customWidth="1"/>
    <col min="14" max="14" width="12.25390625" style="0" customWidth="1"/>
    <col min="15" max="15" width="11.75390625" style="0" customWidth="1"/>
    <col min="16" max="16" width="10.00390625" style="0" customWidth="1"/>
    <col min="17" max="17" width="9.25390625" style="0" customWidth="1"/>
    <col min="18" max="18" width="12.75390625" style="0" customWidth="1"/>
    <col min="19" max="19" width="14.75390625" style="0" customWidth="1"/>
    <col min="20" max="20" width="13.25390625" style="0" customWidth="1"/>
    <col min="21" max="21" width="11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69" t="s">
        <v>99</v>
      </c>
      <c r="F1" s="69"/>
      <c r="G1" s="69"/>
      <c r="H1" s="67"/>
      <c r="I1" s="67"/>
      <c r="J1" s="67"/>
      <c r="K1" s="67"/>
      <c r="L1" s="67"/>
      <c r="M1" s="67"/>
      <c r="N1" s="67"/>
      <c r="O1" s="67"/>
      <c r="P1" s="23"/>
      <c r="Q1" s="55"/>
      <c r="R1" s="1"/>
    </row>
    <row r="2" spans="5:17" ht="20.25">
      <c r="E2" s="67"/>
      <c r="F2" s="67"/>
      <c r="G2" s="67"/>
      <c r="H2" s="70" t="s">
        <v>67</v>
      </c>
      <c r="I2" s="70"/>
      <c r="J2" s="70"/>
      <c r="K2" s="70"/>
      <c r="L2" s="70"/>
      <c r="M2" s="70"/>
      <c r="N2" s="67"/>
      <c r="O2" s="67"/>
      <c r="P2" s="23"/>
      <c r="Q2" s="23"/>
    </row>
    <row r="3" spans="1:21" ht="62.25" customHeight="1">
      <c r="A3" s="58" t="s">
        <v>2</v>
      </c>
      <c r="B3" s="68" t="s">
        <v>3</v>
      </c>
      <c r="C3" s="59" t="s">
        <v>69</v>
      </c>
      <c r="D3" s="60"/>
      <c r="E3" s="61"/>
      <c r="F3" s="88" t="s">
        <v>4</v>
      </c>
      <c r="G3" s="59" t="s">
        <v>10</v>
      </c>
      <c r="H3" s="60"/>
      <c r="I3" s="61"/>
      <c r="J3" s="172" t="s">
        <v>112</v>
      </c>
      <c r="K3" s="173"/>
      <c r="L3" s="191"/>
      <c r="M3" s="60"/>
      <c r="N3" s="60" t="s">
        <v>11</v>
      </c>
      <c r="O3" s="60"/>
      <c r="P3" s="122"/>
      <c r="Q3" s="122"/>
      <c r="R3" s="60"/>
      <c r="S3" s="122"/>
      <c r="T3" s="122"/>
      <c r="U3" s="151"/>
    </row>
    <row r="4" spans="1:21" ht="23.25" customHeight="1">
      <c r="A4" s="62"/>
      <c r="B4" s="62"/>
      <c r="C4" s="88">
        <v>2009</v>
      </c>
      <c r="D4" s="83">
        <v>2010</v>
      </c>
      <c r="E4" s="89" t="s">
        <v>6</v>
      </c>
      <c r="F4" s="89" t="s">
        <v>5</v>
      </c>
      <c r="G4" s="88">
        <v>2009</v>
      </c>
      <c r="H4" s="83">
        <v>2010</v>
      </c>
      <c r="I4" s="89" t="s">
        <v>109</v>
      </c>
      <c r="J4" s="192">
        <v>2009</v>
      </c>
      <c r="K4" s="192">
        <v>2010</v>
      </c>
      <c r="L4" s="193" t="s">
        <v>113</v>
      </c>
      <c r="M4" s="88">
        <v>2009</v>
      </c>
      <c r="N4" s="83">
        <v>2010</v>
      </c>
      <c r="O4" s="154" t="s">
        <v>6</v>
      </c>
      <c r="P4" s="155" t="s">
        <v>7</v>
      </c>
      <c r="Q4" s="157" t="s">
        <v>93</v>
      </c>
      <c r="R4" s="90" t="s">
        <v>6</v>
      </c>
      <c r="S4" s="155" t="s">
        <v>63</v>
      </c>
      <c r="T4" s="156"/>
      <c r="U4" s="83" t="s">
        <v>6</v>
      </c>
    </row>
    <row r="5" spans="1:21" ht="23.25" customHeight="1">
      <c r="A5" s="63"/>
      <c r="B5" s="63"/>
      <c r="C5" s="96"/>
      <c r="D5" s="96"/>
      <c r="E5" s="94">
        <v>2009</v>
      </c>
      <c r="F5" s="96"/>
      <c r="G5" s="92"/>
      <c r="H5" s="97"/>
      <c r="I5" s="96" t="s">
        <v>110</v>
      </c>
      <c r="J5" s="185"/>
      <c r="K5" s="185"/>
      <c r="L5" s="194"/>
      <c r="M5" s="92"/>
      <c r="N5" s="92"/>
      <c r="O5" s="93">
        <v>2009</v>
      </c>
      <c r="P5" s="21">
        <v>2009</v>
      </c>
      <c r="Q5" s="21">
        <v>2010</v>
      </c>
      <c r="R5" s="93">
        <v>2009</v>
      </c>
      <c r="S5" s="21">
        <v>2009</v>
      </c>
      <c r="T5" s="21">
        <v>2010</v>
      </c>
      <c r="U5" s="94">
        <v>2009</v>
      </c>
    </row>
    <row r="6" spans="1:21" ht="24.75" customHeight="1">
      <c r="A6" s="64">
        <v>1</v>
      </c>
      <c r="B6" s="65" t="s">
        <v>78</v>
      </c>
      <c r="C6" s="125">
        <v>90</v>
      </c>
      <c r="D6" s="125"/>
      <c r="E6" s="127"/>
      <c r="F6" s="99"/>
      <c r="G6" s="125">
        <v>20</v>
      </c>
      <c r="H6" s="125"/>
      <c r="I6" s="127"/>
      <c r="J6" s="125">
        <v>20</v>
      </c>
      <c r="K6" s="125"/>
      <c r="L6" s="127"/>
      <c r="M6" s="99"/>
      <c r="N6" s="99"/>
      <c r="O6" s="127"/>
      <c r="P6" s="128"/>
      <c r="Q6" s="128"/>
      <c r="R6" s="127"/>
      <c r="S6" s="128"/>
      <c r="T6" s="128"/>
      <c r="U6" s="152"/>
    </row>
    <row r="7" spans="1:34" ht="24.75" customHeight="1">
      <c r="A7" s="64">
        <v>2</v>
      </c>
      <c r="B7" s="65" t="s">
        <v>79</v>
      </c>
      <c r="C7" s="125">
        <v>522</v>
      </c>
      <c r="D7" s="125">
        <v>313</v>
      </c>
      <c r="E7" s="127">
        <f aca="true" t="shared" si="0" ref="E7:E16">D7*100/C7</f>
        <v>59.96168582375479</v>
      </c>
      <c r="F7" s="99">
        <v>21</v>
      </c>
      <c r="G7" s="125">
        <v>200</v>
      </c>
      <c r="H7" s="125">
        <v>180</v>
      </c>
      <c r="I7" s="127">
        <f aca="true" t="shared" si="1" ref="I7:I16">H7*100/G7</f>
        <v>90</v>
      </c>
      <c r="J7" s="125">
        <v>200</v>
      </c>
      <c r="K7" s="125">
        <v>180</v>
      </c>
      <c r="L7" s="127">
        <f aca="true" t="shared" si="2" ref="L7:L18">K7*100/J7</f>
        <v>90</v>
      </c>
      <c r="M7" s="99"/>
      <c r="N7" s="99"/>
      <c r="O7" s="127"/>
      <c r="P7" s="127"/>
      <c r="Q7" s="99"/>
      <c r="R7" s="127"/>
      <c r="S7" s="127"/>
      <c r="T7" s="127"/>
      <c r="U7" s="127"/>
      <c r="W7" s="23"/>
      <c r="AH7" s="8"/>
    </row>
    <row r="8" spans="1:34" ht="24.75" customHeight="1">
      <c r="A8" s="64">
        <v>3</v>
      </c>
      <c r="B8" s="65" t="s">
        <v>80</v>
      </c>
      <c r="C8" s="125">
        <v>206</v>
      </c>
      <c r="D8" s="125">
        <v>194</v>
      </c>
      <c r="E8" s="127">
        <f t="shared" si="0"/>
        <v>94.1747572815534</v>
      </c>
      <c r="F8" s="99">
        <v>9</v>
      </c>
      <c r="G8" s="125">
        <v>105</v>
      </c>
      <c r="H8" s="125">
        <v>105</v>
      </c>
      <c r="I8" s="127">
        <f t="shared" si="1"/>
        <v>100</v>
      </c>
      <c r="J8" s="125">
        <v>105</v>
      </c>
      <c r="K8" s="125">
        <v>105</v>
      </c>
      <c r="L8" s="127">
        <f t="shared" si="2"/>
        <v>100</v>
      </c>
      <c r="M8" s="99"/>
      <c r="N8" s="99"/>
      <c r="O8" s="127"/>
      <c r="P8" s="127"/>
      <c r="Q8" s="99"/>
      <c r="R8" s="127"/>
      <c r="S8" s="127"/>
      <c r="T8" s="127"/>
      <c r="U8" s="127"/>
      <c r="AH8" s="8"/>
    </row>
    <row r="9" spans="1:34" ht="24.75" customHeight="1">
      <c r="A9" s="64">
        <v>4</v>
      </c>
      <c r="B9" s="65" t="s">
        <v>81</v>
      </c>
      <c r="C9" s="125">
        <v>111</v>
      </c>
      <c r="D9" s="125">
        <v>102</v>
      </c>
      <c r="E9" s="127">
        <f t="shared" si="0"/>
        <v>91.89189189189189</v>
      </c>
      <c r="F9" s="99">
        <v>2</v>
      </c>
      <c r="G9" s="125">
        <v>54</v>
      </c>
      <c r="H9" s="125">
        <v>54</v>
      </c>
      <c r="I9" s="127">
        <f t="shared" si="1"/>
        <v>100</v>
      </c>
      <c r="J9" s="125">
        <v>54</v>
      </c>
      <c r="K9" s="125">
        <v>54</v>
      </c>
      <c r="L9" s="127">
        <f t="shared" si="2"/>
        <v>100</v>
      </c>
      <c r="M9" s="99"/>
      <c r="N9" s="99"/>
      <c r="O9" s="127"/>
      <c r="P9" s="127"/>
      <c r="Q9" s="99"/>
      <c r="R9" s="127"/>
      <c r="S9" s="127"/>
      <c r="T9" s="127"/>
      <c r="U9" s="127"/>
      <c r="W9" s="67"/>
      <c r="AH9" s="8"/>
    </row>
    <row r="10" spans="1:34" ht="24.75" customHeight="1">
      <c r="A10" s="64">
        <v>5</v>
      </c>
      <c r="B10" s="65" t="s">
        <v>82</v>
      </c>
      <c r="C10" s="125">
        <v>883</v>
      </c>
      <c r="D10" s="125">
        <v>877</v>
      </c>
      <c r="E10" s="127">
        <f t="shared" si="0"/>
        <v>99.32049830124575</v>
      </c>
      <c r="F10" s="99">
        <v>26</v>
      </c>
      <c r="G10" s="125">
        <v>308</v>
      </c>
      <c r="H10" s="125">
        <v>304</v>
      </c>
      <c r="I10" s="127">
        <f t="shared" si="1"/>
        <v>98.7012987012987</v>
      </c>
      <c r="J10" s="125">
        <v>308</v>
      </c>
      <c r="K10" s="125">
        <v>304</v>
      </c>
      <c r="L10" s="127">
        <f t="shared" si="2"/>
        <v>98.7012987012987</v>
      </c>
      <c r="M10" s="125">
        <v>417</v>
      </c>
      <c r="N10" s="125">
        <v>378</v>
      </c>
      <c r="O10" s="127">
        <f>N10*100/M10</f>
        <v>90.64748201438849</v>
      </c>
      <c r="P10" s="125">
        <v>19</v>
      </c>
      <c r="Q10" s="125">
        <v>27</v>
      </c>
      <c r="R10" s="127">
        <f>Q10*100/P10</f>
        <v>142.10526315789474</v>
      </c>
      <c r="S10" s="125">
        <v>15</v>
      </c>
      <c r="T10" s="125">
        <v>30</v>
      </c>
      <c r="U10" s="127">
        <f>T10*100/S10</f>
        <v>200</v>
      </c>
      <c r="AH10" s="8"/>
    </row>
    <row r="11" spans="1:34" ht="24.75" customHeight="1">
      <c r="A11" s="64">
        <v>6</v>
      </c>
      <c r="B11" s="65" t="s">
        <v>83</v>
      </c>
      <c r="C11" s="125">
        <v>615</v>
      </c>
      <c r="D11" s="125">
        <v>506</v>
      </c>
      <c r="E11" s="127">
        <f t="shared" si="0"/>
        <v>82.27642276422765</v>
      </c>
      <c r="F11" s="100">
        <v>4</v>
      </c>
      <c r="G11" s="125">
        <v>280</v>
      </c>
      <c r="H11" s="125">
        <v>250</v>
      </c>
      <c r="I11" s="127">
        <f t="shared" si="1"/>
        <v>89.28571428571429</v>
      </c>
      <c r="J11" s="125">
        <v>280</v>
      </c>
      <c r="K11" s="125">
        <v>250</v>
      </c>
      <c r="L11" s="127">
        <f t="shared" si="2"/>
        <v>89.28571428571429</v>
      </c>
      <c r="M11" s="125">
        <v>507</v>
      </c>
      <c r="N11" s="125">
        <v>312</v>
      </c>
      <c r="O11" s="127">
        <f>N11*100/M11</f>
        <v>61.53846153846154</v>
      </c>
      <c r="P11" s="125">
        <v>80</v>
      </c>
      <c r="Q11" s="125">
        <v>80</v>
      </c>
      <c r="R11" s="127">
        <f>Q11*100/P11</f>
        <v>100</v>
      </c>
      <c r="S11" s="125">
        <v>35</v>
      </c>
      <c r="T11" s="125">
        <v>21</v>
      </c>
      <c r="U11" s="127">
        <f>T11*100/S11</f>
        <v>60</v>
      </c>
      <c r="AH11" s="8"/>
    </row>
    <row r="12" spans="1:34" ht="24.75" customHeight="1">
      <c r="A12" s="64">
        <v>7</v>
      </c>
      <c r="B12" s="66" t="s">
        <v>84</v>
      </c>
      <c r="C12" s="125">
        <v>365</v>
      </c>
      <c r="D12" s="125">
        <v>321</v>
      </c>
      <c r="E12" s="127">
        <f t="shared" si="0"/>
        <v>87.94520547945206</v>
      </c>
      <c r="F12" s="100">
        <v>8</v>
      </c>
      <c r="G12" s="125">
        <v>85</v>
      </c>
      <c r="H12" s="125">
        <v>85</v>
      </c>
      <c r="I12" s="127">
        <f t="shared" si="1"/>
        <v>100</v>
      </c>
      <c r="J12" s="125">
        <v>85</v>
      </c>
      <c r="K12" s="125">
        <v>85</v>
      </c>
      <c r="L12" s="127">
        <f t="shared" si="2"/>
        <v>100</v>
      </c>
      <c r="M12" s="125"/>
      <c r="N12" s="125"/>
      <c r="O12" s="127"/>
      <c r="P12" s="125"/>
      <c r="Q12" s="125"/>
      <c r="R12" s="127"/>
      <c r="S12" s="125"/>
      <c r="T12" s="125"/>
      <c r="U12" s="127"/>
      <c r="AH12" s="8"/>
    </row>
    <row r="13" spans="1:34" ht="24.75" customHeight="1">
      <c r="A13" s="64">
        <v>8</v>
      </c>
      <c r="B13" s="65" t="s">
        <v>85</v>
      </c>
      <c r="C13" s="125">
        <v>156</v>
      </c>
      <c r="D13" s="125">
        <v>134</v>
      </c>
      <c r="E13" s="127">
        <f t="shared" si="0"/>
        <v>85.8974358974359</v>
      </c>
      <c r="F13" s="99">
        <v>7</v>
      </c>
      <c r="G13" s="125">
        <v>69</v>
      </c>
      <c r="H13" s="125">
        <v>52</v>
      </c>
      <c r="I13" s="127">
        <f t="shared" si="1"/>
        <v>75.3623188405797</v>
      </c>
      <c r="J13" s="125">
        <v>69</v>
      </c>
      <c r="K13" s="125">
        <v>52</v>
      </c>
      <c r="L13" s="127">
        <f t="shared" si="2"/>
        <v>75.3623188405797</v>
      </c>
      <c r="M13" s="125">
        <v>66</v>
      </c>
      <c r="N13" s="125"/>
      <c r="O13" s="127"/>
      <c r="P13" s="125">
        <v>14</v>
      </c>
      <c r="Q13" s="125"/>
      <c r="R13" s="127"/>
      <c r="S13" s="125"/>
      <c r="T13" s="125"/>
      <c r="U13" s="127"/>
      <c r="AH13" s="8"/>
    </row>
    <row r="14" spans="1:34" ht="24.75" customHeight="1">
      <c r="A14" s="64">
        <v>9</v>
      </c>
      <c r="B14" s="65" t="s">
        <v>86</v>
      </c>
      <c r="C14" s="125">
        <v>144</v>
      </c>
      <c r="D14" s="125">
        <v>184</v>
      </c>
      <c r="E14" s="127">
        <f t="shared" si="0"/>
        <v>127.77777777777777</v>
      </c>
      <c r="F14" s="99">
        <v>27</v>
      </c>
      <c r="G14" s="125">
        <v>48</v>
      </c>
      <c r="H14" s="125">
        <v>60</v>
      </c>
      <c r="I14" s="127">
        <f t="shared" si="1"/>
        <v>125</v>
      </c>
      <c r="J14" s="125">
        <v>48</v>
      </c>
      <c r="K14" s="125">
        <v>60</v>
      </c>
      <c r="L14" s="127">
        <f t="shared" si="2"/>
        <v>125</v>
      </c>
      <c r="M14" s="125"/>
      <c r="N14" s="125"/>
      <c r="O14" s="127"/>
      <c r="P14" s="125"/>
      <c r="Q14" s="125"/>
      <c r="R14" s="127"/>
      <c r="S14" s="125"/>
      <c r="T14" s="125"/>
      <c r="U14" s="127"/>
      <c r="AH14" s="8"/>
    </row>
    <row r="15" spans="1:34" ht="24.75" customHeight="1">
      <c r="A15" s="64">
        <v>10</v>
      </c>
      <c r="B15" s="65" t="s">
        <v>87</v>
      </c>
      <c r="C15" s="125">
        <v>259</v>
      </c>
      <c r="D15" s="125">
        <v>203</v>
      </c>
      <c r="E15" s="127">
        <f t="shared" si="0"/>
        <v>78.37837837837837</v>
      </c>
      <c r="F15" s="99">
        <v>14</v>
      </c>
      <c r="G15" s="125">
        <v>100</v>
      </c>
      <c r="H15" s="125">
        <v>100</v>
      </c>
      <c r="I15" s="127">
        <f t="shared" si="1"/>
        <v>100</v>
      </c>
      <c r="J15" s="125">
        <v>100</v>
      </c>
      <c r="K15" s="125">
        <v>100</v>
      </c>
      <c r="L15" s="127">
        <f t="shared" si="2"/>
        <v>100</v>
      </c>
      <c r="M15" s="125"/>
      <c r="N15" s="125"/>
      <c r="O15" s="127"/>
      <c r="P15" s="125"/>
      <c r="Q15" s="125"/>
      <c r="R15" s="127"/>
      <c r="S15" s="125"/>
      <c r="T15" s="125"/>
      <c r="U15" s="127"/>
      <c r="AH15" s="8"/>
    </row>
    <row r="16" spans="1:34" ht="24.75" customHeight="1">
      <c r="A16" s="64">
        <v>11</v>
      </c>
      <c r="B16" s="65" t="s">
        <v>88</v>
      </c>
      <c r="C16" s="125">
        <v>84</v>
      </c>
      <c r="D16" s="125">
        <v>77</v>
      </c>
      <c r="E16" s="127">
        <f t="shared" si="0"/>
        <v>91.66666666666667</v>
      </c>
      <c r="F16" s="99"/>
      <c r="G16" s="125">
        <v>42</v>
      </c>
      <c r="H16" s="125">
        <v>42</v>
      </c>
      <c r="I16" s="127">
        <f t="shared" si="1"/>
        <v>100</v>
      </c>
      <c r="J16" s="125">
        <v>42</v>
      </c>
      <c r="K16" s="125">
        <v>42</v>
      </c>
      <c r="L16" s="127">
        <f t="shared" si="2"/>
        <v>100</v>
      </c>
      <c r="M16" s="125"/>
      <c r="N16" s="125"/>
      <c r="O16" s="127"/>
      <c r="P16" s="125"/>
      <c r="Q16" s="125"/>
      <c r="R16" s="127"/>
      <c r="S16" s="125"/>
      <c r="T16" s="125"/>
      <c r="U16" s="127"/>
      <c r="AH16" s="8"/>
    </row>
    <row r="17" spans="1:34" ht="24.75" customHeight="1">
      <c r="A17" s="64">
        <v>12</v>
      </c>
      <c r="B17" s="65" t="s">
        <v>89</v>
      </c>
      <c r="C17" s="125"/>
      <c r="D17" s="125"/>
      <c r="E17" s="127"/>
      <c r="F17" s="99"/>
      <c r="G17" s="99"/>
      <c r="H17" s="99"/>
      <c r="I17" s="127"/>
      <c r="J17" s="99"/>
      <c r="K17" s="99"/>
      <c r="L17" s="127"/>
      <c r="M17" s="125">
        <v>6682</v>
      </c>
      <c r="N17" s="125">
        <v>8040</v>
      </c>
      <c r="O17" s="127">
        <f>N17*100/M17</f>
        <v>120.32325651002694</v>
      </c>
      <c r="P17" s="125">
        <v>220</v>
      </c>
      <c r="Q17" s="125">
        <v>220</v>
      </c>
      <c r="R17" s="127">
        <f>Q17*100/P17</f>
        <v>100</v>
      </c>
      <c r="S17" s="125">
        <v>248</v>
      </c>
      <c r="T17" s="125">
        <v>484</v>
      </c>
      <c r="U17" s="127">
        <f>T17*100/S17</f>
        <v>195.16129032258064</v>
      </c>
      <c r="AH17" s="8"/>
    </row>
    <row r="18" spans="1:21" ht="21.75" customHeight="1">
      <c r="A18" s="65"/>
      <c r="B18" s="65" t="s">
        <v>13</v>
      </c>
      <c r="C18" s="125">
        <f>SUM(C6:C17)</f>
        <v>3435</v>
      </c>
      <c r="D18" s="99">
        <f>SUM(D6:D17)</f>
        <v>2911</v>
      </c>
      <c r="E18" s="127">
        <f>D18*100/C18</f>
        <v>84.74526928675401</v>
      </c>
      <c r="F18" s="99">
        <f>SUM(F6:F17)</f>
        <v>118</v>
      </c>
      <c r="G18" s="125">
        <f>SUM(G6:G17)</f>
        <v>1311</v>
      </c>
      <c r="H18" s="99">
        <f>SUM(H6:H17)</f>
        <v>1232</v>
      </c>
      <c r="I18" s="127">
        <f>H18*100/G18</f>
        <v>93.97406559877956</v>
      </c>
      <c r="J18" s="125">
        <f>SUM(J6:J17)</f>
        <v>1311</v>
      </c>
      <c r="K18" s="99">
        <f>SUM(K6:K17)</f>
        <v>1232</v>
      </c>
      <c r="L18" s="127">
        <f t="shared" si="2"/>
        <v>93.97406559877956</v>
      </c>
      <c r="M18" s="125">
        <f>SUM(M10:M17)</f>
        <v>7672</v>
      </c>
      <c r="N18" s="99">
        <f>SUM(N6:N17)</f>
        <v>8730</v>
      </c>
      <c r="O18" s="127">
        <f>N18*100/M18</f>
        <v>113.79040667361835</v>
      </c>
      <c r="P18" s="99">
        <f>SUM(P6:P17)</f>
        <v>333</v>
      </c>
      <c r="Q18" s="99">
        <f>SUM(Q6:Q17)</f>
        <v>327</v>
      </c>
      <c r="R18" s="127">
        <f>Q18*100/P18</f>
        <v>98.1981981981982</v>
      </c>
      <c r="S18" s="99">
        <f>SUM(S6:S17)</f>
        <v>298</v>
      </c>
      <c r="T18" s="99">
        <f>SUM(T6:T17)</f>
        <v>535</v>
      </c>
      <c r="U18" s="127">
        <f>T18*100/S18</f>
        <v>179.53020134228188</v>
      </c>
    </row>
  </sheetData>
  <mergeCells count="4">
    <mergeCell ref="J3:L3"/>
    <mergeCell ref="J4:J5"/>
    <mergeCell ref="K4:K5"/>
    <mergeCell ref="L4:L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workbookViewId="0" topLeftCell="A1">
      <selection activeCell="C26" sqref="C26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>
      <c r="A2" s="30"/>
      <c r="B2" s="30"/>
      <c r="C2" s="1" t="s">
        <v>100</v>
      </c>
      <c r="D2" s="1"/>
      <c r="E2" s="1"/>
      <c r="F2" s="30"/>
      <c r="G2" s="30"/>
      <c r="H2" s="30"/>
      <c r="I2" s="30"/>
      <c r="J2" s="30"/>
      <c r="K2" s="30"/>
      <c r="L2" s="30"/>
      <c r="M2" s="30"/>
      <c r="N2" s="30"/>
    </row>
    <row r="3" spans="1:14" ht="15">
      <c r="A3" s="45" t="s">
        <v>2</v>
      </c>
      <c r="B3" s="31" t="s">
        <v>3</v>
      </c>
      <c r="C3" s="34" t="s">
        <v>45</v>
      </c>
      <c r="D3" s="35"/>
      <c r="E3" s="38"/>
      <c r="F3" s="71" t="s">
        <v>46</v>
      </c>
      <c r="G3" s="35"/>
      <c r="H3" s="38"/>
      <c r="I3" s="34" t="s">
        <v>47</v>
      </c>
      <c r="J3" s="35"/>
      <c r="K3" s="38"/>
      <c r="L3" s="34" t="s">
        <v>48</v>
      </c>
      <c r="M3" s="35"/>
      <c r="N3" s="38"/>
    </row>
    <row r="4" spans="1:14" ht="15">
      <c r="A4" s="51"/>
      <c r="B4" s="37"/>
      <c r="C4" s="28">
        <v>2009</v>
      </c>
      <c r="D4" s="29">
        <v>2010</v>
      </c>
      <c r="E4" s="17" t="s">
        <v>44</v>
      </c>
      <c r="F4" s="28">
        <v>2009</v>
      </c>
      <c r="G4" s="29">
        <v>2010</v>
      </c>
      <c r="H4" s="31" t="s">
        <v>44</v>
      </c>
      <c r="I4" s="28">
        <v>2009</v>
      </c>
      <c r="J4" s="29">
        <v>2010</v>
      </c>
      <c r="K4" s="31" t="s">
        <v>44</v>
      </c>
      <c r="L4" s="28">
        <v>2009</v>
      </c>
      <c r="M4" s="29">
        <v>2010</v>
      </c>
      <c r="N4" s="17" t="s">
        <v>44</v>
      </c>
    </row>
    <row r="5" spans="1:14" ht="15">
      <c r="A5" s="41"/>
      <c r="B5" s="39"/>
      <c r="C5" s="40"/>
      <c r="D5" s="40"/>
      <c r="E5" s="57" t="s">
        <v>108</v>
      </c>
      <c r="F5" s="40"/>
      <c r="G5" s="40"/>
      <c r="H5" s="57" t="s">
        <v>108</v>
      </c>
      <c r="I5" s="40"/>
      <c r="J5" s="40"/>
      <c r="K5" s="57" t="s">
        <v>108</v>
      </c>
      <c r="L5" s="40"/>
      <c r="M5" s="40"/>
      <c r="N5" s="57" t="s">
        <v>108</v>
      </c>
    </row>
    <row r="6" spans="1:14" ht="16.5" customHeight="1">
      <c r="A6" s="42">
        <v>1</v>
      </c>
      <c r="B6" s="42" t="s">
        <v>78</v>
      </c>
      <c r="C6" s="135">
        <v>3</v>
      </c>
      <c r="D6" s="135"/>
      <c r="E6" s="136">
        <f>D6-C6</f>
        <v>-3</v>
      </c>
      <c r="F6" s="135"/>
      <c r="G6" s="135"/>
      <c r="H6" s="136"/>
      <c r="I6" s="135"/>
      <c r="J6" s="135"/>
      <c r="K6" s="135"/>
      <c r="L6" s="135"/>
      <c r="M6" s="135"/>
      <c r="N6" s="135"/>
    </row>
    <row r="7" spans="1:14" ht="16.5" customHeight="1">
      <c r="A7" s="42">
        <v>2</v>
      </c>
      <c r="B7" s="42" t="s">
        <v>79</v>
      </c>
      <c r="C7" s="135">
        <v>18</v>
      </c>
      <c r="D7" s="135">
        <v>16</v>
      </c>
      <c r="E7" s="136">
        <f aca="true" t="shared" si="0" ref="E7:E16">D7-C7</f>
        <v>-2</v>
      </c>
      <c r="F7" s="135">
        <v>3</v>
      </c>
      <c r="G7" s="135">
        <v>10</v>
      </c>
      <c r="H7" s="136">
        <f aca="true" t="shared" si="1" ref="H7:H14">G7-F7</f>
        <v>7</v>
      </c>
      <c r="I7" s="135"/>
      <c r="J7" s="135"/>
      <c r="K7" s="135"/>
      <c r="L7" s="135"/>
      <c r="M7" s="135"/>
      <c r="N7" s="135"/>
    </row>
    <row r="8" spans="1:14" ht="16.5" customHeight="1">
      <c r="A8" s="42">
        <v>3</v>
      </c>
      <c r="B8" s="42" t="s">
        <v>80</v>
      </c>
      <c r="C8" s="135">
        <v>12</v>
      </c>
      <c r="D8" s="135">
        <v>13</v>
      </c>
      <c r="E8" s="136">
        <f t="shared" si="0"/>
        <v>1</v>
      </c>
      <c r="F8" s="135"/>
      <c r="G8" s="135"/>
      <c r="H8" s="136"/>
      <c r="I8" s="135"/>
      <c r="J8" s="135"/>
      <c r="K8" s="135"/>
      <c r="L8" s="135"/>
      <c r="M8" s="135"/>
      <c r="N8" s="135"/>
    </row>
    <row r="9" spans="1:14" ht="16.5" customHeight="1">
      <c r="A9" s="42">
        <v>4</v>
      </c>
      <c r="B9" s="42" t="s">
        <v>81</v>
      </c>
      <c r="C9" s="135">
        <v>3</v>
      </c>
      <c r="D9" s="135">
        <v>7</v>
      </c>
      <c r="E9" s="136">
        <f t="shared" si="0"/>
        <v>4</v>
      </c>
      <c r="F9" s="135"/>
      <c r="G9" s="135">
        <v>2</v>
      </c>
      <c r="H9" s="136">
        <f t="shared" si="1"/>
        <v>2</v>
      </c>
      <c r="I9" s="135"/>
      <c r="J9" s="135"/>
      <c r="K9" s="135"/>
      <c r="L9" s="135"/>
      <c r="M9" s="135"/>
      <c r="N9" s="135"/>
    </row>
    <row r="10" spans="1:14" ht="16.5" customHeight="1">
      <c r="A10" s="42">
        <v>5</v>
      </c>
      <c r="B10" s="32" t="s">
        <v>82</v>
      </c>
      <c r="C10" s="135">
        <v>80</v>
      </c>
      <c r="D10" s="135">
        <v>60</v>
      </c>
      <c r="E10" s="136">
        <f t="shared" si="0"/>
        <v>-20</v>
      </c>
      <c r="F10" s="135">
        <v>10</v>
      </c>
      <c r="G10" s="135"/>
      <c r="H10" s="136">
        <f t="shared" si="1"/>
        <v>-10</v>
      </c>
      <c r="I10" s="135">
        <v>14</v>
      </c>
      <c r="J10" s="135">
        <v>20</v>
      </c>
      <c r="K10" s="135">
        <f aca="true" t="shared" si="2" ref="K10:K18">J10-I10</f>
        <v>6</v>
      </c>
      <c r="L10" s="135"/>
      <c r="M10" s="135">
        <v>1</v>
      </c>
      <c r="N10" s="135">
        <f aca="true" t="shared" si="3" ref="N10:N18">M10-L10</f>
        <v>1</v>
      </c>
    </row>
    <row r="11" spans="1:14" ht="16.5" customHeight="1">
      <c r="A11" s="42">
        <v>6</v>
      </c>
      <c r="B11" s="42" t="s">
        <v>83</v>
      </c>
      <c r="C11" s="135">
        <v>16</v>
      </c>
      <c r="D11" s="135">
        <v>55</v>
      </c>
      <c r="E11" s="136">
        <f t="shared" si="0"/>
        <v>39</v>
      </c>
      <c r="F11" s="135"/>
      <c r="G11" s="135"/>
      <c r="H11" s="136"/>
      <c r="I11" s="135">
        <v>15</v>
      </c>
      <c r="J11" s="135">
        <v>20</v>
      </c>
      <c r="K11" s="135">
        <f t="shared" si="2"/>
        <v>5</v>
      </c>
      <c r="L11" s="135">
        <v>5</v>
      </c>
      <c r="M11" s="135">
        <v>1</v>
      </c>
      <c r="N11" s="135">
        <f t="shared" si="3"/>
        <v>-4</v>
      </c>
    </row>
    <row r="12" spans="1:14" ht="16.5" customHeight="1">
      <c r="A12" s="42">
        <v>7</v>
      </c>
      <c r="B12" s="43" t="s">
        <v>84</v>
      </c>
      <c r="C12" s="135">
        <v>9</v>
      </c>
      <c r="D12" s="135">
        <v>9</v>
      </c>
      <c r="E12" s="136">
        <f t="shared" si="0"/>
        <v>0</v>
      </c>
      <c r="F12" s="135"/>
      <c r="G12" s="135"/>
      <c r="H12" s="136"/>
      <c r="I12" s="135"/>
      <c r="J12" s="135"/>
      <c r="K12" s="135"/>
      <c r="L12" s="135"/>
      <c r="M12" s="135"/>
      <c r="N12" s="135"/>
    </row>
    <row r="13" spans="1:14" ht="16.5" customHeight="1">
      <c r="A13" s="42">
        <v>8</v>
      </c>
      <c r="B13" s="43" t="s">
        <v>85</v>
      </c>
      <c r="C13" s="135">
        <v>3</v>
      </c>
      <c r="D13" s="135">
        <v>3</v>
      </c>
      <c r="E13" s="136">
        <f t="shared" si="0"/>
        <v>0</v>
      </c>
      <c r="F13" s="135"/>
      <c r="G13" s="135"/>
      <c r="H13" s="136"/>
      <c r="I13" s="135"/>
      <c r="J13" s="135"/>
      <c r="K13" s="135"/>
      <c r="L13" s="135"/>
      <c r="M13" s="135"/>
      <c r="N13" s="135"/>
    </row>
    <row r="14" spans="1:14" ht="16.5" customHeight="1">
      <c r="A14" s="42">
        <v>9</v>
      </c>
      <c r="B14" s="43" t="s">
        <v>86</v>
      </c>
      <c r="C14" s="135">
        <v>9</v>
      </c>
      <c r="D14" s="135">
        <v>20</v>
      </c>
      <c r="E14" s="136">
        <f t="shared" si="0"/>
        <v>11</v>
      </c>
      <c r="F14" s="135"/>
      <c r="G14" s="135">
        <v>4</v>
      </c>
      <c r="H14" s="136">
        <f t="shared" si="1"/>
        <v>4</v>
      </c>
      <c r="I14" s="135"/>
      <c r="J14" s="135"/>
      <c r="K14" s="135"/>
      <c r="L14" s="135"/>
      <c r="M14" s="135"/>
      <c r="N14" s="135"/>
    </row>
    <row r="15" spans="1:14" ht="16.5" customHeight="1">
      <c r="A15" s="42">
        <v>10</v>
      </c>
      <c r="B15" s="43" t="s">
        <v>87</v>
      </c>
      <c r="C15" s="135"/>
      <c r="D15" s="135"/>
      <c r="E15" s="136"/>
      <c r="F15" s="135"/>
      <c r="G15" s="135"/>
      <c r="H15" s="136"/>
      <c r="I15" s="135"/>
      <c r="J15" s="135"/>
      <c r="K15" s="135"/>
      <c r="L15" s="135"/>
      <c r="M15" s="135"/>
      <c r="N15" s="135"/>
    </row>
    <row r="16" spans="1:14" ht="16.5" customHeight="1">
      <c r="A16" s="42">
        <v>11</v>
      </c>
      <c r="B16" s="43" t="s">
        <v>88</v>
      </c>
      <c r="C16" s="135"/>
      <c r="D16" s="135">
        <v>10</v>
      </c>
      <c r="E16" s="136">
        <f t="shared" si="0"/>
        <v>10</v>
      </c>
      <c r="F16" s="135"/>
      <c r="G16" s="135"/>
      <c r="H16" s="136"/>
      <c r="I16" s="135"/>
      <c r="J16" s="135"/>
      <c r="K16" s="135"/>
      <c r="L16" s="135"/>
      <c r="M16" s="135"/>
      <c r="N16" s="135"/>
    </row>
    <row r="17" spans="1:14" ht="16.5" customHeight="1">
      <c r="A17" s="42">
        <v>12</v>
      </c>
      <c r="B17" s="43" t="s">
        <v>89</v>
      </c>
      <c r="C17" s="136"/>
      <c r="D17" s="136"/>
      <c r="E17" s="136"/>
      <c r="F17" s="136"/>
      <c r="G17" s="136"/>
      <c r="H17" s="136"/>
      <c r="I17" s="135">
        <v>115</v>
      </c>
      <c r="J17" s="135">
        <v>200</v>
      </c>
      <c r="K17" s="135">
        <f t="shared" si="2"/>
        <v>85</v>
      </c>
      <c r="L17" s="135">
        <v>50</v>
      </c>
      <c r="M17" s="135">
        <v>128</v>
      </c>
      <c r="N17" s="135">
        <f t="shared" si="3"/>
        <v>78</v>
      </c>
    </row>
    <row r="18" spans="1:14" ht="21" customHeight="1">
      <c r="A18" s="42"/>
      <c r="B18" s="42" t="s">
        <v>13</v>
      </c>
      <c r="C18" s="135">
        <f>SUM(C6:C17)</f>
        <v>153</v>
      </c>
      <c r="D18" s="135">
        <f>SUM(D6:D17)</f>
        <v>193</v>
      </c>
      <c r="E18" s="135">
        <f>D18-C18</f>
        <v>40</v>
      </c>
      <c r="F18" s="135">
        <f>SUM(F6:F17)</f>
        <v>13</v>
      </c>
      <c r="G18" s="135">
        <f>SUM(G6:G17)</f>
        <v>16</v>
      </c>
      <c r="H18" s="135">
        <f>G18-F18</f>
        <v>3</v>
      </c>
      <c r="I18" s="135">
        <f>SUM(I6:I17)</f>
        <v>144</v>
      </c>
      <c r="J18" s="135">
        <f>SUM(J10:J17)</f>
        <v>240</v>
      </c>
      <c r="K18" s="135">
        <f t="shared" si="2"/>
        <v>96</v>
      </c>
      <c r="L18" s="135">
        <f>SUM(L10:L17)</f>
        <v>55</v>
      </c>
      <c r="M18" s="135">
        <f>SUM(M10:M17)</f>
        <v>130</v>
      </c>
      <c r="N18" s="135">
        <f t="shared" si="3"/>
        <v>75</v>
      </c>
    </row>
  </sheetData>
  <printOptions/>
  <pageMargins left="0.75" right="0.75" top="1" bottom="1" header="0.5" footer="0.5"/>
  <pageSetup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9"/>
  <sheetViews>
    <sheetView view="pageBreakPreview" zoomScale="60" zoomScaleNormal="75" workbookViewId="0" topLeftCell="A1">
      <selection activeCell="C13" sqref="C13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3" width="8.875" style="0" customWidth="1"/>
    <col min="4" max="4" width="10.25390625" style="0" customWidth="1"/>
    <col min="5" max="6" width="11.625" style="0" customWidth="1"/>
    <col min="7" max="7" width="11.375" style="0" customWidth="1"/>
    <col min="8" max="8" width="11.875" style="0" customWidth="1"/>
    <col min="9" max="9" width="12.25390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30"/>
      <c r="B2" s="30"/>
      <c r="C2" s="30"/>
      <c r="D2" s="1" t="s">
        <v>101</v>
      </c>
      <c r="E2" s="1"/>
      <c r="F2" s="1"/>
      <c r="G2" s="1"/>
      <c r="H2" s="1"/>
      <c r="I2" s="1"/>
      <c r="J2" s="1"/>
      <c r="K2" s="1"/>
      <c r="L2" s="30"/>
      <c r="M2" s="30"/>
      <c r="N2" s="30"/>
    </row>
    <row r="3" spans="1:14" ht="15">
      <c r="A3" s="195" t="s">
        <v>76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ht="15">
      <c r="A4" s="33" t="s">
        <v>2</v>
      </c>
      <c r="B4" s="36" t="s">
        <v>3</v>
      </c>
      <c r="C4" s="34" t="s">
        <v>37</v>
      </c>
      <c r="D4" s="35"/>
      <c r="E4" s="38"/>
      <c r="F4" s="196" t="s">
        <v>90</v>
      </c>
      <c r="G4" s="197"/>
      <c r="H4" s="72" t="s">
        <v>39</v>
      </c>
      <c r="I4" s="36"/>
      <c r="J4" s="33" t="s">
        <v>38</v>
      </c>
      <c r="K4" s="73" t="s">
        <v>42</v>
      </c>
      <c r="L4" s="74"/>
      <c r="M4" s="73" t="s">
        <v>73</v>
      </c>
      <c r="N4" s="77"/>
    </row>
    <row r="5" spans="1:14" ht="15">
      <c r="A5" s="44"/>
      <c r="B5" s="46"/>
      <c r="C5" s="28">
        <v>2009</v>
      </c>
      <c r="D5" s="29">
        <v>2010</v>
      </c>
      <c r="E5" s="31" t="s">
        <v>38</v>
      </c>
      <c r="F5" s="198"/>
      <c r="G5" s="199"/>
      <c r="H5" s="41" t="s">
        <v>40</v>
      </c>
      <c r="I5" s="47"/>
      <c r="J5" s="57" t="s">
        <v>108</v>
      </c>
      <c r="K5" s="75" t="s">
        <v>43</v>
      </c>
      <c r="L5" s="47"/>
      <c r="M5" s="15" t="s">
        <v>72</v>
      </c>
      <c r="N5" s="16"/>
    </row>
    <row r="6" spans="1:14" ht="15">
      <c r="A6" s="40"/>
      <c r="B6" s="47"/>
      <c r="C6" s="52"/>
      <c r="D6" s="40"/>
      <c r="E6" s="57" t="s">
        <v>108</v>
      </c>
      <c r="F6" s="28">
        <v>2009</v>
      </c>
      <c r="G6" s="29">
        <v>2010</v>
      </c>
      <c r="H6" s="28">
        <v>2009</v>
      </c>
      <c r="I6" s="29">
        <v>2010</v>
      </c>
      <c r="J6" s="40"/>
      <c r="K6" s="32" t="s">
        <v>1</v>
      </c>
      <c r="L6" s="34" t="s">
        <v>41</v>
      </c>
      <c r="M6" s="50" t="s">
        <v>57</v>
      </c>
      <c r="N6" s="76" t="s">
        <v>58</v>
      </c>
    </row>
    <row r="7" spans="1:14" ht="16.5" customHeight="1">
      <c r="A7" s="42">
        <v>1</v>
      </c>
      <c r="B7" s="42" t="s">
        <v>78</v>
      </c>
      <c r="C7" s="20"/>
      <c r="D7" s="9"/>
      <c r="E7" s="9"/>
      <c r="F7" s="9"/>
      <c r="G7" s="9"/>
      <c r="H7" s="9"/>
      <c r="I7" s="9"/>
      <c r="J7" s="9"/>
      <c r="K7" s="9"/>
      <c r="L7" s="9"/>
      <c r="M7" s="20"/>
      <c r="N7" s="9"/>
    </row>
    <row r="8" spans="1:14" ht="16.5" customHeight="1">
      <c r="A8" s="42">
        <v>2</v>
      </c>
      <c r="B8" s="42" t="s">
        <v>79</v>
      </c>
      <c r="C8" s="9"/>
      <c r="D8" s="9"/>
      <c r="E8" s="9"/>
      <c r="F8" s="9"/>
      <c r="G8" s="9"/>
      <c r="H8" s="9"/>
      <c r="I8" s="48"/>
      <c r="J8" s="48"/>
      <c r="K8" s="48"/>
      <c r="L8" s="48"/>
      <c r="M8" s="19"/>
      <c r="N8" s="19"/>
    </row>
    <row r="9" spans="1:14" ht="16.5" customHeight="1">
      <c r="A9" s="42">
        <v>3</v>
      </c>
      <c r="B9" s="42" t="s">
        <v>80</v>
      </c>
      <c r="C9" s="9"/>
      <c r="D9" s="9"/>
      <c r="E9" s="9"/>
      <c r="F9" s="9"/>
      <c r="G9" s="9"/>
      <c r="H9" s="9"/>
      <c r="I9" s="9"/>
      <c r="J9" s="9"/>
      <c r="K9" s="48"/>
      <c r="L9" s="48"/>
      <c r="M9" s="19"/>
      <c r="N9" s="19"/>
    </row>
    <row r="10" spans="1:14" ht="16.5" customHeight="1">
      <c r="A10" s="42">
        <v>4</v>
      </c>
      <c r="B10" s="42" t="s">
        <v>81</v>
      </c>
      <c r="C10" s="9"/>
      <c r="D10" s="9"/>
      <c r="E10" s="9"/>
      <c r="F10" s="9"/>
      <c r="G10" s="9"/>
      <c r="H10" s="9"/>
      <c r="I10" s="9"/>
      <c r="J10" s="9"/>
      <c r="K10" s="48"/>
      <c r="L10" s="48"/>
      <c r="M10" s="19"/>
      <c r="N10" s="19"/>
    </row>
    <row r="11" spans="1:14" ht="16.5" customHeight="1">
      <c r="A11" s="42">
        <v>5</v>
      </c>
      <c r="B11" s="32" t="s">
        <v>82</v>
      </c>
      <c r="C11" s="21"/>
      <c r="D11" s="21"/>
      <c r="E11" s="21"/>
      <c r="F11" s="21"/>
      <c r="G11" s="21"/>
      <c r="H11" s="21"/>
      <c r="I11" s="153"/>
      <c r="J11" s="21"/>
      <c r="K11" s="21"/>
      <c r="L11" s="21"/>
      <c r="M11" s="101"/>
      <c r="N11" s="101"/>
    </row>
    <row r="12" spans="1:15" ht="16.5" customHeight="1">
      <c r="A12" s="42">
        <v>6</v>
      </c>
      <c r="B12" s="42" t="s">
        <v>83</v>
      </c>
      <c r="C12" s="99">
        <v>57</v>
      </c>
      <c r="D12" s="99">
        <v>52</v>
      </c>
      <c r="E12" s="99">
        <f>D12-C12</f>
        <v>-5</v>
      </c>
      <c r="F12" s="99">
        <v>38</v>
      </c>
      <c r="G12" s="99">
        <v>52</v>
      </c>
      <c r="H12" s="139">
        <v>47.5</v>
      </c>
      <c r="I12" s="153">
        <f>G12*100/80</f>
        <v>65</v>
      </c>
      <c r="J12" s="127">
        <f>I12-H12</f>
        <v>17.5</v>
      </c>
      <c r="K12" s="100">
        <v>6</v>
      </c>
      <c r="L12" s="100">
        <v>6</v>
      </c>
      <c r="M12" s="138">
        <f>G12/L12</f>
        <v>8.666666666666666</v>
      </c>
      <c r="N12" s="138"/>
      <c r="O12" s="24"/>
    </row>
    <row r="13" spans="1:14" ht="16.5" customHeight="1">
      <c r="A13" s="42">
        <v>7</v>
      </c>
      <c r="B13" s="43" t="s">
        <v>84</v>
      </c>
      <c r="C13" s="99"/>
      <c r="D13" s="99"/>
      <c r="E13" s="99"/>
      <c r="F13" s="99"/>
      <c r="G13" s="99"/>
      <c r="H13" s="127"/>
      <c r="I13" s="153"/>
      <c r="J13" s="139"/>
      <c r="K13" s="100"/>
      <c r="L13" s="100"/>
      <c r="M13" s="138"/>
      <c r="N13" s="138"/>
    </row>
    <row r="14" spans="1:14" ht="16.5" customHeight="1">
      <c r="A14" s="42">
        <v>8</v>
      </c>
      <c r="B14" s="43" t="s">
        <v>85</v>
      </c>
      <c r="C14" s="99"/>
      <c r="D14" s="99"/>
      <c r="E14" s="99"/>
      <c r="F14" s="99"/>
      <c r="G14" s="99"/>
      <c r="H14" s="127"/>
      <c r="I14" s="153"/>
      <c r="J14" s="127"/>
      <c r="K14" s="100"/>
      <c r="L14" s="100"/>
      <c r="M14" s="138"/>
      <c r="N14" s="138"/>
    </row>
    <row r="15" spans="1:14" ht="16.5" customHeight="1">
      <c r="A15" s="42">
        <v>9</v>
      </c>
      <c r="B15" s="43" t="s">
        <v>86</v>
      </c>
      <c r="C15" s="99"/>
      <c r="D15" s="99"/>
      <c r="E15" s="99"/>
      <c r="F15" s="99"/>
      <c r="G15" s="99"/>
      <c r="H15" s="127"/>
      <c r="I15" s="153"/>
      <c r="J15" s="127"/>
      <c r="K15" s="100"/>
      <c r="L15" s="100"/>
      <c r="M15" s="138"/>
      <c r="N15" s="138"/>
    </row>
    <row r="16" spans="1:14" ht="16.5" customHeight="1">
      <c r="A16" s="42">
        <v>10</v>
      </c>
      <c r="B16" s="43" t="s">
        <v>87</v>
      </c>
      <c r="C16" s="99"/>
      <c r="D16" s="99"/>
      <c r="E16" s="99"/>
      <c r="F16" s="99"/>
      <c r="G16" s="99"/>
      <c r="H16" s="127"/>
      <c r="I16" s="153"/>
      <c r="J16" s="139"/>
      <c r="K16" s="139"/>
      <c r="L16" s="139"/>
      <c r="M16" s="138"/>
      <c r="N16" s="138"/>
    </row>
    <row r="17" spans="1:14" ht="16.5" customHeight="1">
      <c r="A17" s="42">
        <v>11</v>
      </c>
      <c r="B17" s="43" t="s">
        <v>88</v>
      </c>
      <c r="C17" s="99"/>
      <c r="D17" s="99"/>
      <c r="E17" s="99"/>
      <c r="F17" s="99"/>
      <c r="G17" s="99"/>
      <c r="H17" s="127"/>
      <c r="I17" s="153"/>
      <c r="J17" s="139"/>
      <c r="K17" s="100"/>
      <c r="L17" s="100"/>
      <c r="M17" s="138"/>
      <c r="N17" s="138"/>
    </row>
    <row r="18" spans="1:14" ht="16.5" customHeight="1">
      <c r="A18" s="42">
        <v>12</v>
      </c>
      <c r="B18" s="43" t="s">
        <v>89</v>
      </c>
      <c r="C18" s="99">
        <v>487</v>
      </c>
      <c r="D18" s="99">
        <v>510</v>
      </c>
      <c r="E18" s="99">
        <f>D18-C18</f>
        <v>23</v>
      </c>
      <c r="F18" s="99">
        <v>400</v>
      </c>
      <c r="G18" s="99">
        <v>400</v>
      </c>
      <c r="H18" s="139">
        <v>181.8181818181818</v>
      </c>
      <c r="I18" s="153">
        <f>G18*100/200</f>
        <v>200</v>
      </c>
      <c r="J18" s="139">
        <f>I18-H19</f>
        <v>68.46846846846847</v>
      </c>
      <c r="K18" s="100">
        <v>63</v>
      </c>
      <c r="L18" s="100">
        <v>45</v>
      </c>
      <c r="M18" s="138">
        <f>G18/L18</f>
        <v>8.88888888888889</v>
      </c>
      <c r="N18" s="138">
        <f>(D18-G18)/(K18-L18)</f>
        <v>6.111111111111111</v>
      </c>
    </row>
    <row r="19" spans="1:14" ht="15" customHeight="1">
      <c r="A19" s="30"/>
      <c r="B19" s="42" t="s">
        <v>13</v>
      </c>
      <c r="C19" s="99">
        <f>SUM(C7:C18)</f>
        <v>544</v>
      </c>
      <c r="D19" s="99">
        <f>SUM(D8:D18)</f>
        <v>562</v>
      </c>
      <c r="E19" s="99">
        <f>D19-C19</f>
        <v>18</v>
      </c>
      <c r="F19" s="99">
        <f>SUM(F11:F18)</f>
        <v>438</v>
      </c>
      <c r="G19" s="99">
        <f>SUM(G11:G18)</f>
        <v>452</v>
      </c>
      <c r="H19" s="139">
        <v>131.53153153153153</v>
      </c>
      <c r="I19" s="153">
        <f>G19*100/307</f>
        <v>147.23127035830618</v>
      </c>
      <c r="J19" s="139" t="e">
        <f>I19-#REF!</f>
        <v>#REF!</v>
      </c>
      <c r="K19" s="127">
        <f>SUM(K8:K18)</f>
        <v>69</v>
      </c>
      <c r="L19" s="127">
        <f>SUM(L8:L18)</f>
        <v>51</v>
      </c>
      <c r="M19" s="138">
        <f>G19/L19</f>
        <v>8.862745098039216</v>
      </c>
      <c r="N19" s="138">
        <f>(D19-G19)/(K19-L19)</f>
        <v>6.111111111111111</v>
      </c>
    </row>
  </sheetData>
  <mergeCells count="2">
    <mergeCell ref="A3:N3"/>
    <mergeCell ref="F4:G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workbookViewId="0" topLeftCell="A1">
      <selection activeCell="M25" sqref="M25"/>
    </sheetView>
  </sheetViews>
  <sheetFormatPr defaultColWidth="9.00390625" defaultRowHeight="12.75"/>
  <cols>
    <col min="1" max="1" width="4.25390625" style="0" customWidth="1"/>
    <col min="2" max="2" width="31.7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200" t="s">
        <v>102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15">
      <c r="A2" s="195" t="s">
        <v>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>
      <c r="A4" s="45" t="s">
        <v>2</v>
      </c>
      <c r="B4" s="31" t="s">
        <v>3</v>
      </c>
      <c r="C4" s="34" t="s">
        <v>29</v>
      </c>
      <c r="D4" s="35"/>
      <c r="E4" s="38"/>
      <c r="F4" s="11" t="s">
        <v>30</v>
      </c>
      <c r="G4" s="13"/>
      <c r="H4" s="33" t="s">
        <v>32</v>
      </c>
      <c r="I4" s="45" t="s">
        <v>33</v>
      </c>
      <c r="J4" s="31"/>
      <c r="K4" s="33" t="s">
        <v>32</v>
      </c>
      <c r="L4" s="72" t="s">
        <v>35</v>
      </c>
      <c r="M4" s="31"/>
      <c r="N4" s="33" t="s">
        <v>32</v>
      </c>
    </row>
    <row r="5" spans="1:14" ht="15">
      <c r="A5" s="51"/>
      <c r="B5" s="37"/>
      <c r="C5" s="28">
        <v>2009</v>
      </c>
      <c r="D5" s="29">
        <v>2010</v>
      </c>
      <c r="E5" s="29" t="s">
        <v>97</v>
      </c>
      <c r="F5" s="28">
        <v>2009</v>
      </c>
      <c r="G5" s="29">
        <v>2010</v>
      </c>
      <c r="H5" s="56" t="s">
        <v>31</v>
      </c>
      <c r="I5" s="41" t="s">
        <v>34</v>
      </c>
      <c r="J5" s="39"/>
      <c r="K5" s="56" t="s">
        <v>31</v>
      </c>
      <c r="L5" s="78" t="s">
        <v>36</v>
      </c>
      <c r="M5" s="39"/>
      <c r="N5" s="56" t="s">
        <v>31</v>
      </c>
    </row>
    <row r="6" spans="1:14" ht="15">
      <c r="A6" s="41"/>
      <c r="B6" s="39"/>
      <c r="C6" s="52"/>
      <c r="D6" s="20"/>
      <c r="E6" s="20" t="s">
        <v>98</v>
      </c>
      <c r="F6" s="40"/>
      <c r="G6" s="39"/>
      <c r="H6" s="40" t="s">
        <v>111</v>
      </c>
      <c r="I6" s="28">
        <v>2009</v>
      </c>
      <c r="J6" s="29">
        <v>2010</v>
      </c>
      <c r="K6" s="20" t="s">
        <v>111</v>
      </c>
      <c r="L6" s="28">
        <v>2009</v>
      </c>
      <c r="M6" s="29">
        <v>2010</v>
      </c>
      <c r="N6" s="20" t="s">
        <v>111</v>
      </c>
    </row>
    <row r="7" spans="1:14" ht="16.5" customHeight="1">
      <c r="A7" s="42">
        <v>1</v>
      </c>
      <c r="B7" s="42" t="s">
        <v>78</v>
      </c>
      <c r="C7" s="133">
        <v>1</v>
      </c>
      <c r="D7" s="133"/>
      <c r="E7" s="133"/>
      <c r="F7" s="133">
        <v>1</v>
      </c>
      <c r="G7" s="133"/>
      <c r="H7" s="133">
        <f aca="true" t="shared" si="0" ref="H7:H13">G7-F7</f>
        <v>-1</v>
      </c>
      <c r="I7" s="133">
        <v>5</v>
      </c>
      <c r="J7" s="133"/>
      <c r="K7" s="133">
        <f aca="true" t="shared" si="1" ref="K7:K13">J7-I7</f>
        <v>-5</v>
      </c>
      <c r="L7" s="133"/>
      <c r="M7" s="133"/>
      <c r="N7" s="133"/>
    </row>
    <row r="8" spans="1:14" ht="16.5" customHeight="1">
      <c r="A8" s="42">
        <v>2</v>
      </c>
      <c r="B8" s="42" t="s">
        <v>79</v>
      </c>
      <c r="C8" s="133">
        <v>20</v>
      </c>
      <c r="D8" s="133">
        <v>10</v>
      </c>
      <c r="E8" s="133">
        <f aca="true" t="shared" si="2" ref="E8:E17">D8*100/C8</f>
        <v>50</v>
      </c>
      <c r="F8" s="133">
        <v>20</v>
      </c>
      <c r="G8" s="133">
        <v>10</v>
      </c>
      <c r="H8" s="133">
        <f t="shared" si="0"/>
        <v>-10</v>
      </c>
      <c r="I8" s="133">
        <v>10</v>
      </c>
      <c r="J8" s="133">
        <f>G8*100/180</f>
        <v>5.555555555555555</v>
      </c>
      <c r="K8" s="133">
        <f t="shared" si="1"/>
        <v>-4.444444444444445</v>
      </c>
      <c r="L8" s="133"/>
      <c r="M8" s="133"/>
      <c r="N8" s="133"/>
    </row>
    <row r="9" spans="1:14" ht="16.5" customHeight="1">
      <c r="A9" s="42">
        <v>3</v>
      </c>
      <c r="B9" s="42" t="s">
        <v>80</v>
      </c>
      <c r="C9" s="133">
        <v>12</v>
      </c>
      <c r="D9" s="133">
        <v>6</v>
      </c>
      <c r="E9" s="133">
        <f t="shared" si="2"/>
        <v>50</v>
      </c>
      <c r="F9" s="133">
        <v>9</v>
      </c>
      <c r="G9" s="133">
        <v>6</v>
      </c>
      <c r="H9" s="133">
        <f t="shared" si="0"/>
        <v>-3</v>
      </c>
      <c r="I9" s="133">
        <v>8.571428571428571</v>
      </c>
      <c r="J9" s="133">
        <f>G9*100/105</f>
        <v>5.714285714285714</v>
      </c>
      <c r="K9" s="133">
        <f>J9-I9</f>
        <v>-2.8571428571428568</v>
      </c>
      <c r="L9" s="133">
        <v>2.857142857142857</v>
      </c>
      <c r="M9" s="133"/>
      <c r="N9" s="133">
        <f>M9-L9</f>
        <v>-2.857142857142857</v>
      </c>
    </row>
    <row r="10" spans="1:14" ht="16.5" customHeight="1">
      <c r="A10" s="42">
        <v>4</v>
      </c>
      <c r="B10" s="42" t="s">
        <v>81</v>
      </c>
      <c r="C10" s="133">
        <v>9</v>
      </c>
      <c r="D10" s="133">
        <v>9</v>
      </c>
      <c r="E10" s="133">
        <f t="shared" si="2"/>
        <v>100</v>
      </c>
      <c r="F10" s="133">
        <v>9</v>
      </c>
      <c r="G10" s="133">
        <v>9</v>
      </c>
      <c r="H10" s="133">
        <f t="shared" si="0"/>
        <v>0</v>
      </c>
      <c r="I10" s="133">
        <v>16.666666666666668</v>
      </c>
      <c r="J10" s="133">
        <f>G10*100/54</f>
        <v>16.666666666666668</v>
      </c>
      <c r="K10" s="133">
        <f>J10-I10</f>
        <v>0</v>
      </c>
      <c r="L10" s="133"/>
      <c r="M10" s="133"/>
      <c r="N10" s="133"/>
    </row>
    <row r="11" spans="1:14" ht="16.5" customHeight="1">
      <c r="A11" s="42">
        <v>5</v>
      </c>
      <c r="B11" s="32" t="s">
        <v>82</v>
      </c>
      <c r="C11" s="133">
        <v>15</v>
      </c>
      <c r="D11" s="133">
        <v>8</v>
      </c>
      <c r="E11" s="133">
        <f t="shared" si="2"/>
        <v>53.333333333333336</v>
      </c>
      <c r="F11" s="133">
        <v>15</v>
      </c>
      <c r="G11" s="133">
        <v>8</v>
      </c>
      <c r="H11" s="133">
        <f t="shared" si="0"/>
        <v>-7</v>
      </c>
      <c r="I11" s="133">
        <v>4.87012987012987</v>
      </c>
      <c r="J11" s="133">
        <f>G11*100/304</f>
        <v>2.6315789473684212</v>
      </c>
      <c r="K11" s="133">
        <f t="shared" si="1"/>
        <v>-2.2385509227614486</v>
      </c>
      <c r="L11" s="133"/>
      <c r="M11" s="133"/>
      <c r="N11" s="133"/>
    </row>
    <row r="12" spans="1:14" ht="16.5" customHeight="1">
      <c r="A12" s="42">
        <v>6</v>
      </c>
      <c r="B12" s="42" t="s">
        <v>83</v>
      </c>
      <c r="C12" s="133">
        <v>32</v>
      </c>
      <c r="D12" s="133">
        <v>29</v>
      </c>
      <c r="E12" s="133">
        <f t="shared" si="2"/>
        <v>90.625</v>
      </c>
      <c r="F12" s="133">
        <v>24</v>
      </c>
      <c r="G12" s="133">
        <v>23</v>
      </c>
      <c r="H12" s="133">
        <f t="shared" si="0"/>
        <v>-1</v>
      </c>
      <c r="I12" s="133">
        <v>8.571428571428571</v>
      </c>
      <c r="J12" s="133">
        <f>G12*100/250</f>
        <v>9.2</v>
      </c>
      <c r="K12" s="133">
        <f t="shared" si="1"/>
        <v>0.6285714285714281</v>
      </c>
      <c r="L12" s="133">
        <v>2.857142857142857</v>
      </c>
      <c r="M12" s="133">
        <f>(D12-G12)*100/250</f>
        <v>2.4</v>
      </c>
      <c r="N12" s="133">
        <v>-1</v>
      </c>
    </row>
    <row r="13" spans="1:14" ht="16.5" customHeight="1">
      <c r="A13" s="42">
        <v>7</v>
      </c>
      <c r="B13" s="43" t="s">
        <v>84</v>
      </c>
      <c r="C13" s="134">
        <v>13</v>
      </c>
      <c r="D13" s="134">
        <v>16</v>
      </c>
      <c r="E13" s="133">
        <f t="shared" si="2"/>
        <v>123.07692307692308</v>
      </c>
      <c r="F13" s="134">
        <v>13</v>
      </c>
      <c r="G13" s="134">
        <v>16</v>
      </c>
      <c r="H13" s="133">
        <f t="shared" si="0"/>
        <v>3</v>
      </c>
      <c r="I13" s="134">
        <v>15.294117647058824</v>
      </c>
      <c r="J13" s="134">
        <f>G13*100/85</f>
        <v>18.823529411764707</v>
      </c>
      <c r="K13" s="133">
        <f t="shared" si="1"/>
        <v>3.5294117647058822</v>
      </c>
      <c r="L13" s="133"/>
      <c r="M13" s="133"/>
      <c r="N13" s="134"/>
    </row>
    <row r="14" spans="1:14" ht="16.5" customHeight="1">
      <c r="A14" s="42">
        <v>8</v>
      </c>
      <c r="B14" s="43" t="s">
        <v>85</v>
      </c>
      <c r="C14" s="134">
        <v>2</v>
      </c>
      <c r="D14" s="134">
        <v>3</v>
      </c>
      <c r="E14" s="133">
        <f t="shared" si="2"/>
        <v>150</v>
      </c>
      <c r="F14" s="134">
        <v>2</v>
      </c>
      <c r="G14" s="134">
        <v>3</v>
      </c>
      <c r="H14" s="134">
        <f>G14-F13</f>
        <v>-10</v>
      </c>
      <c r="I14" s="134">
        <v>2.898550724637681</v>
      </c>
      <c r="J14" s="134">
        <f>G14*100/52</f>
        <v>5.769230769230769</v>
      </c>
      <c r="K14" s="134">
        <f>J14-I13</f>
        <v>-9.524886877828056</v>
      </c>
      <c r="L14" s="133"/>
      <c r="M14" s="133"/>
      <c r="N14" s="134"/>
    </row>
    <row r="15" spans="1:14" ht="16.5" customHeight="1">
      <c r="A15" s="42">
        <v>9</v>
      </c>
      <c r="B15" s="43" t="s">
        <v>86</v>
      </c>
      <c r="C15" s="134">
        <v>12</v>
      </c>
      <c r="D15" s="134">
        <v>20</v>
      </c>
      <c r="E15" s="133">
        <f t="shared" si="2"/>
        <v>166.66666666666666</v>
      </c>
      <c r="F15" s="134">
        <v>12</v>
      </c>
      <c r="G15" s="134">
        <v>20</v>
      </c>
      <c r="H15" s="134">
        <f>G15-F14</f>
        <v>18</v>
      </c>
      <c r="I15" s="134">
        <v>25</v>
      </c>
      <c r="J15" s="134">
        <f>G15*100/60</f>
        <v>33.333333333333336</v>
      </c>
      <c r="K15" s="134">
        <f>J15-I14</f>
        <v>30.434782608695656</v>
      </c>
      <c r="L15" s="133"/>
      <c r="M15" s="133"/>
      <c r="N15" s="134"/>
    </row>
    <row r="16" spans="1:14" ht="16.5" customHeight="1">
      <c r="A16" s="42">
        <v>10</v>
      </c>
      <c r="B16" s="43" t="s">
        <v>87</v>
      </c>
      <c r="C16" s="134">
        <v>10</v>
      </c>
      <c r="D16" s="134">
        <v>3</v>
      </c>
      <c r="E16" s="133">
        <f t="shared" si="2"/>
        <v>30</v>
      </c>
      <c r="F16" s="134">
        <v>7</v>
      </c>
      <c r="G16" s="134">
        <v>3</v>
      </c>
      <c r="H16" s="134">
        <f>G16-F15</f>
        <v>-9</v>
      </c>
      <c r="I16" s="134">
        <v>7</v>
      </c>
      <c r="J16" s="134">
        <f>G16*100/100</f>
        <v>3</v>
      </c>
      <c r="K16" s="134">
        <f>J16-I15</f>
        <v>-22</v>
      </c>
      <c r="L16" s="133">
        <v>3</v>
      </c>
      <c r="M16" s="133"/>
      <c r="N16" s="134">
        <f>M16-L16</f>
        <v>-3</v>
      </c>
    </row>
    <row r="17" spans="1:14" ht="16.5" customHeight="1">
      <c r="A17" s="42">
        <v>11</v>
      </c>
      <c r="B17" s="43" t="s">
        <v>88</v>
      </c>
      <c r="C17" s="134">
        <v>13</v>
      </c>
      <c r="D17" s="134">
        <v>16</v>
      </c>
      <c r="E17" s="133">
        <f t="shared" si="2"/>
        <v>123.07692307692308</v>
      </c>
      <c r="F17" s="134">
        <v>13</v>
      </c>
      <c r="G17" s="134">
        <v>16</v>
      </c>
      <c r="H17" s="134">
        <f>G17-F17</f>
        <v>3</v>
      </c>
      <c r="I17" s="134">
        <v>30.952380952380953</v>
      </c>
      <c r="J17" s="134">
        <f>G17*100/42</f>
        <v>38.095238095238095</v>
      </c>
      <c r="K17" s="134">
        <f>J17-I16</f>
        <v>31.095238095238095</v>
      </c>
      <c r="L17" s="133"/>
      <c r="M17" s="133"/>
      <c r="N17" s="134"/>
    </row>
    <row r="18" spans="1:14" ht="16.5" customHeight="1">
      <c r="A18" s="42">
        <v>12</v>
      </c>
      <c r="B18" s="43" t="s">
        <v>89</v>
      </c>
      <c r="C18" s="134"/>
      <c r="D18" s="134"/>
      <c r="E18" s="133"/>
      <c r="F18" s="134"/>
      <c r="G18" s="134"/>
      <c r="H18" s="134"/>
      <c r="I18" s="134"/>
      <c r="J18" s="134"/>
      <c r="K18" s="134"/>
      <c r="L18" s="133"/>
      <c r="M18" s="133"/>
      <c r="N18" s="134"/>
    </row>
    <row r="19" spans="1:14" ht="16.5" customHeight="1">
      <c r="A19" s="42"/>
      <c r="B19" s="42" t="s">
        <v>13</v>
      </c>
      <c r="C19" s="133">
        <f>SUM(C7:C18)</f>
        <v>139</v>
      </c>
      <c r="D19" s="42">
        <f>SUM(D7:D18)</f>
        <v>120</v>
      </c>
      <c r="E19" s="133">
        <f>D19*100/C19</f>
        <v>86.33093525179856</v>
      </c>
      <c r="F19" s="42">
        <f>SUM(F7:F18)</f>
        <v>125</v>
      </c>
      <c r="G19" s="42">
        <f>SUM(G7:G18)</f>
        <v>114</v>
      </c>
      <c r="H19" s="42">
        <f>G19-F19</f>
        <v>-11</v>
      </c>
      <c r="I19" s="133">
        <v>9.534706331045005</v>
      </c>
      <c r="J19" s="133">
        <f>G19*100/1232</f>
        <v>9.253246753246753</v>
      </c>
      <c r="K19" s="133">
        <f>J19-I19</f>
        <v>-0.2814595777982518</v>
      </c>
      <c r="L19" s="133">
        <v>1.0678871090770403</v>
      </c>
      <c r="M19" s="133">
        <f>(D19-G19)*100/1232</f>
        <v>0.487012987012987</v>
      </c>
      <c r="N19" s="133">
        <f>M19-L19</f>
        <v>-0.5808741220640533</v>
      </c>
    </row>
  </sheetData>
  <mergeCells count="2">
    <mergeCell ref="A2:N2"/>
    <mergeCell ref="A1:N1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workbookViewId="0" topLeftCell="A1">
      <selection activeCell="A18" sqref="A18:IV19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12.125" style="0" customWidth="1"/>
    <col min="4" max="4" width="14.625" style="0" customWidth="1"/>
    <col min="5" max="5" width="13.00390625" style="0" customWidth="1"/>
    <col min="6" max="6" width="13.25390625" style="0" customWidth="1"/>
  </cols>
  <sheetData>
    <row r="1" spans="1:9" ht="15.75" customHeight="1">
      <c r="A1" s="201" t="s">
        <v>14</v>
      </c>
      <c r="B1" s="201"/>
      <c r="C1" s="201"/>
      <c r="D1" s="201"/>
      <c r="E1" s="201"/>
      <c r="F1" s="201"/>
      <c r="G1" s="2"/>
      <c r="H1" s="2"/>
      <c r="I1" s="2"/>
    </row>
    <row r="2" spans="1:9" ht="15.75">
      <c r="A2" s="202" t="s">
        <v>103</v>
      </c>
      <c r="B2" s="202"/>
      <c r="C2" s="202"/>
      <c r="D2" s="202"/>
      <c r="E2" s="202"/>
      <c r="F2" s="202"/>
      <c r="G2" s="2"/>
      <c r="H2" s="2"/>
      <c r="I2" s="2"/>
    </row>
    <row r="3" spans="1:9" ht="15">
      <c r="A3" s="5" t="s">
        <v>2</v>
      </c>
      <c r="B3" s="10" t="s">
        <v>3</v>
      </c>
      <c r="C3" s="11" t="s">
        <v>55</v>
      </c>
      <c r="D3" s="12"/>
      <c r="E3" s="11" t="s">
        <v>56</v>
      </c>
      <c r="F3" s="13"/>
      <c r="G3" s="2"/>
      <c r="H3" s="2"/>
      <c r="I3" s="2"/>
    </row>
    <row r="4" spans="1:9" ht="15">
      <c r="A4" s="6"/>
      <c r="B4" s="14"/>
      <c r="C4" s="28">
        <v>2009</v>
      </c>
      <c r="D4" s="29">
        <v>2010</v>
      </c>
      <c r="E4" s="28">
        <v>2009</v>
      </c>
      <c r="F4" s="29">
        <v>2010</v>
      </c>
      <c r="G4" s="2"/>
      <c r="H4" s="2"/>
      <c r="I4" s="2"/>
    </row>
    <row r="5" spans="1:9" ht="15">
      <c r="A5" s="4">
        <v>1</v>
      </c>
      <c r="B5" s="3" t="s">
        <v>78</v>
      </c>
      <c r="C5" s="48">
        <f>(молоко!C6*1000)/1577</f>
        <v>0.9955611921369689</v>
      </c>
      <c r="D5" s="48"/>
      <c r="E5" s="48">
        <f>(мясо!C7*1000)/1577</f>
        <v>0.05707038681039949</v>
      </c>
      <c r="F5" s="48"/>
      <c r="H5" s="2"/>
      <c r="I5" s="2"/>
    </row>
    <row r="6" spans="1:9" ht="15">
      <c r="A6" s="4">
        <v>2</v>
      </c>
      <c r="B6" s="3" t="s">
        <v>79</v>
      </c>
      <c r="C6" s="48">
        <f>(молоко!C7*1000)/1875</f>
        <v>17.386666666666667</v>
      </c>
      <c r="D6" s="48">
        <f>(молоко!D7*1000)/1875</f>
        <v>14.826666666666666</v>
      </c>
      <c r="E6" s="48">
        <f>(мясо!C8*1000)/1875</f>
        <v>4.426666666666667</v>
      </c>
      <c r="F6" s="48">
        <f>(мясо!D8*1000)/1875</f>
        <v>1.12</v>
      </c>
      <c r="H6" s="2"/>
      <c r="I6" s="2"/>
    </row>
    <row r="7" spans="1:9" ht="15">
      <c r="A7" s="4">
        <v>3</v>
      </c>
      <c r="B7" s="3" t="s">
        <v>80</v>
      </c>
      <c r="C7" s="48">
        <f>(молоко!C8*1000)/799</f>
        <v>19.524405506883603</v>
      </c>
      <c r="D7" s="48">
        <f>(молоко!D8*1000)/799</f>
        <v>24.780976220275345</v>
      </c>
      <c r="E7" s="48">
        <f>(мясо!C9*1000)/799</f>
        <v>3.7546933667083855</v>
      </c>
      <c r="F7" s="48">
        <f>(мясо!D9*1000)/799</f>
        <v>0.7509386733416771</v>
      </c>
      <c r="H7" s="2"/>
      <c r="I7" s="2"/>
    </row>
    <row r="8" spans="1:9" ht="15">
      <c r="A8" s="4">
        <v>4</v>
      </c>
      <c r="B8" s="3" t="s">
        <v>81</v>
      </c>
      <c r="C8" s="48">
        <f>(молоко!C9*1000)/2025</f>
        <v>6.222222222222222</v>
      </c>
      <c r="D8" s="48">
        <f>(молоко!D9*1000)/2025</f>
        <v>6.666666666666667</v>
      </c>
      <c r="E8" s="48">
        <f>(мясо!C10*1000)/2025</f>
        <v>0.19753086419753085</v>
      </c>
      <c r="F8" s="48">
        <f>(мясо!D10*1000)/2025</f>
        <v>0.019753086419753086</v>
      </c>
      <c r="H8" s="2"/>
      <c r="I8" s="2"/>
    </row>
    <row r="9" spans="1:9" ht="15">
      <c r="A9" s="4">
        <v>5</v>
      </c>
      <c r="B9" s="7" t="s">
        <v>82</v>
      </c>
      <c r="C9" s="48">
        <f>(молоко!C10*1000)/2903</f>
        <v>20.87495694109542</v>
      </c>
      <c r="D9" s="48">
        <f>(молоко!D10*1000)/2478</f>
        <v>29.096045197740114</v>
      </c>
      <c r="E9" s="48">
        <f>(мясо!C11*1000)/2903</f>
        <v>3.8925249741646573</v>
      </c>
      <c r="F9" s="48">
        <f>(мясо!D11*1000)/2478</f>
        <v>3.026634382566586</v>
      </c>
      <c r="H9" s="2"/>
      <c r="I9" s="2"/>
    </row>
    <row r="10" spans="1:9" ht="15">
      <c r="A10" s="4">
        <v>6</v>
      </c>
      <c r="B10" s="3" t="s">
        <v>83</v>
      </c>
      <c r="C10" s="48">
        <f>(молоко!C11*1000)/2184</f>
        <v>17.399267399267398</v>
      </c>
      <c r="D10" s="48">
        <f>(молоко!D11*1000)/2157</f>
        <v>26.88919796012981</v>
      </c>
      <c r="E10" s="48">
        <f>(мясо!C12*1000)/2184</f>
        <v>9.615384615384615</v>
      </c>
      <c r="F10" s="48">
        <f>(мясо!D12*1000)/2157</f>
        <v>1.8080667593880388</v>
      </c>
      <c r="H10" s="2"/>
      <c r="I10" s="2"/>
    </row>
    <row r="11" spans="1:9" ht="15">
      <c r="A11" s="4">
        <v>7</v>
      </c>
      <c r="B11" s="7" t="s">
        <v>84</v>
      </c>
      <c r="C11" s="48">
        <f>(молоко!C12*1000)/868</f>
        <v>38.824884792626726</v>
      </c>
      <c r="D11" s="48">
        <f>(молоко!D12*1000)/859</f>
        <v>39.231664726426075</v>
      </c>
      <c r="E11" s="48">
        <f>(мясо!C13*1000)/868</f>
        <v>5.0691244239631335</v>
      </c>
      <c r="F11" s="48">
        <f>(мясо!D13*1000)/859</f>
        <v>2.910360884749709</v>
      </c>
      <c r="H11" s="2"/>
      <c r="I11" s="2"/>
    </row>
    <row r="12" spans="1:9" ht="15">
      <c r="A12" s="4">
        <v>8</v>
      </c>
      <c r="B12" s="7" t="s">
        <v>85</v>
      </c>
      <c r="C12" s="48">
        <f>(молоко!C13*1000)/1492</f>
        <v>7.171581769436997</v>
      </c>
      <c r="D12" s="48">
        <f>(молоко!D13*1000)/1482</f>
        <v>8.569500674763832</v>
      </c>
      <c r="E12" s="48">
        <f>(мясо!C14*1000)/1492</f>
        <v>2.479892761394102</v>
      </c>
      <c r="F12" s="48">
        <f>(мясо!D14*1000)/1482</f>
        <v>0</v>
      </c>
      <c r="H12" s="2"/>
      <c r="I12" s="2"/>
    </row>
    <row r="13" spans="1:9" ht="15">
      <c r="A13" s="4">
        <v>9</v>
      </c>
      <c r="B13" s="7" t="s">
        <v>86</v>
      </c>
      <c r="C13" s="48">
        <f>(молоко!C14*1000)/1082</f>
        <v>11.181146025878004</v>
      </c>
      <c r="D13" s="48">
        <f>(молоко!D14*1000)/1077</f>
        <v>23.584029712163417</v>
      </c>
      <c r="E13" s="48">
        <f>(мясо!C15*1000)/1082</f>
        <v>0</v>
      </c>
      <c r="F13" s="48">
        <f>(мясо!D15*1000)/1077</f>
        <v>0.6499535747446611</v>
      </c>
      <c r="H13" s="2"/>
      <c r="I13" s="2"/>
    </row>
    <row r="14" spans="1:9" ht="15">
      <c r="A14" s="4">
        <v>10</v>
      </c>
      <c r="B14" s="7" t="s">
        <v>87</v>
      </c>
      <c r="C14" s="48">
        <f>(молоко!C15*1000)/1118</f>
        <v>9.481216457960643</v>
      </c>
      <c r="D14" s="48">
        <f>(молоко!D15*1000)/1084</f>
        <v>9.59409594095941</v>
      </c>
      <c r="E14" s="48">
        <f>(мясо!C16*1000)/1118</f>
        <v>2.6833631484794274</v>
      </c>
      <c r="F14" s="48">
        <f>(мясо!D16*1000)/1084</f>
        <v>1.845018450184502</v>
      </c>
      <c r="H14" s="2"/>
      <c r="I14" s="2"/>
    </row>
    <row r="15" spans="1:9" ht="15">
      <c r="A15" s="4">
        <v>11</v>
      </c>
      <c r="B15" s="7" t="s">
        <v>88</v>
      </c>
      <c r="C15" s="48">
        <f>(молоко!C16*1000)/674</f>
        <v>19.584569732937684</v>
      </c>
      <c r="D15" s="48">
        <f>(молоко!D16*1000)/674</f>
        <v>19.13946587537092</v>
      </c>
      <c r="E15" s="48">
        <f>(мясо!C17*1000)/674</f>
        <v>1.7804154302670623</v>
      </c>
      <c r="F15" s="48">
        <f>(мясо!D17*1000)/674</f>
        <v>0.7418397626112759</v>
      </c>
      <c r="H15" s="2"/>
      <c r="I15" s="2"/>
    </row>
    <row r="16" spans="1:9" ht="15">
      <c r="A16" s="4">
        <v>12</v>
      </c>
      <c r="B16" s="7" t="s">
        <v>89</v>
      </c>
      <c r="C16" s="48"/>
      <c r="D16" s="48"/>
      <c r="E16" s="48">
        <f>(мясо!C18*1000)/983</f>
        <v>38.657171922685656</v>
      </c>
      <c r="F16" s="48">
        <f>(мясо!D18*1000)/983</f>
        <v>60.02034587995931</v>
      </c>
      <c r="H16" s="2"/>
      <c r="I16" s="2"/>
    </row>
    <row r="17" spans="1:6" ht="15">
      <c r="A17" s="3"/>
      <c r="B17" s="3" t="s">
        <v>13</v>
      </c>
      <c r="C17" s="48">
        <f>(молоко!C18*1000)/19457</f>
        <v>12.400061674461634</v>
      </c>
      <c r="D17" s="48">
        <f>(молоко!D18*1000)/22877</f>
        <v>12.514752808497613</v>
      </c>
      <c r="E17" s="48">
        <f>(мясо!C19*1000)/19457</f>
        <v>4.851210361309555</v>
      </c>
      <c r="F17" s="48">
        <f>(мясо!D19*1000)/22877</f>
        <v>3.4462560650434932</v>
      </c>
    </row>
  </sheetData>
  <mergeCells count="2">
    <mergeCell ref="A1:F1"/>
    <mergeCell ref="A2:F2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0" zoomScaleNormal="75" zoomScaleSheetLayoutView="70" workbookViewId="0" topLeftCell="A1">
      <selection activeCell="K8" sqref="K8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30"/>
      <c r="B1" s="23"/>
      <c r="C1" s="55" t="s">
        <v>96</v>
      </c>
      <c r="D1" s="55"/>
      <c r="E1" s="55"/>
      <c r="F1" s="23"/>
      <c r="G1" s="23"/>
      <c r="H1" s="23"/>
      <c r="I1" s="23"/>
      <c r="J1" s="23"/>
      <c r="K1" s="23"/>
    </row>
    <row r="2" spans="1:11" ht="18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>
      <c r="A3" s="45" t="s">
        <v>2</v>
      </c>
      <c r="B3" s="79" t="s">
        <v>3</v>
      </c>
      <c r="C3" s="80" t="s">
        <v>15</v>
      </c>
      <c r="D3" s="81"/>
      <c r="E3" s="82"/>
      <c r="F3" s="83" t="s">
        <v>16</v>
      </c>
      <c r="G3" s="84" t="s">
        <v>19</v>
      </c>
      <c r="H3" s="85" t="s">
        <v>21</v>
      </c>
      <c r="I3" s="86"/>
      <c r="J3" s="79"/>
      <c r="K3" s="79" t="s">
        <v>22</v>
      </c>
    </row>
    <row r="4" spans="1:11" ht="18">
      <c r="A4" s="51"/>
      <c r="B4" s="87"/>
      <c r="C4" s="88">
        <v>2009</v>
      </c>
      <c r="D4" s="83">
        <v>2010</v>
      </c>
      <c r="E4" s="83" t="s">
        <v>97</v>
      </c>
      <c r="F4" s="89" t="s">
        <v>17</v>
      </c>
      <c r="G4" s="90" t="s">
        <v>20</v>
      </c>
      <c r="H4" s="88">
        <v>2009</v>
      </c>
      <c r="I4" s="83">
        <v>2010</v>
      </c>
      <c r="J4" s="83" t="s">
        <v>97</v>
      </c>
      <c r="K4" s="91" t="s">
        <v>23</v>
      </c>
    </row>
    <row r="5" spans="1:11" ht="18">
      <c r="A5" s="41"/>
      <c r="B5" s="92"/>
      <c r="C5" s="93"/>
      <c r="D5" s="94"/>
      <c r="E5" s="94" t="s">
        <v>98</v>
      </c>
      <c r="F5" s="94" t="s">
        <v>18</v>
      </c>
      <c r="G5" s="95"/>
      <c r="H5" s="96"/>
      <c r="I5" s="97"/>
      <c r="J5" s="94" t="s">
        <v>98</v>
      </c>
      <c r="K5" s="98" t="s">
        <v>0</v>
      </c>
    </row>
    <row r="6" spans="1:11" ht="16.5" customHeight="1">
      <c r="A6" s="42">
        <v>1</v>
      </c>
      <c r="B6" s="99" t="s">
        <v>78</v>
      </c>
      <c r="C6" s="21">
        <v>1.57</v>
      </c>
      <c r="D6" s="21"/>
      <c r="E6" s="22"/>
      <c r="F6" s="21"/>
      <c r="G6" s="22"/>
      <c r="H6" s="22">
        <v>78.5</v>
      </c>
      <c r="I6" s="22"/>
      <c r="J6" s="22"/>
      <c r="K6" s="21"/>
    </row>
    <row r="7" spans="1:11" ht="16.5" customHeight="1">
      <c r="A7" s="42">
        <v>2</v>
      </c>
      <c r="B7" s="99" t="s">
        <v>79</v>
      </c>
      <c r="C7" s="21">
        <v>32.6</v>
      </c>
      <c r="D7" s="21">
        <v>27.8</v>
      </c>
      <c r="E7" s="22">
        <f aca="true" t="shared" si="0" ref="E7:E16">D7/C7*100</f>
        <v>85.2760736196319</v>
      </c>
      <c r="F7" s="21">
        <v>24.1</v>
      </c>
      <c r="G7" s="22">
        <f aca="true" t="shared" si="1" ref="G7:G16">F7/D7*100</f>
        <v>86.6906474820144</v>
      </c>
      <c r="H7" s="22">
        <v>163</v>
      </c>
      <c r="I7" s="22">
        <f>D7/'численность 1'!K7*1000</f>
        <v>154.44444444444443</v>
      </c>
      <c r="J7" s="22">
        <f aca="true" t="shared" si="2" ref="J7:J16">I7/H7*100</f>
        <v>94.75119291070212</v>
      </c>
      <c r="K7" s="21"/>
    </row>
    <row r="8" spans="1:11" ht="16.5" customHeight="1">
      <c r="A8" s="42">
        <v>3</v>
      </c>
      <c r="B8" s="99" t="s">
        <v>80</v>
      </c>
      <c r="C8" s="21">
        <v>15.6</v>
      </c>
      <c r="D8" s="21">
        <v>19.8</v>
      </c>
      <c r="E8" s="22">
        <f t="shared" si="0"/>
        <v>126.92307692307693</v>
      </c>
      <c r="F8" s="21">
        <v>17.5</v>
      </c>
      <c r="G8" s="22">
        <f t="shared" si="1"/>
        <v>88.38383838383838</v>
      </c>
      <c r="H8" s="22">
        <v>148.57142857142858</v>
      </c>
      <c r="I8" s="22">
        <f>D8/'численность 1'!K8*1000</f>
        <v>188.57142857142858</v>
      </c>
      <c r="J8" s="22">
        <f t="shared" si="2"/>
        <v>126.92307692307692</v>
      </c>
      <c r="K8" s="21"/>
    </row>
    <row r="9" spans="1:11" ht="16.5" customHeight="1">
      <c r="A9" s="42">
        <v>4</v>
      </c>
      <c r="B9" s="99" t="s">
        <v>81</v>
      </c>
      <c r="C9" s="21">
        <v>12.6</v>
      </c>
      <c r="D9" s="21">
        <v>13.5</v>
      </c>
      <c r="E9" s="22">
        <f t="shared" si="0"/>
        <v>107.14285714285714</v>
      </c>
      <c r="F9" s="21">
        <v>9</v>
      </c>
      <c r="G9" s="22">
        <f t="shared" si="1"/>
        <v>66.66666666666666</v>
      </c>
      <c r="H9" s="22">
        <v>233.33333333333334</v>
      </c>
      <c r="I9" s="22">
        <f>D9/'численность 1'!K9*1000</f>
        <v>250</v>
      </c>
      <c r="J9" s="22">
        <f t="shared" si="2"/>
        <v>107.14285714285714</v>
      </c>
      <c r="K9" s="21"/>
    </row>
    <row r="10" spans="1:11" ht="16.5" customHeight="1">
      <c r="A10" s="42">
        <v>5</v>
      </c>
      <c r="B10" s="99" t="s">
        <v>82</v>
      </c>
      <c r="C10" s="21">
        <v>60.6</v>
      </c>
      <c r="D10" s="21">
        <v>72.1</v>
      </c>
      <c r="E10" s="22">
        <f t="shared" si="0"/>
        <v>118.97689768976896</v>
      </c>
      <c r="F10" s="21">
        <v>66</v>
      </c>
      <c r="G10" s="22">
        <f t="shared" si="1"/>
        <v>91.53952843273233</v>
      </c>
      <c r="H10" s="22">
        <v>196.75324675324677</v>
      </c>
      <c r="I10" s="22">
        <f>D10/'численность 1'!K10*1000</f>
        <v>237.17105263157893</v>
      </c>
      <c r="J10" s="22">
        <f t="shared" si="2"/>
        <v>120.54238318568697</v>
      </c>
      <c r="K10" s="21"/>
    </row>
    <row r="11" spans="1:11" ht="16.5" customHeight="1">
      <c r="A11" s="42">
        <v>6</v>
      </c>
      <c r="B11" s="100" t="s">
        <v>83</v>
      </c>
      <c r="C11" s="21">
        <v>38</v>
      </c>
      <c r="D11" s="21">
        <v>58</v>
      </c>
      <c r="E11" s="22">
        <f t="shared" si="0"/>
        <v>152.63157894736844</v>
      </c>
      <c r="F11" s="21">
        <v>48</v>
      </c>
      <c r="G11" s="22">
        <f t="shared" si="1"/>
        <v>82.75862068965517</v>
      </c>
      <c r="H11" s="22">
        <v>135.7142857142857</v>
      </c>
      <c r="I11" s="22">
        <f>D11/'численность 1'!K11*1000</f>
        <v>232</v>
      </c>
      <c r="J11" s="22">
        <f t="shared" si="2"/>
        <v>170.94736842105266</v>
      </c>
      <c r="K11" s="21"/>
    </row>
    <row r="12" spans="1:11" ht="16.5" customHeight="1">
      <c r="A12" s="42">
        <v>7</v>
      </c>
      <c r="B12" s="100" t="s">
        <v>84</v>
      </c>
      <c r="C12" s="25">
        <v>33.7</v>
      </c>
      <c r="D12" s="25">
        <v>33.7</v>
      </c>
      <c r="E12" s="26">
        <f t="shared" si="0"/>
        <v>100</v>
      </c>
      <c r="F12" s="25">
        <v>26.5</v>
      </c>
      <c r="G12" s="26">
        <f t="shared" si="1"/>
        <v>78.63501483679525</v>
      </c>
      <c r="H12" s="26">
        <v>396.47058823529414</v>
      </c>
      <c r="I12" s="22">
        <f>D12/'численность 1'!K12*1000</f>
        <v>396.47058823529414</v>
      </c>
      <c r="J12" s="26">
        <f t="shared" si="2"/>
        <v>100</v>
      </c>
      <c r="K12" s="25">
        <v>2.5</v>
      </c>
    </row>
    <row r="13" spans="1:11" ht="16.5" customHeight="1">
      <c r="A13" s="42">
        <v>8</v>
      </c>
      <c r="B13" s="100" t="s">
        <v>85</v>
      </c>
      <c r="C13" s="25">
        <v>10.7</v>
      </c>
      <c r="D13" s="25">
        <v>12.7</v>
      </c>
      <c r="E13" s="26">
        <f t="shared" si="0"/>
        <v>118.69158878504673</v>
      </c>
      <c r="F13" s="25">
        <v>10.7</v>
      </c>
      <c r="G13" s="26">
        <f t="shared" si="1"/>
        <v>84.25196850393701</v>
      </c>
      <c r="H13" s="26">
        <v>155.07246376811594</v>
      </c>
      <c r="I13" s="22">
        <f>D13/'численность 1'!K13*1000</f>
        <v>244.23076923076923</v>
      </c>
      <c r="J13" s="26">
        <f t="shared" si="2"/>
        <v>157.49460819554278</v>
      </c>
      <c r="K13" s="25"/>
    </row>
    <row r="14" spans="1:11" ht="16.5" customHeight="1">
      <c r="A14" s="42">
        <v>9</v>
      </c>
      <c r="B14" s="100" t="s">
        <v>86</v>
      </c>
      <c r="C14" s="25">
        <v>12.098</v>
      </c>
      <c r="D14" s="25">
        <v>25.4</v>
      </c>
      <c r="E14" s="26">
        <f t="shared" si="0"/>
        <v>209.95205819143655</v>
      </c>
      <c r="F14" s="25">
        <v>20.6</v>
      </c>
      <c r="G14" s="26">
        <f t="shared" si="1"/>
        <v>81.10236220472441</v>
      </c>
      <c r="H14" s="26">
        <v>252.04166666666666</v>
      </c>
      <c r="I14" s="22">
        <f>D14/'численность 1'!K14*1000</f>
        <v>423.33333333333326</v>
      </c>
      <c r="J14" s="26">
        <f t="shared" si="2"/>
        <v>167.96164655314925</v>
      </c>
      <c r="K14" s="25">
        <v>8.8</v>
      </c>
    </row>
    <row r="15" spans="1:11" ht="16.5" customHeight="1">
      <c r="A15" s="42">
        <v>10</v>
      </c>
      <c r="B15" s="100" t="s">
        <v>87</v>
      </c>
      <c r="C15" s="25">
        <v>10.6</v>
      </c>
      <c r="D15" s="25">
        <v>10.4</v>
      </c>
      <c r="E15" s="26">
        <f t="shared" si="0"/>
        <v>98.11320754716982</v>
      </c>
      <c r="F15" s="25">
        <v>8.7</v>
      </c>
      <c r="G15" s="26">
        <f t="shared" si="1"/>
        <v>83.65384615384615</v>
      </c>
      <c r="H15" s="26">
        <v>106</v>
      </c>
      <c r="I15" s="22">
        <f>D15/'численность 1'!K15*1000</f>
        <v>104.00000000000001</v>
      </c>
      <c r="J15" s="26">
        <f t="shared" si="2"/>
        <v>98.11320754716982</v>
      </c>
      <c r="K15" s="25"/>
    </row>
    <row r="16" spans="1:11" ht="16.5" customHeight="1">
      <c r="A16" s="42">
        <v>11</v>
      </c>
      <c r="B16" s="100" t="s">
        <v>88</v>
      </c>
      <c r="C16" s="25">
        <v>13.2</v>
      </c>
      <c r="D16" s="25">
        <v>12.9</v>
      </c>
      <c r="E16" s="26">
        <f t="shared" si="0"/>
        <v>97.72727272727273</v>
      </c>
      <c r="F16" s="25">
        <v>7</v>
      </c>
      <c r="G16" s="26">
        <f t="shared" si="1"/>
        <v>54.263565891472865</v>
      </c>
      <c r="H16" s="26">
        <v>314.2857142857143</v>
      </c>
      <c r="I16" s="22">
        <f>D16/'численность 1'!K16*1000</f>
        <v>307.14285714285717</v>
      </c>
      <c r="J16" s="26">
        <f t="shared" si="2"/>
        <v>97.72727272727273</v>
      </c>
      <c r="K16" s="25"/>
    </row>
    <row r="17" spans="1:11" ht="16.5" customHeight="1">
      <c r="A17" s="42">
        <v>12</v>
      </c>
      <c r="B17" s="100" t="s">
        <v>89</v>
      </c>
      <c r="C17" s="25"/>
      <c r="D17" s="25"/>
      <c r="E17" s="26"/>
      <c r="F17" s="25"/>
      <c r="G17" s="26"/>
      <c r="H17" s="26"/>
      <c r="I17" s="22"/>
      <c r="J17" s="26"/>
      <c r="K17" s="25"/>
    </row>
    <row r="18" spans="1:11" ht="18">
      <c r="A18" s="42"/>
      <c r="B18" s="99" t="s">
        <v>13</v>
      </c>
      <c r="C18" s="101">
        <f>SUM(C6:C17)</f>
        <v>241.268</v>
      </c>
      <c r="D18" s="101">
        <f>SUM(D6:D17)</f>
        <v>286.2999999999999</v>
      </c>
      <c r="E18" s="22">
        <f>D18/C18*100</f>
        <v>118.6647213886632</v>
      </c>
      <c r="F18" s="101">
        <f>SUM(F6:F17)</f>
        <v>238.09999999999997</v>
      </c>
      <c r="G18" s="22">
        <f>F18/D18*100</f>
        <v>83.16451274886485</v>
      </c>
      <c r="H18" s="22">
        <v>184.03356216628526</v>
      </c>
      <c r="I18" s="22">
        <f>D18/'численность 1'!K18*1000</f>
        <v>232.38636363636357</v>
      </c>
      <c r="J18" s="22">
        <f>I18/H18*100</f>
        <v>126.27390401017651</v>
      </c>
      <c r="K18" s="101">
        <f>SUM(K7:K17)</f>
        <v>11.3</v>
      </c>
    </row>
  </sheetData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2010-02-04T05:55:38Z</cp:lastPrinted>
  <dcterms:created xsi:type="dcterms:W3CDTF">2002-11-05T10:10:22Z</dcterms:created>
  <dcterms:modified xsi:type="dcterms:W3CDTF">2010-02-04T08:39:10Z</dcterms:modified>
  <cp:category/>
  <cp:version/>
  <cp:contentType/>
  <cp:contentStatus/>
</cp:coreProperties>
</file>