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8400" windowHeight="6870" tabRatio="880" activeTab="9"/>
  </bookViews>
  <sheets>
    <sheet name="пало1" sheetId="1" r:id="rId1"/>
    <sheet name="привес" sheetId="2" r:id="rId2"/>
    <sheet name="численность 2" sheetId="3" r:id="rId3"/>
    <sheet name="численность 1" sheetId="4" r:id="rId4"/>
    <sheet name="приплод 2" sheetId="5" r:id="rId5"/>
    <sheet name="случка" sheetId="6" r:id="rId6"/>
    <sheet name="приплод 1" sheetId="7" r:id="rId7"/>
    <sheet name="на 100 га" sheetId="8" r:id="rId8"/>
    <sheet name="молоко" sheetId="9" r:id="rId9"/>
    <sheet name="мясо" sheetId="10" r:id="rId10"/>
  </sheets>
  <definedNames>
    <definedName name="_xlnm.Print_Area" localSheetId="8">'молоко'!$A$1:$K$17</definedName>
    <definedName name="_xlnm.Print_Area" localSheetId="9">'мясо'!$A$1:$K$21</definedName>
    <definedName name="_xlnm.Print_Area" localSheetId="7">'на 100 га'!$A$1:$F$17</definedName>
    <definedName name="_xlnm.Print_Area" localSheetId="0">'пало1'!$A$1:$T$19</definedName>
    <definedName name="_xlnm.Print_Area" localSheetId="1">'привес'!$A$1:$T$21</definedName>
    <definedName name="_xlnm.Print_Area" localSheetId="4">'приплод 2'!$A$1:$P$11</definedName>
    <definedName name="_xlnm.Print_Area" localSheetId="3">'численность 1'!$A$1:$U$20</definedName>
    <definedName name="_xlnm.Print_Area" localSheetId="2">'численность 2'!$A$1:$N$20</definedName>
  </definedNames>
  <calcPr fullCalcOnLoad="1"/>
</workbook>
</file>

<file path=xl/sharedStrings.xml><?xml version="1.0" encoding="utf-8"?>
<sst xmlns="http://schemas.openxmlformats.org/spreadsheetml/2006/main" count="283" uniqueCount="113">
  <si>
    <t>молока</t>
  </si>
  <si>
    <t>всего</t>
  </si>
  <si>
    <t>№</t>
  </si>
  <si>
    <t>Наименование хозяйств</t>
  </si>
  <si>
    <t xml:space="preserve">в % к </t>
  </si>
  <si>
    <t>в т.ч.</t>
  </si>
  <si>
    <t xml:space="preserve"> всего</t>
  </si>
  <si>
    <t>усл.гол.</t>
  </si>
  <si>
    <t xml:space="preserve">          в т.ч. коров</t>
  </si>
  <si>
    <t xml:space="preserve">     свиней</t>
  </si>
  <si>
    <t xml:space="preserve">         лошадей</t>
  </si>
  <si>
    <t>По району</t>
  </si>
  <si>
    <t xml:space="preserve">    ПРОИЗВОДСТВО МЯСА И МОЛОКА НА 100 га с/х угодий</t>
  </si>
  <si>
    <t xml:space="preserve"> производство молока, т</t>
  </si>
  <si>
    <t>в т.ч.отгру-</t>
  </si>
  <si>
    <t>жено мо-</t>
  </si>
  <si>
    <t>лока,т</t>
  </si>
  <si>
    <t>товар-</t>
  </si>
  <si>
    <t>ность,%</t>
  </si>
  <si>
    <t>средний удой от 1 ф.кор.кг</t>
  </si>
  <si>
    <t>куплено у</t>
  </si>
  <si>
    <t>населения</t>
  </si>
  <si>
    <t xml:space="preserve"> производство мяса, т</t>
  </si>
  <si>
    <t>в том числе</t>
  </si>
  <si>
    <t xml:space="preserve">      свиней</t>
  </si>
  <si>
    <t xml:space="preserve">        прочее</t>
  </si>
  <si>
    <t xml:space="preserve">           крс</t>
  </si>
  <si>
    <t xml:space="preserve">   получено телят, гол.</t>
  </si>
  <si>
    <t xml:space="preserve"> в т.ч. от коров</t>
  </si>
  <si>
    <t>ца с</t>
  </si>
  <si>
    <t>разни-</t>
  </si>
  <si>
    <t>получено телят</t>
  </si>
  <si>
    <t>на 100 коров</t>
  </si>
  <si>
    <t>растел нетелей</t>
  </si>
  <si>
    <t xml:space="preserve">            на 100 коров</t>
  </si>
  <si>
    <t>в т.ч.осн.</t>
  </si>
  <si>
    <t>Разница</t>
  </si>
  <si>
    <t xml:space="preserve">      всего КРС, гол</t>
  </si>
  <si>
    <t xml:space="preserve">        в т.ч. телок</t>
  </si>
  <si>
    <t>случ. с/маток и свинок</t>
  </si>
  <si>
    <t xml:space="preserve"> в т.ч. свинок</t>
  </si>
  <si>
    <t>Пало и погибло КРС</t>
  </si>
  <si>
    <t xml:space="preserve">Разница </t>
  </si>
  <si>
    <t xml:space="preserve">    Куплено</t>
  </si>
  <si>
    <t xml:space="preserve">       Продано</t>
  </si>
  <si>
    <t xml:space="preserve">         молока, ц</t>
  </si>
  <si>
    <t xml:space="preserve">       мяса, ц</t>
  </si>
  <si>
    <t>основ.</t>
  </si>
  <si>
    <t>пров.</t>
  </si>
  <si>
    <t xml:space="preserve">                                Кормодни</t>
  </si>
  <si>
    <t xml:space="preserve">                                С/с привес ,г</t>
  </si>
  <si>
    <t xml:space="preserve">       крс</t>
  </si>
  <si>
    <t xml:space="preserve">    свиньи</t>
  </si>
  <si>
    <t xml:space="preserve">          в т.ч. разовых</t>
  </si>
  <si>
    <t>овец и коз</t>
  </si>
  <si>
    <t>Пало и погибло свин.</t>
  </si>
  <si>
    <t xml:space="preserve">               ( таблица 1)</t>
  </si>
  <si>
    <t xml:space="preserve">   ( таблица 2)</t>
  </si>
  <si>
    <t>по Ибресинскому району</t>
  </si>
  <si>
    <t xml:space="preserve">                      по Ибресинкому  району</t>
  </si>
  <si>
    <t xml:space="preserve">           по Ибресинскому району</t>
  </si>
  <si>
    <t>Колхоз им.Ильича</t>
  </si>
  <si>
    <t>Колхоз "Искра"</t>
  </si>
  <si>
    <t>Колхоз "Кр.фронтовик"</t>
  </si>
  <si>
    <t>Колхоз "Кр.партизан"</t>
  </si>
  <si>
    <t>СХПК им.Калинина</t>
  </si>
  <si>
    <t>Колхоз "Трудовик"</t>
  </si>
  <si>
    <t>Колхоз им.Кирова</t>
  </si>
  <si>
    <t>Колхоз "Заря"</t>
  </si>
  <si>
    <t>ОАО "Рассвет"</t>
  </si>
  <si>
    <t>в т.ч. от основных свиноматок</t>
  </si>
  <si>
    <t xml:space="preserve">                       Валовый привес ,центнер</t>
  </si>
  <si>
    <t>осн.</t>
  </si>
  <si>
    <t>Среднегодовое поголовье коров, гол</t>
  </si>
  <si>
    <t>Наличие кормов, ц.к.ед.</t>
  </si>
  <si>
    <t>в т.ч. конц.</t>
  </si>
  <si>
    <t>из них покуп.</t>
  </si>
  <si>
    <t>п/п</t>
  </si>
  <si>
    <t>ООО "Агропромкомплект"</t>
  </si>
  <si>
    <t>Итого по району</t>
  </si>
  <si>
    <t>ООО "А-ф "Путиловка"</t>
  </si>
  <si>
    <t>СПК "Патман"</t>
  </si>
  <si>
    <t xml:space="preserve"> в т.ч.  нетелей</t>
  </si>
  <si>
    <t>Крупного рогатого скота</t>
  </si>
  <si>
    <t xml:space="preserve">    Опоросилось свиноматок, голов</t>
  </si>
  <si>
    <t xml:space="preserve">Получено поросят на 1 свиноматку </t>
  </si>
  <si>
    <t xml:space="preserve">Получено поросят на 100 осн. свиноматок </t>
  </si>
  <si>
    <t>Получено поросят , гол.</t>
  </si>
  <si>
    <t>по Ибресинскому  району</t>
  </si>
  <si>
    <t>лошади</t>
  </si>
  <si>
    <t>овцы и козы</t>
  </si>
  <si>
    <t>КФХ Ярчеев П.И.</t>
  </si>
  <si>
    <t>КРС</t>
  </si>
  <si>
    <t>свиней</t>
  </si>
  <si>
    <t>2011 в %</t>
  </si>
  <si>
    <t>к 2010 г.</t>
  </si>
  <si>
    <t>2010 г.</t>
  </si>
  <si>
    <t>с 2010 г.</t>
  </si>
  <si>
    <t>разница с 2010 г.</t>
  </si>
  <si>
    <t>в % к 2010 г.</t>
  </si>
  <si>
    <t>2011 к 2010 г. %</t>
  </si>
  <si>
    <t xml:space="preserve">КРС </t>
  </si>
  <si>
    <t>ООО "А-ф "Трудовик"</t>
  </si>
  <si>
    <t xml:space="preserve">   Производство мяса за январь-сентябрь 2011г.</t>
  </si>
  <si>
    <t xml:space="preserve">            Производство молока за  январь-сентябрь 2011 г. по Ибресинскому району</t>
  </si>
  <si>
    <t>по Ибресинскому району за январь-сентябрь 2011 года (ц)</t>
  </si>
  <si>
    <t>Поступление приплода (телят) за январь-сентябрь 2011 г.</t>
  </si>
  <si>
    <t>СЛУЧЕНО И ОСЕМЕНЕНО за январь-сентябрь 2011 г.по Ибресинскому р-ну</t>
  </si>
  <si>
    <t>Поступление приплода (поросят) за январь-сентябрь 2011 г.</t>
  </si>
  <si>
    <t xml:space="preserve">      ЧИСЛЕННОСТЬ СКОТА по Ибресинскому району на 1.10.2011 г., (голов)</t>
  </si>
  <si>
    <r>
      <t xml:space="preserve">      ЧИСЛЕННОСТЬ СКОТА по </t>
    </r>
    <r>
      <rPr>
        <b/>
        <u val="single"/>
        <sz val="12"/>
        <rFont val="Arial Cyr"/>
        <family val="2"/>
      </rPr>
      <t>Ибресинскому</t>
    </r>
    <r>
      <rPr>
        <b/>
        <sz val="12"/>
        <rFont val="Arial Cyr"/>
        <family val="2"/>
      </rPr>
      <t xml:space="preserve"> району на 1.10.2011 г., (голов)</t>
    </r>
  </si>
  <si>
    <t>Показатели получения привесов за январь-сентябрь 2011 года</t>
  </si>
  <si>
    <t>ПАЛО И ПОГИБЛО - КУПЛЕНО- ПРОДАНО крс, свиней за январь-сентябрь 2011г.по Ибресинскому.р-ну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</si>
</sst>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0.0000"/>
    <numFmt numFmtId="171" formatCode="0.000"/>
    <numFmt numFmtId="172" formatCode="0.0"/>
    <numFmt numFmtId="173" formatCode="0.0000000"/>
    <numFmt numFmtId="174" formatCode="0.00000000"/>
  </numFmts>
  <fonts count="49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i/>
      <sz val="16"/>
      <name val="Arial Cyr"/>
      <family val="2"/>
    </font>
    <font>
      <b/>
      <u val="single"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3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4" fontId="0" fillId="0" borderId="0" xfId="43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14" fontId="1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Border="1" applyAlignment="1">
      <alignment/>
    </xf>
    <xf numFmtId="1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72" fontId="14" fillId="0" borderId="10" xfId="0" applyNumberFormat="1" applyFont="1" applyFill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10" sqref="M10"/>
    </sheetView>
  </sheetViews>
  <sheetFormatPr defaultColWidth="9.00390625" defaultRowHeight="12.75"/>
  <cols>
    <col min="1" max="1" width="4.00390625" style="73" customWidth="1"/>
    <col min="2" max="2" width="28.625" style="73" customWidth="1"/>
    <col min="3" max="4" width="8.75390625" style="73" customWidth="1"/>
    <col min="5" max="5" width="8.875" style="73" customWidth="1"/>
    <col min="6" max="7" width="8.75390625" style="73" customWidth="1"/>
    <col min="8" max="8" width="8.875" style="73" customWidth="1"/>
    <col min="9" max="14" width="8.75390625" style="73" customWidth="1"/>
    <col min="15" max="15" width="8.875" style="73" customWidth="1"/>
    <col min="16" max="18" width="8.75390625" style="73" customWidth="1"/>
    <col min="19" max="19" width="8.875" style="73" customWidth="1"/>
    <col min="20" max="20" width="8.75390625" style="73" customWidth="1"/>
    <col min="21" max="16384" width="9.125" style="73" customWidth="1"/>
  </cols>
  <sheetData>
    <row r="1" spans="3:18" ht="15">
      <c r="C1" s="132" t="s">
        <v>112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3:10" ht="15">
      <c r="C2" s="74"/>
      <c r="D2" s="74"/>
      <c r="E2" s="74"/>
      <c r="F2" s="74"/>
      <c r="G2" s="74"/>
      <c r="H2" s="74"/>
      <c r="I2" s="74"/>
      <c r="J2" s="74"/>
    </row>
    <row r="3" spans="1:20" s="20" customFormat="1" ht="18.75" customHeight="1">
      <c r="A3" s="34" t="s">
        <v>2</v>
      </c>
      <c r="B3" s="23" t="s">
        <v>3</v>
      </c>
      <c r="C3" s="125" t="s">
        <v>41</v>
      </c>
      <c r="D3" s="126"/>
      <c r="E3" s="127"/>
      <c r="F3" s="125" t="s">
        <v>55</v>
      </c>
      <c r="G3" s="126"/>
      <c r="H3" s="127"/>
      <c r="I3" s="103"/>
      <c r="J3" s="108" t="s">
        <v>43</v>
      </c>
      <c r="K3" s="108"/>
      <c r="L3" s="108"/>
      <c r="M3" s="110"/>
      <c r="N3" s="110"/>
      <c r="O3" s="110"/>
      <c r="P3" s="110"/>
      <c r="Q3" s="103"/>
      <c r="R3" s="108" t="s">
        <v>44</v>
      </c>
      <c r="S3" s="108"/>
      <c r="T3" s="107"/>
    </row>
    <row r="4" spans="1:20" s="20" customFormat="1" ht="18.75" customHeight="1">
      <c r="A4" s="39"/>
      <c r="B4" s="33"/>
      <c r="C4" s="133">
        <v>2010</v>
      </c>
      <c r="D4" s="133">
        <v>2011</v>
      </c>
      <c r="E4" s="112" t="s">
        <v>42</v>
      </c>
      <c r="F4" s="133">
        <v>2010</v>
      </c>
      <c r="G4" s="133">
        <v>2011</v>
      </c>
      <c r="H4" s="112" t="s">
        <v>42</v>
      </c>
      <c r="I4" s="128" t="s">
        <v>101</v>
      </c>
      <c r="J4" s="129"/>
      <c r="K4" s="128" t="s">
        <v>93</v>
      </c>
      <c r="L4" s="129"/>
      <c r="M4" s="128" t="s">
        <v>89</v>
      </c>
      <c r="N4" s="129"/>
      <c r="O4" s="128" t="s">
        <v>90</v>
      </c>
      <c r="P4" s="129"/>
      <c r="Q4" s="128" t="s">
        <v>92</v>
      </c>
      <c r="R4" s="129"/>
      <c r="S4" s="128" t="s">
        <v>93</v>
      </c>
      <c r="T4" s="129"/>
    </row>
    <row r="5" spans="1:20" s="20" customFormat="1" ht="18.75" customHeight="1">
      <c r="A5" s="30"/>
      <c r="B5" s="29"/>
      <c r="C5" s="134"/>
      <c r="D5" s="134"/>
      <c r="E5" s="113" t="s">
        <v>97</v>
      </c>
      <c r="F5" s="134"/>
      <c r="G5" s="134"/>
      <c r="H5" s="113" t="s">
        <v>97</v>
      </c>
      <c r="I5" s="114">
        <v>2010</v>
      </c>
      <c r="J5" s="115">
        <v>2011</v>
      </c>
      <c r="K5" s="114">
        <v>2010</v>
      </c>
      <c r="L5" s="115">
        <v>2011</v>
      </c>
      <c r="M5" s="114">
        <v>2010</v>
      </c>
      <c r="N5" s="115">
        <v>2011</v>
      </c>
      <c r="O5" s="114">
        <v>2010</v>
      </c>
      <c r="P5" s="115">
        <v>2011</v>
      </c>
      <c r="Q5" s="114">
        <v>2010</v>
      </c>
      <c r="R5" s="115">
        <v>2011</v>
      </c>
      <c r="S5" s="114">
        <v>2010</v>
      </c>
      <c r="T5" s="115">
        <v>2011</v>
      </c>
    </row>
    <row r="6" spans="1:20" s="20" customFormat="1" ht="15" customHeight="1">
      <c r="A6" s="31">
        <v>1</v>
      </c>
      <c r="B6" s="31" t="s">
        <v>61</v>
      </c>
      <c r="C6" s="3">
        <v>1</v>
      </c>
      <c r="D6" s="3"/>
      <c r="E6" s="11">
        <f aca="true" t="shared" si="0" ref="E6:E16">D6-C6</f>
        <v>-1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20" customFormat="1" ht="13.5" customHeight="1">
      <c r="A7" s="31">
        <v>2</v>
      </c>
      <c r="B7" s="31" t="s">
        <v>62</v>
      </c>
      <c r="C7" s="3">
        <v>4</v>
      </c>
      <c r="D7" s="3">
        <v>9</v>
      </c>
      <c r="E7" s="11">
        <f t="shared" si="0"/>
        <v>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>
        <v>38</v>
      </c>
      <c r="R7" s="3">
        <v>40</v>
      </c>
      <c r="S7" s="3"/>
      <c r="T7" s="3"/>
    </row>
    <row r="8" spans="1:20" s="20" customFormat="1" ht="13.5" customHeight="1">
      <c r="A8" s="31">
        <v>3</v>
      </c>
      <c r="B8" s="31" t="s">
        <v>63</v>
      </c>
      <c r="C8" s="3">
        <v>1</v>
      </c>
      <c r="D8" s="3"/>
      <c r="E8" s="11">
        <f t="shared" si="0"/>
        <v>-1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v>12</v>
      </c>
      <c r="R8" s="3">
        <v>17</v>
      </c>
      <c r="S8" s="3"/>
      <c r="T8" s="3"/>
    </row>
    <row r="9" spans="1:20" s="20" customFormat="1" ht="12.75" customHeight="1">
      <c r="A9" s="31">
        <v>4</v>
      </c>
      <c r="B9" s="22" t="s">
        <v>64</v>
      </c>
      <c r="C9" s="3">
        <v>5</v>
      </c>
      <c r="D9" s="3">
        <v>6</v>
      </c>
      <c r="E9" s="11">
        <f t="shared" si="0"/>
        <v>1</v>
      </c>
      <c r="F9" s="3"/>
      <c r="G9" s="3"/>
      <c r="H9" s="3"/>
      <c r="I9" s="3"/>
      <c r="J9" s="3"/>
      <c r="K9" s="3"/>
      <c r="L9" s="3">
        <v>2</v>
      </c>
      <c r="M9" s="3"/>
      <c r="N9" s="3"/>
      <c r="O9" s="3"/>
      <c r="P9" s="3"/>
      <c r="Q9" s="3"/>
      <c r="R9" s="3"/>
      <c r="S9" s="3">
        <v>398</v>
      </c>
      <c r="T9" s="3">
        <v>358</v>
      </c>
    </row>
    <row r="10" spans="1:20" s="20" customFormat="1" ht="13.5" customHeight="1">
      <c r="A10" s="31">
        <v>5</v>
      </c>
      <c r="B10" s="98" t="s">
        <v>65</v>
      </c>
      <c r="C10" s="3"/>
      <c r="D10" s="3"/>
      <c r="E10" s="11">
        <f t="shared" si="0"/>
        <v>0</v>
      </c>
      <c r="F10" s="3">
        <v>105</v>
      </c>
      <c r="G10" s="3">
        <v>24</v>
      </c>
      <c r="H10" s="3">
        <f>G10-F10</f>
        <v>-81</v>
      </c>
      <c r="I10" s="3"/>
      <c r="J10" s="3"/>
      <c r="K10" s="11"/>
      <c r="L10" s="11"/>
      <c r="M10" s="11"/>
      <c r="N10" s="11"/>
      <c r="O10" s="11"/>
      <c r="P10" s="11"/>
      <c r="Q10" s="11">
        <v>5</v>
      </c>
      <c r="R10" s="11"/>
      <c r="S10" s="3">
        <v>317</v>
      </c>
      <c r="T10" s="3">
        <v>240</v>
      </c>
    </row>
    <row r="11" spans="1:20" s="20" customFormat="1" ht="12.75" customHeight="1">
      <c r="A11" s="31">
        <v>6</v>
      </c>
      <c r="B11" s="32" t="s">
        <v>81</v>
      </c>
      <c r="C11" s="3">
        <v>2</v>
      </c>
      <c r="D11" s="3">
        <v>1</v>
      </c>
      <c r="E11" s="11">
        <f t="shared" si="0"/>
        <v>-1</v>
      </c>
      <c r="F11" s="3"/>
      <c r="G11" s="3"/>
      <c r="H11" s="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3"/>
      <c r="T11" s="3"/>
    </row>
    <row r="12" spans="1:20" s="20" customFormat="1" ht="12.75" customHeight="1">
      <c r="A12" s="31">
        <v>7</v>
      </c>
      <c r="B12" s="31" t="s">
        <v>66</v>
      </c>
      <c r="C12" s="3">
        <v>2</v>
      </c>
      <c r="D12" s="3"/>
      <c r="E12" s="11">
        <f t="shared" si="0"/>
        <v>-2</v>
      </c>
      <c r="F12" s="3"/>
      <c r="G12" s="3"/>
      <c r="H12" s="3"/>
      <c r="I12" s="3">
        <v>36</v>
      </c>
      <c r="J12" s="3"/>
      <c r="K12" s="3"/>
      <c r="L12" s="3"/>
      <c r="M12" s="3"/>
      <c r="N12" s="3"/>
      <c r="O12" s="3"/>
      <c r="P12" s="3"/>
      <c r="Q12" s="3">
        <v>27</v>
      </c>
      <c r="R12" s="3">
        <v>148</v>
      </c>
      <c r="S12" s="3"/>
      <c r="T12" s="3"/>
    </row>
    <row r="13" spans="1:20" s="20" customFormat="1" ht="12.75" customHeight="1">
      <c r="A13" s="31">
        <v>8</v>
      </c>
      <c r="B13" s="32" t="s">
        <v>102</v>
      </c>
      <c r="C13" s="3"/>
      <c r="D13" s="3"/>
      <c r="E13" s="11"/>
      <c r="F13" s="3"/>
      <c r="G13" s="3"/>
      <c r="H13" s="3"/>
      <c r="I13" s="3"/>
      <c r="J13" s="3">
        <v>148</v>
      </c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s="20" customFormat="1" ht="13.5" customHeight="1">
      <c r="A14" s="31">
        <v>9</v>
      </c>
      <c r="B14" s="32" t="s">
        <v>80</v>
      </c>
      <c r="C14" s="3">
        <v>1</v>
      </c>
      <c r="D14" s="3">
        <v>1</v>
      </c>
      <c r="E14" s="11">
        <f t="shared" si="0"/>
        <v>0</v>
      </c>
      <c r="F14" s="3"/>
      <c r="G14" s="3"/>
      <c r="H14" s="3"/>
      <c r="I14" s="3"/>
      <c r="J14" s="3">
        <v>30</v>
      </c>
      <c r="K14" s="3"/>
      <c r="L14" s="3"/>
      <c r="M14" s="3"/>
      <c r="N14" s="3"/>
      <c r="O14" s="3"/>
      <c r="P14" s="3"/>
      <c r="Q14" s="3">
        <v>20</v>
      </c>
      <c r="R14" s="3">
        <v>8</v>
      </c>
      <c r="S14" s="3"/>
      <c r="T14" s="3"/>
    </row>
    <row r="15" spans="1:20" s="20" customFormat="1" ht="12.75" customHeight="1">
      <c r="A15" s="31">
        <v>10</v>
      </c>
      <c r="B15" s="31" t="s">
        <v>67</v>
      </c>
      <c r="C15" s="3"/>
      <c r="D15" s="3"/>
      <c r="E15" s="11">
        <f t="shared" si="0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s="20" customFormat="1" ht="12.75" customHeight="1">
      <c r="A16" s="31">
        <v>11</v>
      </c>
      <c r="B16" s="31" t="s">
        <v>68</v>
      </c>
      <c r="C16" s="3">
        <v>1</v>
      </c>
      <c r="D16" s="3">
        <v>1</v>
      </c>
      <c r="E16" s="11">
        <f t="shared" si="0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s="20" customFormat="1" ht="12.75" customHeight="1">
      <c r="A17" s="31">
        <v>12</v>
      </c>
      <c r="B17" s="31" t="s">
        <v>69</v>
      </c>
      <c r="C17" s="3"/>
      <c r="D17" s="3"/>
      <c r="E17" s="11"/>
      <c r="F17" s="3">
        <v>616</v>
      </c>
      <c r="G17" s="3">
        <v>707</v>
      </c>
      <c r="H17" s="3">
        <f>G17-F17</f>
        <v>91</v>
      </c>
      <c r="I17" s="3"/>
      <c r="J17" s="3"/>
      <c r="K17" s="3"/>
      <c r="L17" s="93">
        <v>9</v>
      </c>
      <c r="M17" s="3"/>
      <c r="N17" s="3"/>
      <c r="O17" s="3"/>
      <c r="P17" s="3"/>
      <c r="Q17" s="3"/>
      <c r="R17" s="3"/>
      <c r="S17" s="3">
        <v>1055</v>
      </c>
      <c r="T17" s="3">
        <v>1356</v>
      </c>
    </row>
    <row r="18" spans="1:20" s="20" customFormat="1" ht="12.75" customHeight="1">
      <c r="A18" s="31">
        <v>13</v>
      </c>
      <c r="B18" s="32" t="s">
        <v>78</v>
      </c>
      <c r="C18" s="3"/>
      <c r="D18" s="3"/>
      <c r="E18" s="11"/>
      <c r="F18" s="3"/>
      <c r="G18" s="3"/>
      <c r="H18" s="3"/>
      <c r="I18" s="3"/>
      <c r="J18" s="3"/>
      <c r="K18" s="3"/>
      <c r="L18" s="3"/>
      <c r="M18" s="93">
        <v>79</v>
      </c>
      <c r="N18" s="3"/>
      <c r="O18" s="3"/>
      <c r="P18" s="3"/>
      <c r="Q18" s="3"/>
      <c r="R18" s="3"/>
      <c r="S18" s="117"/>
      <c r="T18" s="22"/>
    </row>
    <row r="19" spans="1:20" s="20" customFormat="1" ht="13.5" customHeight="1">
      <c r="A19" s="130" t="s">
        <v>11</v>
      </c>
      <c r="B19" s="131"/>
      <c r="C19" s="3">
        <f>SUM(C6:C16)</f>
        <v>17</v>
      </c>
      <c r="D19" s="3">
        <f>SUM(D6:D17)</f>
        <v>18</v>
      </c>
      <c r="E19" s="11">
        <f>D19-C19</f>
        <v>1</v>
      </c>
      <c r="F19" s="3">
        <f>SUM(F10:F18)</f>
        <v>721</v>
      </c>
      <c r="G19" s="3">
        <f>SUM(G10:G18)</f>
        <v>731</v>
      </c>
      <c r="H19" s="3">
        <f>G19-F19</f>
        <v>10</v>
      </c>
      <c r="I19" s="3">
        <f>SUM(I6:I17)</f>
        <v>36</v>
      </c>
      <c r="J19" s="3">
        <f>SUM(J6:J17)</f>
        <v>178</v>
      </c>
      <c r="K19" s="3">
        <f>SUM(K6:K17)</f>
        <v>0</v>
      </c>
      <c r="L19" s="3">
        <f>SUM(L6:L17)</f>
        <v>11</v>
      </c>
      <c r="M19" s="3">
        <f>SUM(M6:M18)</f>
        <v>79</v>
      </c>
      <c r="N19" s="3">
        <f>SUM(N18)</f>
        <v>0</v>
      </c>
      <c r="O19" s="3">
        <f>SUM(O6:O17)</f>
        <v>0</v>
      </c>
      <c r="P19" s="3">
        <f>SUM(P6:P17)</f>
        <v>0</v>
      </c>
      <c r="Q19" s="3">
        <f>SUM(Q6:Q17)</f>
        <v>102</v>
      </c>
      <c r="R19" s="3">
        <f>SUM(R6:R17)</f>
        <v>213</v>
      </c>
      <c r="S19" s="3">
        <f>SUM(S9:S17)</f>
        <v>1770</v>
      </c>
      <c r="T19" s="3">
        <f>SUM(T6:T17)</f>
        <v>1954</v>
      </c>
    </row>
    <row r="20" ht="14.25">
      <c r="B20" s="76"/>
    </row>
  </sheetData>
  <sheetProtection/>
  <mergeCells count="14">
    <mergeCell ref="C1:R1"/>
    <mergeCell ref="C4:C5"/>
    <mergeCell ref="D4:D5"/>
    <mergeCell ref="F4:F5"/>
    <mergeCell ref="G4:G5"/>
    <mergeCell ref="M4:N4"/>
    <mergeCell ref="O4:P4"/>
    <mergeCell ref="F3:H3"/>
    <mergeCell ref="C3:E3"/>
    <mergeCell ref="Q4:R4"/>
    <mergeCell ref="S4:T4"/>
    <mergeCell ref="I4:J4"/>
    <mergeCell ref="K4:L4"/>
    <mergeCell ref="A19:B19"/>
  </mergeCells>
  <printOptions/>
  <pageMargins left="0.75" right="0.75" top="1" bottom="1" header="0.5" footer="0.5"/>
  <pageSetup horizontalDpi="600" verticalDpi="600" orientation="landscape" paperSize="9" scale="69" r:id="rId1"/>
  <colBreaks count="1" manualBreakCount="1">
    <brk id="2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BreakPreview" zoomScale="75" zoomScaleNormal="65" zoomScaleSheetLayoutView="75" zoomScalePageLayoutView="0" workbookViewId="0" topLeftCell="A1">
      <selection activeCell="L10" sqref="L10"/>
    </sheetView>
  </sheetViews>
  <sheetFormatPr defaultColWidth="9.00390625" defaultRowHeight="12.75"/>
  <cols>
    <col min="1" max="1" width="3.875" style="0" customWidth="1"/>
    <col min="2" max="2" width="31.25390625" style="0" customWidth="1"/>
    <col min="3" max="3" width="10.375" style="0" customWidth="1"/>
    <col min="4" max="4" width="9.75390625" style="0" customWidth="1"/>
    <col min="5" max="5" width="11.625" style="0" customWidth="1"/>
    <col min="6" max="6" width="10.00390625" style="0" customWidth="1"/>
    <col min="7" max="7" width="10.625" style="0" customWidth="1"/>
    <col min="8" max="8" width="10.875" style="0" customWidth="1"/>
    <col min="9" max="9" width="10.375" style="0" customWidth="1"/>
    <col min="10" max="10" width="9.875" style="0" customWidth="1"/>
    <col min="11" max="11" width="10.875" style="0" customWidth="1"/>
  </cols>
  <sheetData>
    <row r="1" spans="1:13" ht="15.75">
      <c r="A1" s="20"/>
      <c r="B1" s="20"/>
      <c r="C1" s="100" t="s">
        <v>103</v>
      </c>
      <c r="D1" s="100"/>
      <c r="E1" s="100"/>
      <c r="F1" s="100"/>
      <c r="G1" s="20"/>
      <c r="H1" s="20"/>
      <c r="I1" s="20"/>
      <c r="J1" s="20"/>
      <c r="K1" s="20"/>
      <c r="L1" s="20"/>
      <c r="M1" s="20"/>
    </row>
    <row r="2" spans="1:13" ht="15">
      <c r="A2" s="20"/>
      <c r="B2" s="20"/>
      <c r="C2" s="165" t="s">
        <v>60</v>
      </c>
      <c r="D2" s="165"/>
      <c r="E2" s="165"/>
      <c r="F2" s="165"/>
      <c r="G2" s="20"/>
      <c r="H2" s="20"/>
      <c r="I2" s="20"/>
      <c r="J2" s="20"/>
      <c r="K2" s="20"/>
      <c r="L2" s="20"/>
      <c r="M2" s="20"/>
    </row>
    <row r="3" spans="1:13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5">
      <c r="A4" s="184" t="s">
        <v>2</v>
      </c>
      <c r="B4" s="184" t="s">
        <v>3</v>
      </c>
      <c r="C4" s="24" t="s">
        <v>22</v>
      </c>
      <c r="D4" s="25"/>
      <c r="E4" s="27"/>
      <c r="F4" s="24"/>
      <c r="G4" s="25"/>
      <c r="H4" s="25" t="s">
        <v>23</v>
      </c>
      <c r="I4" s="25"/>
      <c r="J4" s="25"/>
      <c r="K4" s="27"/>
      <c r="L4" s="20"/>
      <c r="M4" s="20"/>
    </row>
    <row r="5" spans="1:13" ht="15">
      <c r="A5" s="185"/>
      <c r="B5" s="185"/>
      <c r="C5" s="18">
        <v>2010</v>
      </c>
      <c r="D5" s="19">
        <v>2011</v>
      </c>
      <c r="E5" s="19" t="s">
        <v>94</v>
      </c>
      <c r="F5" s="24" t="s">
        <v>26</v>
      </c>
      <c r="G5" s="27"/>
      <c r="H5" s="24" t="s">
        <v>24</v>
      </c>
      <c r="I5" s="27"/>
      <c r="J5" s="24" t="s">
        <v>25</v>
      </c>
      <c r="K5" s="27"/>
      <c r="L5" s="20"/>
      <c r="M5" s="20"/>
    </row>
    <row r="6" spans="1:13" ht="15">
      <c r="A6" s="186"/>
      <c r="B6" s="186"/>
      <c r="C6" s="40"/>
      <c r="D6" s="11"/>
      <c r="E6" s="11" t="s">
        <v>95</v>
      </c>
      <c r="F6" s="18">
        <v>2010</v>
      </c>
      <c r="G6" s="19">
        <v>2011</v>
      </c>
      <c r="H6" s="18">
        <v>2010</v>
      </c>
      <c r="I6" s="19">
        <v>2011</v>
      </c>
      <c r="J6" s="18">
        <v>2010</v>
      </c>
      <c r="K6" s="19">
        <v>2011</v>
      </c>
      <c r="L6" s="20"/>
      <c r="M6" s="20"/>
    </row>
    <row r="7" spans="1:13" ht="16.5">
      <c r="A7" s="31">
        <v>1</v>
      </c>
      <c r="B7" s="31" t="s">
        <v>61</v>
      </c>
      <c r="C7" s="87">
        <v>24.2</v>
      </c>
      <c r="D7" s="87">
        <v>31.7</v>
      </c>
      <c r="E7" s="86">
        <f aca="true" t="shared" si="0" ref="E7:E21">D7*100/C7</f>
        <v>130.9917355371901</v>
      </c>
      <c r="F7" s="87">
        <v>23.6</v>
      </c>
      <c r="G7" s="87">
        <v>28.8</v>
      </c>
      <c r="H7" s="87"/>
      <c r="I7" s="87"/>
      <c r="J7" s="87">
        <v>0.6</v>
      </c>
      <c r="K7" s="87">
        <v>2.9</v>
      </c>
      <c r="L7" s="20"/>
      <c r="M7" s="20"/>
    </row>
    <row r="8" spans="1:13" ht="16.5">
      <c r="A8" s="31">
        <v>2</v>
      </c>
      <c r="B8" s="31" t="s">
        <v>62</v>
      </c>
      <c r="C8" s="87">
        <v>7.8</v>
      </c>
      <c r="D8" s="87">
        <v>14</v>
      </c>
      <c r="E8" s="86">
        <f t="shared" si="0"/>
        <v>179.4871794871795</v>
      </c>
      <c r="F8" s="87">
        <v>7</v>
      </c>
      <c r="G8" s="87">
        <v>14</v>
      </c>
      <c r="H8" s="87"/>
      <c r="I8" s="87"/>
      <c r="J8" s="87">
        <v>0.8</v>
      </c>
      <c r="K8" s="87"/>
      <c r="L8" s="20"/>
      <c r="M8" s="20"/>
    </row>
    <row r="9" spans="1:13" ht="16.5">
      <c r="A9" s="31">
        <v>3</v>
      </c>
      <c r="B9" s="31" t="s">
        <v>63</v>
      </c>
      <c r="C9" s="87">
        <v>1.15</v>
      </c>
      <c r="D9" s="87">
        <v>6.1</v>
      </c>
      <c r="E9" s="86">
        <f t="shared" si="0"/>
        <v>530.4347826086957</v>
      </c>
      <c r="F9" s="87">
        <v>1.15</v>
      </c>
      <c r="G9" s="87">
        <v>6.1</v>
      </c>
      <c r="H9" s="87"/>
      <c r="I9" s="87"/>
      <c r="J9" s="87"/>
      <c r="K9" s="87"/>
      <c r="L9" s="20"/>
      <c r="M9" s="20"/>
    </row>
    <row r="10" spans="1:13" ht="16.5">
      <c r="A10" s="31">
        <v>4</v>
      </c>
      <c r="B10" s="41" t="s">
        <v>64</v>
      </c>
      <c r="C10" s="87">
        <v>69.4</v>
      </c>
      <c r="D10" s="87">
        <v>94.3</v>
      </c>
      <c r="E10" s="86">
        <f t="shared" si="0"/>
        <v>135.87896253602304</v>
      </c>
      <c r="F10" s="87">
        <v>58.4</v>
      </c>
      <c r="G10" s="87">
        <v>73.1</v>
      </c>
      <c r="H10" s="87">
        <v>7.8</v>
      </c>
      <c r="I10" s="87">
        <v>18</v>
      </c>
      <c r="J10" s="87">
        <v>3.2</v>
      </c>
      <c r="K10" s="87">
        <v>3.2</v>
      </c>
      <c r="L10" s="20"/>
      <c r="M10" s="20"/>
    </row>
    <row r="11" spans="1:13" ht="16.5">
      <c r="A11" s="31">
        <v>5</v>
      </c>
      <c r="B11" s="31" t="s">
        <v>65</v>
      </c>
      <c r="C11" s="87">
        <v>55.9</v>
      </c>
      <c r="D11" s="87">
        <v>53.8</v>
      </c>
      <c r="E11" s="86">
        <f t="shared" si="0"/>
        <v>96.2432915921288</v>
      </c>
      <c r="F11" s="87">
        <v>38</v>
      </c>
      <c r="G11" s="87">
        <v>34</v>
      </c>
      <c r="H11" s="87">
        <v>13</v>
      </c>
      <c r="I11" s="87">
        <v>14</v>
      </c>
      <c r="J11" s="87">
        <v>4.9</v>
      </c>
      <c r="K11" s="87">
        <v>5.8</v>
      </c>
      <c r="L11" s="20"/>
      <c r="M11" s="20"/>
    </row>
    <row r="12" spans="1:13" ht="16.5">
      <c r="A12" s="31">
        <v>6</v>
      </c>
      <c r="B12" s="32" t="s">
        <v>81</v>
      </c>
      <c r="C12" s="87">
        <v>17.4</v>
      </c>
      <c r="D12" s="87">
        <v>23.4</v>
      </c>
      <c r="E12" s="86">
        <f t="shared" si="0"/>
        <v>134.48275862068968</v>
      </c>
      <c r="F12" s="88">
        <v>16</v>
      </c>
      <c r="G12" s="88">
        <v>22.3</v>
      </c>
      <c r="H12" s="88"/>
      <c r="I12" s="88"/>
      <c r="J12" s="88">
        <v>1.4</v>
      </c>
      <c r="K12" s="88">
        <v>1.1</v>
      </c>
      <c r="L12" s="20"/>
      <c r="M12" s="20"/>
    </row>
    <row r="13" spans="1:13" ht="16.5">
      <c r="A13" s="31">
        <v>7</v>
      </c>
      <c r="B13" s="32" t="s">
        <v>66</v>
      </c>
      <c r="C13" s="87">
        <v>8.72</v>
      </c>
      <c r="D13" s="87">
        <v>1</v>
      </c>
      <c r="E13" s="86">
        <f t="shared" si="0"/>
        <v>11.467889908256879</v>
      </c>
      <c r="F13" s="88">
        <v>8.27</v>
      </c>
      <c r="G13" s="88">
        <v>1</v>
      </c>
      <c r="H13" s="88"/>
      <c r="I13" s="88"/>
      <c r="J13" s="88">
        <v>0.45</v>
      </c>
      <c r="K13" s="88"/>
      <c r="L13" s="20"/>
      <c r="M13" s="20"/>
    </row>
    <row r="14" spans="1:13" ht="16.5">
      <c r="A14" s="31">
        <v>8</v>
      </c>
      <c r="B14" s="32" t="s">
        <v>102</v>
      </c>
      <c r="C14" s="87"/>
      <c r="D14" s="87">
        <v>1.64</v>
      </c>
      <c r="E14" s="86"/>
      <c r="F14" s="88"/>
      <c r="G14" s="88">
        <v>1.64</v>
      </c>
      <c r="H14" s="88"/>
      <c r="I14" s="88"/>
      <c r="J14" s="88"/>
      <c r="K14" s="88"/>
      <c r="L14" s="20"/>
      <c r="M14" s="20"/>
    </row>
    <row r="15" spans="1:13" ht="16.5">
      <c r="A15" s="31">
        <v>9</v>
      </c>
      <c r="B15" s="32" t="s">
        <v>80</v>
      </c>
      <c r="C15" s="87">
        <v>10.2</v>
      </c>
      <c r="D15" s="87">
        <v>15.39</v>
      </c>
      <c r="E15" s="86">
        <f t="shared" si="0"/>
        <v>150.8823529411765</v>
      </c>
      <c r="F15" s="88">
        <v>10.2</v>
      </c>
      <c r="G15" s="88">
        <v>14.75</v>
      </c>
      <c r="H15" s="88"/>
      <c r="I15" s="88"/>
      <c r="J15" s="88"/>
      <c r="K15" s="88">
        <v>0.64</v>
      </c>
      <c r="L15" s="20"/>
      <c r="M15" s="20"/>
    </row>
    <row r="16" spans="1:13" ht="16.5">
      <c r="A16" s="31">
        <v>10</v>
      </c>
      <c r="B16" s="32" t="s">
        <v>67</v>
      </c>
      <c r="C16" s="87">
        <v>17.5</v>
      </c>
      <c r="D16" s="87">
        <v>14.7</v>
      </c>
      <c r="E16" s="86">
        <f t="shared" si="0"/>
        <v>84</v>
      </c>
      <c r="F16" s="88">
        <v>17.5</v>
      </c>
      <c r="G16" s="88">
        <v>14.7</v>
      </c>
      <c r="H16" s="88"/>
      <c r="I16" s="88"/>
      <c r="J16" s="88"/>
      <c r="K16" s="88"/>
      <c r="L16" s="20"/>
      <c r="M16" s="20"/>
    </row>
    <row r="17" spans="1:13" ht="16.5">
      <c r="A17" s="31">
        <v>11</v>
      </c>
      <c r="B17" s="32" t="s">
        <v>68</v>
      </c>
      <c r="C17" s="87">
        <v>5.4</v>
      </c>
      <c r="D17" s="87">
        <v>11.6</v>
      </c>
      <c r="E17" s="86">
        <f t="shared" si="0"/>
        <v>214.8148148148148</v>
      </c>
      <c r="F17" s="88">
        <v>5.2</v>
      </c>
      <c r="G17" s="88">
        <v>11.2</v>
      </c>
      <c r="H17" s="88"/>
      <c r="I17" s="88"/>
      <c r="J17" s="88">
        <v>0.2</v>
      </c>
      <c r="K17" s="88">
        <v>0.4</v>
      </c>
      <c r="L17" s="20"/>
      <c r="M17" s="20"/>
    </row>
    <row r="18" spans="1:13" ht="16.5">
      <c r="A18" s="31">
        <v>12</v>
      </c>
      <c r="B18" s="32" t="s">
        <v>69</v>
      </c>
      <c r="C18" s="87">
        <v>521</v>
      </c>
      <c r="D18" s="87">
        <v>680</v>
      </c>
      <c r="E18" s="86">
        <f t="shared" si="0"/>
        <v>130.51823416506718</v>
      </c>
      <c r="F18" s="88"/>
      <c r="G18" s="88"/>
      <c r="H18" s="88">
        <v>521</v>
      </c>
      <c r="I18" s="88">
        <v>680</v>
      </c>
      <c r="J18" s="88"/>
      <c r="K18" s="88"/>
      <c r="L18" s="20"/>
      <c r="M18" s="20"/>
    </row>
    <row r="19" spans="1:13" ht="16.5">
      <c r="A19" s="31">
        <v>13</v>
      </c>
      <c r="B19" s="32" t="s">
        <v>91</v>
      </c>
      <c r="C19" s="87"/>
      <c r="D19" s="87">
        <v>0.5</v>
      </c>
      <c r="E19" s="86"/>
      <c r="F19" s="88"/>
      <c r="G19" s="88"/>
      <c r="H19" s="88"/>
      <c r="I19" s="88">
        <v>0.5</v>
      </c>
      <c r="J19" s="88"/>
      <c r="K19" s="88"/>
      <c r="L19" s="20"/>
      <c r="M19" s="20"/>
    </row>
    <row r="20" spans="1:13" ht="18">
      <c r="A20" s="31">
        <v>14</v>
      </c>
      <c r="B20" s="32" t="s">
        <v>78</v>
      </c>
      <c r="C20" s="87">
        <v>1</v>
      </c>
      <c r="D20" s="87">
        <v>3.1</v>
      </c>
      <c r="E20" s="86">
        <f t="shared" si="0"/>
        <v>310</v>
      </c>
      <c r="F20" s="16"/>
      <c r="G20" s="88"/>
      <c r="H20" s="16"/>
      <c r="I20" s="88"/>
      <c r="J20" s="88">
        <v>1</v>
      </c>
      <c r="K20" s="88">
        <v>3.1</v>
      </c>
      <c r="L20" s="20"/>
      <c r="M20" s="20"/>
    </row>
    <row r="21" spans="1:13" ht="16.5">
      <c r="A21" s="130" t="s">
        <v>11</v>
      </c>
      <c r="B21" s="131"/>
      <c r="C21" s="90">
        <f>SUM(C7:C20)</f>
        <v>739.6700000000001</v>
      </c>
      <c r="D21" s="90">
        <f>SUM(D7:D20)</f>
        <v>951.23</v>
      </c>
      <c r="E21" s="86">
        <f t="shared" si="0"/>
        <v>128.6019441102113</v>
      </c>
      <c r="F21" s="89">
        <f>SUM(F7:F18)</f>
        <v>185.32</v>
      </c>
      <c r="G21" s="90">
        <f>SUM(G7:G18)</f>
        <v>221.58999999999997</v>
      </c>
      <c r="H21" s="90">
        <f>SUM(H7:H20)</f>
        <v>541.8</v>
      </c>
      <c r="I21" s="90">
        <f>SUM(I7:I20)</f>
        <v>712.5</v>
      </c>
      <c r="J21" s="90">
        <f>SUM(J7:J20)</f>
        <v>12.549999999999999</v>
      </c>
      <c r="K21" s="90">
        <f>SUM(K7:K20)</f>
        <v>17.14</v>
      </c>
      <c r="L21" s="124"/>
      <c r="M21" s="20"/>
    </row>
  </sheetData>
  <sheetProtection/>
  <mergeCells count="4">
    <mergeCell ref="C2:F2"/>
    <mergeCell ref="A21:B21"/>
    <mergeCell ref="A4:A6"/>
    <mergeCell ref="B4:B6"/>
  </mergeCells>
  <printOptions/>
  <pageMargins left="0.75" right="0.75" top="1" bottom="1" header="0.5" footer="0.5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="75" zoomScaleNormal="75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L19" sqref="L19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4" width="7.125" style="0" customWidth="1"/>
    <col min="5" max="5" width="8.25390625" style="0" customWidth="1"/>
    <col min="6" max="7" width="7.125" style="0" customWidth="1"/>
    <col min="8" max="8" width="6.375" style="0" customWidth="1"/>
    <col min="9" max="10" width="10.25390625" style="0" customWidth="1"/>
    <col min="11" max="11" width="8.25390625" style="0" customWidth="1"/>
    <col min="12" max="12" width="11.125" style="0" customWidth="1"/>
    <col min="13" max="13" width="10.625" style="0" customWidth="1"/>
    <col min="14" max="14" width="7.875" style="0" customWidth="1"/>
    <col min="15" max="15" width="7.00390625" style="0" customWidth="1"/>
    <col min="16" max="16" width="7.125" style="0" customWidth="1"/>
    <col min="17" max="17" width="8.625" style="0" customWidth="1"/>
    <col min="18" max="18" width="6.375" style="0" customWidth="1"/>
    <col min="19" max="19" width="6.25390625" style="0" customWidth="1"/>
    <col min="20" max="20" width="8.75390625" style="0" customWidth="1"/>
  </cols>
  <sheetData>
    <row r="1" spans="2:20" ht="1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2:20" ht="15.75">
      <c r="B2" s="20"/>
      <c r="C2" s="20"/>
      <c r="D2" s="20"/>
      <c r="E2" s="20"/>
      <c r="F2" s="20"/>
      <c r="G2" s="1" t="s">
        <v>111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2:20" ht="15">
      <c r="B3" s="20"/>
      <c r="C3" s="20"/>
      <c r="D3" s="20"/>
      <c r="E3" s="20"/>
      <c r="F3" s="20"/>
      <c r="G3" s="20"/>
      <c r="H3" s="20"/>
      <c r="I3" s="20" t="s">
        <v>58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5">
      <c r="A4" s="81"/>
      <c r="B4" s="23" t="s">
        <v>3</v>
      </c>
      <c r="C4" s="26" t="s">
        <v>71</v>
      </c>
      <c r="D4" s="110"/>
      <c r="E4" s="110"/>
      <c r="F4" s="108"/>
      <c r="G4" s="108"/>
      <c r="H4" s="111"/>
      <c r="I4" s="103" t="s">
        <v>49</v>
      </c>
      <c r="J4" s="108"/>
      <c r="K4" s="110"/>
      <c r="L4" s="108"/>
      <c r="M4" s="108"/>
      <c r="N4" s="111"/>
      <c r="O4" s="103" t="s">
        <v>50</v>
      </c>
      <c r="P4" s="108"/>
      <c r="Q4" s="110"/>
      <c r="R4" s="108"/>
      <c r="S4" s="108"/>
      <c r="T4" s="111"/>
    </row>
    <row r="5" spans="1:20" ht="15" customHeight="1">
      <c r="A5" s="82" t="s">
        <v>2</v>
      </c>
      <c r="B5" s="33"/>
      <c r="C5" s="25" t="s">
        <v>51</v>
      </c>
      <c r="D5" s="108"/>
      <c r="E5" s="139" t="s">
        <v>100</v>
      </c>
      <c r="F5" s="103" t="s">
        <v>52</v>
      </c>
      <c r="G5" s="107"/>
      <c r="H5" s="139" t="s">
        <v>100</v>
      </c>
      <c r="I5" s="142" t="s">
        <v>51</v>
      </c>
      <c r="J5" s="142"/>
      <c r="K5" s="139" t="s">
        <v>100</v>
      </c>
      <c r="L5" s="142" t="s">
        <v>52</v>
      </c>
      <c r="M5" s="142"/>
      <c r="N5" s="139" t="s">
        <v>100</v>
      </c>
      <c r="O5" s="108" t="s">
        <v>51</v>
      </c>
      <c r="P5" s="108"/>
      <c r="Q5" s="139" t="s">
        <v>100</v>
      </c>
      <c r="R5" s="143" t="s">
        <v>52</v>
      </c>
      <c r="S5" s="144"/>
      <c r="T5" s="139" t="s">
        <v>100</v>
      </c>
    </row>
    <row r="6" spans="1:20" ht="15">
      <c r="A6" s="82" t="s">
        <v>77</v>
      </c>
      <c r="B6" s="33"/>
      <c r="C6" s="135">
        <v>2010</v>
      </c>
      <c r="D6" s="137">
        <v>2011</v>
      </c>
      <c r="E6" s="140"/>
      <c r="F6" s="137">
        <v>2010</v>
      </c>
      <c r="G6" s="137">
        <v>2011</v>
      </c>
      <c r="H6" s="140"/>
      <c r="I6" s="137">
        <v>2010</v>
      </c>
      <c r="J6" s="137">
        <v>2011</v>
      </c>
      <c r="K6" s="140"/>
      <c r="L6" s="137">
        <v>2010</v>
      </c>
      <c r="M6" s="137">
        <v>2011</v>
      </c>
      <c r="N6" s="140"/>
      <c r="O6" s="137">
        <v>2010</v>
      </c>
      <c r="P6" s="137">
        <v>2011</v>
      </c>
      <c r="Q6" s="140"/>
      <c r="R6" s="137">
        <v>2010</v>
      </c>
      <c r="S6" s="137">
        <v>2011</v>
      </c>
      <c r="T6" s="140"/>
    </row>
    <row r="7" spans="1:20" ht="15">
      <c r="A7" s="83"/>
      <c r="B7" s="29"/>
      <c r="C7" s="136"/>
      <c r="D7" s="138"/>
      <c r="E7" s="141"/>
      <c r="F7" s="138"/>
      <c r="G7" s="138"/>
      <c r="H7" s="141"/>
      <c r="I7" s="138"/>
      <c r="J7" s="138"/>
      <c r="K7" s="141"/>
      <c r="L7" s="138"/>
      <c r="M7" s="138"/>
      <c r="N7" s="141"/>
      <c r="O7" s="138"/>
      <c r="P7" s="138"/>
      <c r="Q7" s="141"/>
      <c r="R7" s="138"/>
      <c r="S7" s="138"/>
      <c r="T7" s="141"/>
    </row>
    <row r="8" spans="1:20" ht="15">
      <c r="A8" s="2">
        <v>1</v>
      </c>
      <c r="B8" s="22" t="s">
        <v>61</v>
      </c>
      <c r="C8" s="3">
        <v>222</v>
      </c>
      <c r="D8" s="3">
        <v>192</v>
      </c>
      <c r="E8" s="36">
        <f aca="true" t="shared" si="0" ref="E8:E18">D8/C8*100</f>
        <v>86.48648648648648</v>
      </c>
      <c r="F8" s="3"/>
      <c r="G8" s="3"/>
      <c r="H8" s="36"/>
      <c r="I8" s="3">
        <v>45177</v>
      </c>
      <c r="J8" s="3">
        <v>47618</v>
      </c>
      <c r="K8" s="36">
        <f>J8*100/I8</f>
        <v>105.40319188967838</v>
      </c>
      <c r="L8" s="3"/>
      <c r="M8" s="3"/>
      <c r="N8" s="36"/>
      <c r="O8" s="36">
        <f aca="true" t="shared" si="1" ref="O8:O18">C8/I8*100000</f>
        <v>491.4004914004914</v>
      </c>
      <c r="P8" s="36">
        <f aca="true" t="shared" si="2" ref="P8:P17">D8/J8*100000</f>
        <v>403.20887059515314</v>
      </c>
      <c r="Q8" s="36">
        <f aca="true" t="shared" si="3" ref="Q8:Q18">P8/O8*100</f>
        <v>82.05300516611366</v>
      </c>
      <c r="R8" s="36"/>
      <c r="S8" s="36"/>
      <c r="T8" s="36"/>
    </row>
    <row r="9" spans="1:20" ht="15">
      <c r="A9" s="2">
        <v>2</v>
      </c>
      <c r="B9" s="22" t="s">
        <v>62</v>
      </c>
      <c r="C9" s="3">
        <v>71.1</v>
      </c>
      <c r="D9" s="3">
        <v>100.76</v>
      </c>
      <c r="E9" s="36">
        <f t="shared" si="0"/>
        <v>141.7158931082982</v>
      </c>
      <c r="F9" s="3"/>
      <c r="G9" s="3"/>
      <c r="H9" s="36"/>
      <c r="I9" s="3">
        <v>26618</v>
      </c>
      <c r="J9" s="3">
        <v>37816</v>
      </c>
      <c r="K9" s="36">
        <f aca="true" t="shared" si="4" ref="K9:K21">J9*100/I9</f>
        <v>142.0692764294838</v>
      </c>
      <c r="L9" s="3"/>
      <c r="M9" s="3"/>
      <c r="N9" s="36"/>
      <c r="O9" s="36">
        <f t="shared" si="1"/>
        <v>267.1124802765046</v>
      </c>
      <c r="P9" s="36">
        <f t="shared" si="2"/>
        <v>266.4480643114026</v>
      </c>
      <c r="Q9" s="36">
        <f t="shared" si="3"/>
        <v>99.75125985711554</v>
      </c>
      <c r="R9" s="36"/>
      <c r="S9" s="36"/>
      <c r="T9" s="36"/>
    </row>
    <row r="10" spans="1:20" ht="15">
      <c r="A10" s="2">
        <v>3</v>
      </c>
      <c r="B10" s="37" t="s">
        <v>63</v>
      </c>
      <c r="C10" s="19">
        <v>52</v>
      </c>
      <c r="D10" s="19">
        <v>85</v>
      </c>
      <c r="E10" s="36">
        <f t="shared" si="0"/>
        <v>163.46153846153845</v>
      </c>
      <c r="F10" s="19"/>
      <c r="G10" s="19"/>
      <c r="H10" s="36"/>
      <c r="I10" s="3">
        <v>10174</v>
      </c>
      <c r="J10" s="3">
        <v>13024</v>
      </c>
      <c r="K10" s="36">
        <f t="shared" si="4"/>
        <v>128.0125810890505</v>
      </c>
      <c r="L10" s="19"/>
      <c r="M10" s="19"/>
      <c r="N10" s="92"/>
      <c r="O10" s="36">
        <f t="shared" si="1"/>
        <v>511.106742677413</v>
      </c>
      <c r="P10" s="36">
        <f t="shared" si="2"/>
        <v>652.6412776412776</v>
      </c>
      <c r="Q10" s="36">
        <f t="shared" si="3"/>
        <v>127.6917761292761</v>
      </c>
      <c r="R10" s="92"/>
      <c r="S10" s="92"/>
      <c r="T10" s="92"/>
    </row>
    <row r="11" spans="1:20" ht="15">
      <c r="A11" s="2">
        <v>4</v>
      </c>
      <c r="B11" s="22" t="s">
        <v>64</v>
      </c>
      <c r="C11" s="3">
        <v>529.2</v>
      </c>
      <c r="D11" s="3">
        <v>542.4</v>
      </c>
      <c r="E11" s="36">
        <f t="shared" si="0"/>
        <v>102.49433106575962</v>
      </c>
      <c r="F11" s="3">
        <v>197.2</v>
      </c>
      <c r="G11" s="3">
        <v>233.4</v>
      </c>
      <c r="H11" s="36">
        <f>G11/F11*100</f>
        <v>118.35699797160244</v>
      </c>
      <c r="I11" s="3">
        <v>129974</v>
      </c>
      <c r="J11" s="3">
        <v>125598</v>
      </c>
      <c r="K11" s="36">
        <f t="shared" si="4"/>
        <v>96.63317278840384</v>
      </c>
      <c r="L11" s="3">
        <v>52618</v>
      </c>
      <c r="M11" s="3">
        <v>54982</v>
      </c>
      <c r="N11" s="36">
        <f>M11/L11*100</f>
        <v>104.49275913185603</v>
      </c>
      <c r="O11" s="36">
        <f t="shared" si="1"/>
        <v>407.15835474787264</v>
      </c>
      <c r="P11" s="36">
        <f t="shared" si="2"/>
        <v>431.85401041417856</v>
      </c>
      <c r="Q11" s="36">
        <f t="shared" si="3"/>
        <v>106.0653687633644</v>
      </c>
      <c r="R11" s="36">
        <f>F11/L11*100000</f>
        <v>374.7766923866357</v>
      </c>
      <c r="S11" s="36">
        <f>G11/M11*100000</f>
        <v>424.5025644756466</v>
      </c>
      <c r="T11" s="36">
        <f>S11/R11*100</f>
        <v>113.26813355770575</v>
      </c>
    </row>
    <row r="12" spans="1:20" ht="15">
      <c r="A12" s="2">
        <v>5</v>
      </c>
      <c r="B12" s="22" t="s">
        <v>65</v>
      </c>
      <c r="C12" s="93">
        <v>284</v>
      </c>
      <c r="D12" s="93">
        <v>193</v>
      </c>
      <c r="E12" s="94">
        <f t="shared" si="0"/>
        <v>67.95774647887323</v>
      </c>
      <c r="F12" s="93">
        <v>77</v>
      </c>
      <c r="G12" s="93">
        <v>157</v>
      </c>
      <c r="H12" s="36">
        <f>G12/F12*100</f>
        <v>203.89610389610388</v>
      </c>
      <c r="I12" s="3">
        <v>55508</v>
      </c>
      <c r="J12" s="3">
        <v>38746</v>
      </c>
      <c r="K12" s="36">
        <f t="shared" si="4"/>
        <v>69.80255098364199</v>
      </c>
      <c r="L12" s="3">
        <v>23056</v>
      </c>
      <c r="M12" s="3">
        <v>41362</v>
      </c>
      <c r="N12" s="36">
        <f>M12/L12*100</f>
        <v>179.39798750867453</v>
      </c>
      <c r="O12" s="36">
        <f t="shared" si="1"/>
        <v>511.6379620955538</v>
      </c>
      <c r="P12" s="36">
        <f t="shared" si="2"/>
        <v>498.11593454808235</v>
      </c>
      <c r="Q12" s="36">
        <f t="shared" si="3"/>
        <v>97.3571101932921</v>
      </c>
      <c r="R12" s="36">
        <f>F12/L12*100000</f>
        <v>333.96946564885496</v>
      </c>
      <c r="S12" s="36">
        <f>G12/M12*100000</f>
        <v>379.5754557323147</v>
      </c>
      <c r="T12" s="36">
        <f>S12/R12*100</f>
        <v>113.65573645927594</v>
      </c>
    </row>
    <row r="13" spans="1:20" ht="15">
      <c r="A13" s="2">
        <v>6</v>
      </c>
      <c r="B13" s="38" t="s">
        <v>81</v>
      </c>
      <c r="C13" s="93">
        <v>78.98</v>
      </c>
      <c r="D13" s="93">
        <v>121.31</v>
      </c>
      <c r="E13" s="94">
        <f t="shared" si="0"/>
        <v>153.59584704988606</v>
      </c>
      <c r="F13" s="93"/>
      <c r="G13" s="93"/>
      <c r="H13" s="94"/>
      <c r="I13" s="93">
        <v>30173</v>
      </c>
      <c r="J13" s="93">
        <v>34770</v>
      </c>
      <c r="K13" s="36">
        <f t="shared" si="4"/>
        <v>115.23547542504889</v>
      </c>
      <c r="L13" s="93"/>
      <c r="M13" s="93"/>
      <c r="N13" s="94"/>
      <c r="O13" s="36">
        <f t="shared" si="1"/>
        <v>261.7572001458257</v>
      </c>
      <c r="P13" s="36">
        <f t="shared" si="2"/>
        <v>348.89272361230945</v>
      </c>
      <c r="Q13" s="36">
        <f t="shared" si="3"/>
        <v>133.28868257222354</v>
      </c>
      <c r="R13" s="36"/>
      <c r="S13" s="36"/>
      <c r="T13" s="94"/>
    </row>
    <row r="14" spans="1:20" ht="15">
      <c r="A14" s="2">
        <v>7</v>
      </c>
      <c r="B14" s="38" t="s">
        <v>66</v>
      </c>
      <c r="C14" s="93">
        <v>90.7</v>
      </c>
      <c r="D14" s="93">
        <v>52.7</v>
      </c>
      <c r="E14" s="94">
        <f t="shared" si="0"/>
        <v>58.10363836824697</v>
      </c>
      <c r="F14" s="93"/>
      <c r="G14" s="93"/>
      <c r="H14" s="94"/>
      <c r="I14" s="93">
        <v>26013</v>
      </c>
      <c r="J14" s="93">
        <v>24150</v>
      </c>
      <c r="K14" s="36">
        <f t="shared" si="4"/>
        <v>92.83819628647215</v>
      </c>
      <c r="L14" s="93"/>
      <c r="M14" s="93"/>
      <c r="N14" s="94"/>
      <c r="O14" s="36">
        <f t="shared" si="1"/>
        <v>348.67181793718527</v>
      </c>
      <c r="P14" s="36">
        <f t="shared" si="2"/>
        <v>218.2194616977226</v>
      </c>
      <c r="Q14" s="94">
        <f t="shared" si="3"/>
        <v>62.585919042368886</v>
      </c>
      <c r="R14" s="36"/>
      <c r="S14" s="3"/>
      <c r="T14" s="94"/>
    </row>
    <row r="15" spans="1:20" ht="15">
      <c r="A15" s="2">
        <v>8</v>
      </c>
      <c r="B15" s="32" t="s">
        <v>102</v>
      </c>
      <c r="C15" s="93"/>
      <c r="D15" s="93">
        <v>36.51</v>
      </c>
      <c r="E15" s="94"/>
      <c r="F15" s="93"/>
      <c r="G15" s="93"/>
      <c r="H15" s="94"/>
      <c r="I15" s="93"/>
      <c r="J15" s="93">
        <v>13067</v>
      </c>
      <c r="K15" s="36"/>
      <c r="L15" s="93"/>
      <c r="M15" s="93"/>
      <c r="N15" s="94"/>
      <c r="O15" s="36"/>
      <c r="P15" s="36">
        <f t="shared" si="2"/>
        <v>279.4061375985306</v>
      </c>
      <c r="Q15" s="94"/>
      <c r="R15" s="36"/>
      <c r="S15" s="3"/>
      <c r="T15" s="94"/>
    </row>
    <row r="16" spans="1:20" s="72" customFormat="1" ht="15">
      <c r="A16" s="2">
        <v>9</v>
      </c>
      <c r="B16" s="32" t="s">
        <v>80</v>
      </c>
      <c r="C16" s="93">
        <v>221.6</v>
      </c>
      <c r="D16" s="95">
        <v>109.15</v>
      </c>
      <c r="E16" s="96">
        <f t="shared" si="0"/>
        <v>49.25541516245488</v>
      </c>
      <c r="F16" s="95"/>
      <c r="G16" s="95"/>
      <c r="H16" s="96"/>
      <c r="I16" s="95">
        <v>34299</v>
      </c>
      <c r="J16" s="95">
        <v>26389</v>
      </c>
      <c r="K16" s="36">
        <f t="shared" si="4"/>
        <v>76.93810315169539</v>
      </c>
      <c r="L16" s="95"/>
      <c r="M16" s="95"/>
      <c r="N16" s="96"/>
      <c r="O16" s="36">
        <f t="shared" si="1"/>
        <v>646.0829761800635</v>
      </c>
      <c r="P16" s="36">
        <f t="shared" si="2"/>
        <v>413.61931107658495</v>
      </c>
      <c r="Q16" s="96">
        <f t="shared" si="3"/>
        <v>64.01953407317595</v>
      </c>
      <c r="R16" s="36"/>
      <c r="S16" s="36"/>
      <c r="T16" s="36"/>
    </row>
    <row r="17" spans="1:20" ht="15">
      <c r="A17" s="2">
        <v>10</v>
      </c>
      <c r="B17" s="38" t="s">
        <v>67</v>
      </c>
      <c r="C17" s="95">
        <v>118</v>
      </c>
      <c r="D17" s="93">
        <v>133</v>
      </c>
      <c r="E17" s="94">
        <f t="shared" si="0"/>
        <v>112.71186440677967</v>
      </c>
      <c r="F17" s="93"/>
      <c r="G17" s="93"/>
      <c r="H17" s="94"/>
      <c r="I17" s="93">
        <v>23917</v>
      </c>
      <c r="J17" s="93">
        <v>34261</v>
      </c>
      <c r="K17" s="36">
        <f t="shared" si="4"/>
        <v>143.24957143454446</v>
      </c>
      <c r="L17" s="93"/>
      <c r="M17" s="93"/>
      <c r="N17" s="94"/>
      <c r="O17" s="36">
        <f t="shared" si="1"/>
        <v>493.3729146632103</v>
      </c>
      <c r="P17" s="36">
        <f t="shared" si="2"/>
        <v>388.1964916377222</v>
      </c>
      <c r="Q17" s="94">
        <f t="shared" si="3"/>
        <v>78.68216517372375</v>
      </c>
      <c r="R17" s="36"/>
      <c r="S17" s="36"/>
      <c r="T17" s="94"/>
    </row>
    <row r="18" spans="1:20" ht="15">
      <c r="A18" s="2">
        <v>11</v>
      </c>
      <c r="B18" s="38" t="s">
        <v>68</v>
      </c>
      <c r="C18" s="93">
        <v>71.1</v>
      </c>
      <c r="D18" s="93">
        <v>63.5</v>
      </c>
      <c r="E18" s="94">
        <f t="shared" si="0"/>
        <v>89.31082981715895</v>
      </c>
      <c r="F18" s="93"/>
      <c r="G18" s="93"/>
      <c r="H18" s="94"/>
      <c r="I18" s="93">
        <v>26618</v>
      </c>
      <c r="J18" s="93">
        <v>11711</v>
      </c>
      <c r="K18" s="36">
        <f t="shared" si="4"/>
        <v>43.99654369223833</v>
      </c>
      <c r="L18" s="93"/>
      <c r="M18" s="93"/>
      <c r="N18" s="94"/>
      <c r="O18" s="36">
        <f t="shared" si="1"/>
        <v>267.1124802765046</v>
      </c>
      <c r="P18" s="36">
        <f>D18/J18*100000</f>
        <v>542.2252583041584</v>
      </c>
      <c r="Q18" s="94">
        <f t="shared" si="3"/>
        <v>202.99510443797595</v>
      </c>
      <c r="R18" s="36"/>
      <c r="S18" s="36"/>
      <c r="T18" s="94"/>
    </row>
    <row r="19" spans="1:20" ht="15">
      <c r="A19" s="2">
        <v>12</v>
      </c>
      <c r="B19" s="84" t="s">
        <v>69</v>
      </c>
      <c r="C19" s="93"/>
      <c r="D19" s="93"/>
      <c r="E19" s="94"/>
      <c r="F19" s="93">
        <v>5816</v>
      </c>
      <c r="G19" s="93">
        <v>6759</v>
      </c>
      <c r="H19" s="94">
        <f>G19/F19*100</f>
        <v>116.21389270976617</v>
      </c>
      <c r="I19" s="3"/>
      <c r="J19" s="93"/>
      <c r="K19" s="36"/>
      <c r="L19" s="93">
        <v>1527475</v>
      </c>
      <c r="M19" s="93">
        <v>1772599</v>
      </c>
      <c r="N19" s="94">
        <f>M19/L19*100</f>
        <v>116.04766035450662</v>
      </c>
      <c r="O19" s="36"/>
      <c r="P19" s="36"/>
      <c r="Q19" s="94"/>
      <c r="R19" s="36">
        <f>F19/L19*100000</f>
        <v>380.75909589354984</v>
      </c>
      <c r="S19" s="36">
        <f>G19/M19*100000</f>
        <v>381.30451388046595</v>
      </c>
      <c r="T19" s="94">
        <f>S19/R19*100</f>
        <v>100.14324490020026</v>
      </c>
    </row>
    <row r="20" spans="1:20" ht="15">
      <c r="A20" s="2">
        <v>13</v>
      </c>
      <c r="B20" s="32" t="s">
        <v>91</v>
      </c>
      <c r="C20" s="102"/>
      <c r="D20" s="93"/>
      <c r="E20" s="94"/>
      <c r="F20" s="93">
        <v>8</v>
      </c>
      <c r="G20" s="93">
        <v>15</v>
      </c>
      <c r="H20" s="94"/>
      <c r="I20" s="3"/>
      <c r="J20" s="93"/>
      <c r="K20" s="36"/>
      <c r="L20" s="93">
        <v>3600</v>
      </c>
      <c r="M20" s="93">
        <v>18704</v>
      </c>
      <c r="N20" s="94"/>
      <c r="O20" s="36"/>
      <c r="P20" s="36"/>
      <c r="Q20" s="94"/>
      <c r="R20" s="36"/>
      <c r="S20" s="36">
        <f>G20/M20*100000</f>
        <v>80.196749358426</v>
      </c>
      <c r="T20" s="94"/>
    </row>
    <row r="21" spans="1:20" ht="15">
      <c r="A21" s="85"/>
      <c r="B21" s="27" t="s">
        <v>11</v>
      </c>
      <c r="C21" s="97">
        <f>SUM(C8:C19)</f>
        <v>1738.68</v>
      </c>
      <c r="D21" s="3">
        <f>SUM(D8:D19)</f>
        <v>1629.33</v>
      </c>
      <c r="E21" s="36">
        <f>D21/C21*100</f>
        <v>93.71074608323555</v>
      </c>
      <c r="F21" s="36">
        <f>SUM(F11:F20)</f>
        <v>6098.2</v>
      </c>
      <c r="G21" s="3">
        <f>SUM(G8:G20)</f>
        <v>7164.4</v>
      </c>
      <c r="H21" s="36">
        <f>G21/F21*100</f>
        <v>117.48384769276178</v>
      </c>
      <c r="I21" s="3">
        <f>SUM(I8:I18)</f>
        <v>408471</v>
      </c>
      <c r="J21" s="3">
        <f>SUM(J8:J19)</f>
        <v>407150</v>
      </c>
      <c r="K21" s="36">
        <f t="shared" si="4"/>
        <v>99.67659882831339</v>
      </c>
      <c r="L21" s="3">
        <f>SUM(L11:L20)</f>
        <v>1606749</v>
      </c>
      <c r="M21" s="3">
        <f>SUM(M8:M20)</f>
        <v>1887647</v>
      </c>
      <c r="N21" s="36">
        <f>M21/L21*100</f>
        <v>117.48238212689101</v>
      </c>
      <c r="O21" s="36">
        <f>C21/I21*100000</f>
        <v>425.6556769023995</v>
      </c>
      <c r="P21" s="36">
        <f>D21/J21*100000</f>
        <v>400.17929510008594</v>
      </c>
      <c r="Q21" s="36">
        <f>P21/O21*100</f>
        <v>94.01479101894954</v>
      </c>
      <c r="R21" s="36">
        <f>F21/L21*100000</f>
        <v>379.536567316986</v>
      </c>
      <c r="S21" s="36">
        <f>G21/M21*100000</f>
        <v>379.5413019489343</v>
      </c>
      <c r="T21" s="36">
        <f>S21/R21*100</f>
        <v>100.00124747714871</v>
      </c>
    </row>
  </sheetData>
  <sheetProtection/>
  <mergeCells count="21">
    <mergeCell ref="T5:T7"/>
    <mergeCell ref="L5:M5"/>
    <mergeCell ref="R5:S5"/>
    <mergeCell ref="L6:L7"/>
    <mergeCell ref="M6:M7"/>
    <mergeCell ref="O6:O7"/>
    <mergeCell ref="P6:P7"/>
    <mergeCell ref="S6:S7"/>
    <mergeCell ref="Q5:Q7"/>
    <mergeCell ref="G6:G7"/>
    <mergeCell ref="H5:H7"/>
    <mergeCell ref="N5:N7"/>
    <mergeCell ref="R6:R7"/>
    <mergeCell ref="F6:F7"/>
    <mergeCell ref="C6:C7"/>
    <mergeCell ref="D6:D7"/>
    <mergeCell ref="K5:K7"/>
    <mergeCell ref="E5:E7"/>
    <mergeCell ref="I5:J5"/>
    <mergeCell ref="I6:I7"/>
    <mergeCell ref="J6:J7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75" zoomScaleNormal="50" zoomScaleSheetLayoutView="75" zoomScalePageLayoutView="0" workbookViewId="0" topLeftCell="A1">
      <selection activeCell="M16" sqref="M16"/>
    </sheetView>
  </sheetViews>
  <sheetFormatPr defaultColWidth="9.00390625" defaultRowHeight="12.75"/>
  <cols>
    <col min="1" max="1" width="3.625" style="0" customWidth="1"/>
    <col min="2" max="2" width="29.625" style="0" customWidth="1"/>
    <col min="3" max="3" width="7.25390625" style="0" customWidth="1"/>
    <col min="4" max="4" width="7.125" style="0" customWidth="1"/>
    <col min="5" max="5" width="8.125" style="0" customWidth="1"/>
    <col min="6" max="6" width="7.125" style="0" customWidth="1"/>
    <col min="7" max="7" width="6.25390625" style="0" customWidth="1"/>
    <col min="8" max="8" width="8.75390625" style="0" customWidth="1"/>
    <col min="9" max="9" width="7.25390625" style="0" customWidth="1"/>
    <col min="10" max="10" width="6.25390625" style="0" customWidth="1"/>
    <col min="11" max="11" width="8.875" style="0" customWidth="1"/>
    <col min="12" max="13" width="8.75390625" style="0" customWidth="1"/>
    <col min="14" max="14" width="9.125" style="75" customWidth="1"/>
  </cols>
  <sheetData>
    <row r="1" ht="15.75">
      <c r="C1" s="1" t="s">
        <v>110</v>
      </c>
    </row>
    <row r="2" spans="1:12" ht="15">
      <c r="A2" s="20"/>
      <c r="B2" s="20"/>
      <c r="C2" s="20"/>
      <c r="D2" s="20"/>
      <c r="E2" s="20"/>
      <c r="F2" s="20"/>
      <c r="G2" s="20"/>
      <c r="H2" s="10" t="s">
        <v>57</v>
      </c>
      <c r="I2" s="20"/>
      <c r="J2" s="20"/>
      <c r="K2" s="20"/>
      <c r="L2" s="20"/>
    </row>
    <row r="3" spans="1:14" ht="15" customHeight="1">
      <c r="A3" s="23" t="s">
        <v>2</v>
      </c>
      <c r="B3" s="23" t="s">
        <v>3</v>
      </c>
      <c r="C3" s="25"/>
      <c r="D3" s="25" t="s">
        <v>54</v>
      </c>
      <c r="E3" s="27"/>
      <c r="F3" s="145" t="s">
        <v>10</v>
      </c>
      <c r="G3" s="146"/>
      <c r="H3" s="147"/>
      <c r="I3" s="25" t="s">
        <v>6</v>
      </c>
      <c r="J3" s="21" t="s">
        <v>7</v>
      </c>
      <c r="K3" s="150" t="s">
        <v>74</v>
      </c>
      <c r="L3" s="151"/>
      <c r="M3" s="152"/>
      <c r="N3" s="148"/>
    </row>
    <row r="4" spans="1:14" ht="15">
      <c r="A4" s="33"/>
      <c r="B4" s="33"/>
      <c r="C4" s="9">
        <v>2010</v>
      </c>
      <c r="D4" s="42">
        <v>2011</v>
      </c>
      <c r="E4" s="19" t="s">
        <v>4</v>
      </c>
      <c r="F4" s="9">
        <v>2010</v>
      </c>
      <c r="G4" s="42">
        <v>2011</v>
      </c>
      <c r="H4" s="19" t="s">
        <v>4</v>
      </c>
      <c r="I4" s="9">
        <v>2010</v>
      </c>
      <c r="J4" s="42">
        <v>2011</v>
      </c>
      <c r="K4" s="153" t="s">
        <v>1</v>
      </c>
      <c r="L4" s="153" t="s">
        <v>75</v>
      </c>
      <c r="M4" s="155" t="s">
        <v>76</v>
      </c>
      <c r="N4" s="149"/>
    </row>
    <row r="5" spans="1:14" ht="15">
      <c r="A5" s="29"/>
      <c r="B5" s="29"/>
      <c r="C5" s="28"/>
      <c r="D5" s="35"/>
      <c r="E5" s="11">
        <v>2010</v>
      </c>
      <c r="F5" s="28"/>
      <c r="G5" s="35"/>
      <c r="H5" s="11">
        <v>2010</v>
      </c>
      <c r="I5" s="35"/>
      <c r="J5" s="29"/>
      <c r="K5" s="154"/>
      <c r="L5" s="154"/>
      <c r="M5" s="155"/>
      <c r="N5" s="149"/>
    </row>
    <row r="6" spans="1:14" ht="15">
      <c r="A6" s="3">
        <v>1</v>
      </c>
      <c r="B6" s="22" t="s">
        <v>61</v>
      </c>
      <c r="C6" s="3"/>
      <c r="D6" s="3"/>
      <c r="E6" s="36"/>
      <c r="F6" s="3">
        <v>28</v>
      </c>
      <c r="G6" s="3">
        <v>19</v>
      </c>
      <c r="H6" s="94">
        <f aca="true" t="shared" si="0" ref="H6:H18">G6*100/F6</f>
        <v>67.85714285714286</v>
      </c>
      <c r="I6" s="36">
        <f>F6+(C6*0.2)+('численность 1'!M6*0.3)+'численность 1'!G6+(('численность 1'!C6-'численность 1'!G6)*0.6)</f>
        <v>317.8</v>
      </c>
      <c r="J6" s="36">
        <f>G6+(D6*0.2)+('численность 1'!N6*0.3)+'численность 1'!H6+(('численность 1'!D6-'численность 1'!H6)*0.6)</f>
        <v>294.4</v>
      </c>
      <c r="K6" s="3">
        <v>8520</v>
      </c>
      <c r="L6" s="3">
        <v>1872</v>
      </c>
      <c r="M6" s="36"/>
      <c r="N6" s="80"/>
    </row>
    <row r="7" spans="1:14" ht="15">
      <c r="A7" s="3">
        <v>2</v>
      </c>
      <c r="B7" s="22" t="s">
        <v>62</v>
      </c>
      <c r="C7" s="3"/>
      <c r="D7" s="3"/>
      <c r="E7" s="36"/>
      <c r="F7" s="3">
        <v>5</v>
      </c>
      <c r="G7" s="3">
        <v>5</v>
      </c>
      <c r="H7" s="94">
        <f t="shared" si="0"/>
        <v>100</v>
      </c>
      <c r="I7" s="36">
        <f>F7+(C7*0.2)+('численность 1'!M7*0.3)+'численность 1'!G7+(('численность 1'!C7-'численность 1'!G7)*0.6)</f>
        <v>181.39999999999998</v>
      </c>
      <c r="J7" s="36">
        <f>G7+(D7*0.2)+('численность 1'!N7*0.3)+'численность 1'!H7+(('численность 1'!D7-'численность 1'!H7)*0.6)</f>
        <v>177.8</v>
      </c>
      <c r="K7" s="3">
        <v>10302</v>
      </c>
      <c r="L7" s="3">
        <v>2440</v>
      </c>
      <c r="M7" s="36"/>
      <c r="N7" s="80"/>
    </row>
    <row r="8" spans="1:14" ht="15">
      <c r="A8" s="3">
        <v>3</v>
      </c>
      <c r="B8" s="22" t="s">
        <v>63</v>
      </c>
      <c r="C8" s="3"/>
      <c r="D8" s="3"/>
      <c r="E8" s="36"/>
      <c r="F8" s="3">
        <v>21</v>
      </c>
      <c r="G8" s="3">
        <v>1</v>
      </c>
      <c r="H8" s="94">
        <f t="shared" si="0"/>
        <v>4.761904761904762</v>
      </c>
      <c r="I8" s="36">
        <f>F8+(C8*0.2)+('численность 1'!M8*0.3)+'численность 1'!G8+(('численность 1'!C8-'численность 1'!G8)*0.6)</f>
        <v>112.8</v>
      </c>
      <c r="J8" s="36">
        <f>G8+(D8*0.2)+('численность 1'!N8*0.3)+'численность 1'!H8+(('численность 1'!D8-'численность 1'!H8)*0.6)</f>
        <v>100</v>
      </c>
      <c r="K8" s="3">
        <v>1912</v>
      </c>
      <c r="L8" s="3">
        <v>700</v>
      </c>
      <c r="M8" s="36"/>
      <c r="N8" s="80"/>
    </row>
    <row r="9" spans="1:14" ht="15">
      <c r="A9" s="3">
        <v>4</v>
      </c>
      <c r="B9" s="22" t="s">
        <v>64</v>
      </c>
      <c r="C9" s="3"/>
      <c r="D9" s="3"/>
      <c r="E9" s="3"/>
      <c r="F9" s="3">
        <v>29</v>
      </c>
      <c r="G9" s="3">
        <v>18</v>
      </c>
      <c r="H9" s="94">
        <f t="shared" si="0"/>
        <v>62.06896551724138</v>
      </c>
      <c r="I9" s="36">
        <f>F9+(C9*0.2)+('численность 1'!M9*0.3)+'численность 1'!G9+(('численность 1'!C9-'численность 1'!G9)*0.6)</f>
        <v>838.6</v>
      </c>
      <c r="J9" s="36">
        <f>G9+(D9*0.2)+('численность 1'!N9*0.3)+'численность 1'!H9+(('численность 1'!D9-'численность 1'!H9)*0.6)</f>
        <v>763.4000000000001</v>
      </c>
      <c r="K9" s="93">
        <v>16912</v>
      </c>
      <c r="L9" s="93">
        <v>6442</v>
      </c>
      <c r="M9" s="94"/>
      <c r="N9" s="80"/>
    </row>
    <row r="10" spans="1:14" ht="15">
      <c r="A10" s="3">
        <v>5</v>
      </c>
      <c r="B10" s="22" t="s">
        <v>65</v>
      </c>
      <c r="C10" s="91">
        <v>154</v>
      </c>
      <c r="D10" s="3">
        <v>168</v>
      </c>
      <c r="E10" s="94">
        <f>D10*100/C10</f>
        <v>109.0909090909091</v>
      </c>
      <c r="F10" s="3">
        <v>49</v>
      </c>
      <c r="G10" s="3">
        <v>18</v>
      </c>
      <c r="H10" s="94">
        <f t="shared" si="0"/>
        <v>36.734693877551024</v>
      </c>
      <c r="I10" s="36">
        <f>F10+(C10*0.2)+('численность 1'!M10*0.3)+'численность 1'!G10+(('численность 1'!C10-'численность 1'!G10)*0.6)</f>
        <v>654.1</v>
      </c>
      <c r="J10" s="36">
        <f>G10+(C10*0.2)+('численность 1'!N10*0.3)+'численность 1'!H10+(('численность 1'!D10-'численность 1'!H10)*0.6)</f>
        <v>528.6</v>
      </c>
      <c r="K10" s="3">
        <v>12340</v>
      </c>
      <c r="L10" s="3">
        <v>5900</v>
      </c>
      <c r="M10" s="36"/>
      <c r="N10" s="80"/>
    </row>
    <row r="11" spans="1:14" ht="15">
      <c r="A11" s="3">
        <v>6</v>
      </c>
      <c r="B11" s="38" t="s">
        <v>81</v>
      </c>
      <c r="C11" s="93"/>
      <c r="D11" s="93"/>
      <c r="E11" s="94"/>
      <c r="F11" s="3">
        <v>16</v>
      </c>
      <c r="G11" s="3">
        <v>9</v>
      </c>
      <c r="H11" s="94">
        <f t="shared" si="0"/>
        <v>56.25</v>
      </c>
      <c r="I11" s="36">
        <f>F11+(C11*0.2)+('численность 1'!M11*0.3)+'численность 1'!G11+(('численность 1'!C11-'численность 1'!G11)*0.6)</f>
        <v>255.79999999999998</v>
      </c>
      <c r="J11" s="36">
        <f>G11+(C11*0.2)+('численность 1'!N11*0.3)+'численность 1'!H11+(('численность 1'!D11-'численность 1'!H11)*0.6)</f>
        <v>209.2</v>
      </c>
      <c r="K11" s="93">
        <v>14030</v>
      </c>
      <c r="L11" s="93">
        <v>2160</v>
      </c>
      <c r="M11" s="94"/>
      <c r="N11" s="80"/>
    </row>
    <row r="12" spans="1:14" ht="15">
      <c r="A12" s="3">
        <v>7</v>
      </c>
      <c r="B12" s="38" t="s">
        <v>66</v>
      </c>
      <c r="C12" s="93"/>
      <c r="D12" s="93"/>
      <c r="E12" s="94"/>
      <c r="F12" s="93">
        <v>3</v>
      </c>
      <c r="G12" s="93">
        <v>3</v>
      </c>
      <c r="H12" s="94">
        <f t="shared" si="0"/>
        <v>100</v>
      </c>
      <c r="I12" s="36">
        <f>F12+(C12*0.2)+('численность 1'!M12*0.3)+'численность 1'!G12+(('численность 1'!C12-'численность 1'!G12)*0.6)</f>
        <v>114</v>
      </c>
      <c r="J12" s="36">
        <f>G12+(C12*0.2)+('численность 1'!N12*0.3)+'численность 1'!H12+(('численность 1'!D12-'численность 1'!H12)*0.6)</f>
        <v>63</v>
      </c>
      <c r="K12" s="93"/>
      <c r="L12" s="93"/>
      <c r="M12" s="36"/>
      <c r="N12" s="80"/>
    </row>
    <row r="13" spans="1:14" ht="15">
      <c r="A13" s="3">
        <v>8</v>
      </c>
      <c r="B13" s="32" t="s">
        <v>102</v>
      </c>
      <c r="C13" s="93"/>
      <c r="D13" s="93"/>
      <c r="E13" s="94"/>
      <c r="F13" s="93"/>
      <c r="G13" s="93"/>
      <c r="H13" s="94"/>
      <c r="I13" s="36">
        <f>F13+(C13*0.2)+('численность 1'!M13*0.3)+'численность 1'!G13+(('численность 1'!C13-'численность 1'!G13)*0.6)</f>
        <v>0</v>
      </c>
      <c r="J13" s="36">
        <f>G13+(C13*0.2)+('численность 1'!N13*0.3)+'численность 1'!H13+(('численность 1'!D13-'численность 1'!H13)*0.6)</f>
        <v>89.6</v>
      </c>
      <c r="K13" s="93">
        <v>4704</v>
      </c>
      <c r="L13" s="93">
        <v>60</v>
      </c>
      <c r="M13" s="36"/>
      <c r="N13" s="80"/>
    </row>
    <row r="14" spans="1:14" ht="15">
      <c r="A14" s="3">
        <v>9</v>
      </c>
      <c r="B14" s="32" t="s">
        <v>80</v>
      </c>
      <c r="C14" s="93">
        <v>125</v>
      </c>
      <c r="D14" s="93">
        <v>134</v>
      </c>
      <c r="E14" s="94">
        <f>D14*100/C14</f>
        <v>107.2</v>
      </c>
      <c r="F14" s="3">
        <v>5</v>
      </c>
      <c r="G14" s="3">
        <v>6</v>
      </c>
      <c r="H14" s="94">
        <f t="shared" si="0"/>
        <v>120</v>
      </c>
      <c r="I14" s="36">
        <f>F14+(C14*0.2)+('численность 1'!M14*0.3)+'численность 1'!G14+(('численность 1'!C14-'численность 1'!G14)*0.6)</f>
        <v>178.8</v>
      </c>
      <c r="J14" s="36">
        <f>G14+(C14*0.2)+('численность 1'!N14*0.3)+'численность 1'!H14+(('численность 1'!D14-'численность 1'!H14)*0.6)</f>
        <v>203.2</v>
      </c>
      <c r="K14" s="93">
        <v>9453</v>
      </c>
      <c r="L14" s="93">
        <v>3600</v>
      </c>
      <c r="M14" s="36"/>
      <c r="N14" s="80"/>
    </row>
    <row r="15" spans="1:14" ht="15">
      <c r="A15" s="3">
        <v>10</v>
      </c>
      <c r="B15" s="38" t="s">
        <v>67</v>
      </c>
      <c r="C15" s="93"/>
      <c r="D15" s="93"/>
      <c r="E15" s="94"/>
      <c r="F15" s="3">
        <v>8</v>
      </c>
      <c r="G15" s="3">
        <v>5</v>
      </c>
      <c r="H15" s="94">
        <f t="shared" si="0"/>
        <v>62.5</v>
      </c>
      <c r="I15" s="36">
        <f>F15+(C15*0.2)+('численность 1'!M15*0.3)+'численность 1'!G15+(('численность 1'!C15-'численность 1'!G15)*0.6)</f>
        <v>192.6</v>
      </c>
      <c r="J15" s="36">
        <f>G15+(C15*0.2)+('численность 1'!N15*0.3)+'численность 1'!H15+(('численность 1'!D15-'численность 1'!H15)*0.6)</f>
        <v>190.2</v>
      </c>
      <c r="K15" s="93">
        <v>6547</v>
      </c>
      <c r="L15" s="93">
        <v>1500</v>
      </c>
      <c r="M15" s="36"/>
      <c r="N15" s="80"/>
    </row>
    <row r="16" spans="1:14" ht="15">
      <c r="A16" s="3">
        <v>11</v>
      </c>
      <c r="B16" s="38" t="s">
        <v>68</v>
      </c>
      <c r="C16" s="93"/>
      <c r="D16" s="93"/>
      <c r="E16" s="94"/>
      <c r="F16" s="3">
        <v>2</v>
      </c>
      <c r="G16" s="3">
        <v>1</v>
      </c>
      <c r="H16" s="94">
        <f t="shared" si="0"/>
        <v>50</v>
      </c>
      <c r="I16" s="36">
        <f>F16+(C16*0.2)+('численность 1'!M16*0.3)+'численность 1'!G16+(('численность 1'!C16-'численность 1'!G16)*0.6)</f>
        <v>63.2</v>
      </c>
      <c r="J16" s="36">
        <f>G16+(C16*0.2)+('численность 1'!N16*0.3)+'численность 1'!H16+(('численность 1'!D16-'численность 1'!H16)*0.6)</f>
        <v>51.4</v>
      </c>
      <c r="K16" s="93">
        <v>3005</v>
      </c>
      <c r="L16" s="93">
        <v>500</v>
      </c>
      <c r="M16" s="36"/>
      <c r="N16" s="80"/>
    </row>
    <row r="17" spans="1:14" ht="15">
      <c r="A17" s="3">
        <v>12</v>
      </c>
      <c r="B17" s="38" t="s">
        <v>69</v>
      </c>
      <c r="C17" s="93"/>
      <c r="D17" s="93"/>
      <c r="E17" s="94"/>
      <c r="F17" s="3">
        <v>1</v>
      </c>
      <c r="G17" s="3">
        <v>1</v>
      </c>
      <c r="H17" s="94">
        <f t="shared" si="0"/>
        <v>100</v>
      </c>
      <c r="I17" s="36">
        <f>F17+(C17*0.2)+('численность 1'!M17*0.3)+'численность 1'!G17+(('численность 1'!C17-'численность 1'!G17)*0.6)</f>
        <v>2676.4</v>
      </c>
      <c r="J17" s="36">
        <f>G17+(C17*0.2)+('численность 1'!N17*0.3)+'численность 1'!H17+(('численность 1'!D17-'численность 1'!H17)*0.6)</f>
        <v>2788</v>
      </c>
      <c r="K17" s="93">
        <v>16714</v>
      </c>
      <c r="L17" s="93">
        <v>16714</v>
      </c>
      <c r="M17" s="94"/>
      <c r="N17" s="80"/>
    </row>
    <row r="18" spans="1:14" ht="15">
      <c r="A18" s="3">
        <v>13</v>
      </c>
      <c r="B18" s="32" t="s">
        <v>78</v>
      </c>
      <c r="C18" s="93"/>
      <c r="D18" s="93"/>
      <c r="E18" s="94"/>
      <c r="F18" s="3">
        <v>93</v>
      </c>
      <c r="G18" s="3">
        <v>139</v>
      </c>
      <c r="H18" s="94">
        <f t="shared" si="0"/>
        <v>149.46236559139786</v>
      </c>
      <c r="I18" s="36">
        <f>F18+(C18*0.2)+('численность 1'!M18*0.3)+'численность 1'!G18+(('численность 1'!C18-'численность 1'!G18)*0.6)</f>
        <v>93</v>
      </c>
      <c r="J18" s="36">
        <f>G18+(C18*0.2)+('численность 1'!N18*0.3)+'численность 1'!H18+(('численность 1'!D18-'численность 1'!H18)*0.6)</f>
        <v>139</v>
      </c>
      <c r="K18" s="93">
        <v>6898</v>
      </c>
      <c r="L18" s="93"/>
      <c r="M18" s="36"/>
      <c r="N18" s="80"/>
    </row>
    <row r="19" spans="1:14" ht="15">
      <c r="A19" s="3">
        <v>14</v>
      </c>
      <c r="B19" s="32" t="s">
        <v>91</v>
      </c>
      <c r="C19" s="93"/>
      <c r="D19" s="93"/>
      <c r="E19" s="94"/>
      <c r="F19" s="3"/>
      <c r="G19" s="3"/>
      <c r="H19" s="94"/>
      <c r="I19" s="36"/>
      <c r="J19" s="36">
        <f>G19+(C19*0.2)+('численность 1'!N19*0.3)+'численность 1'!H19+(('численность 1'!D19-'численность 1'!H19)*0.6)</f>
        <v>28.5</v>
      </c>
      <c r="K19" s="93">
        <v>10</v>
      </c>
      <c r="L19" s="93">
        <v>10</v>
      </c>
      <c r="M19" s="36">
        <v>10</v>
      </c>
      <c r="N19" s="80"/>
    </row>
    <row r="20" spans="1:14" ht="15">
      <c r="A20" s="130" t="s">
        <v>11</v>
      </c>
      <c r="B20" s="131"/>
      <c r="C20" s="3">
        <f>SUM(C6:C17)</f>
        <v>279</v>
      </c>
      <c r="D20" s="3">
        <f>SUM(D6:D17)</f>
        <v>302</v>
      </c>
      <c r="E20" s="36">
        <f>D20/C20*100</f>
        <v>108.24372759856631</v>
      </c>
      <c r="F20" s="3">
        <f>SUM(F6:F18)</f>
        <v>260</v>
      </c>
      <c r="G20" s="3">
        <f>SUM(G6:G18)</f>
        <v>225</v>
      </c>
      <c r="H20" s="94">
        <f>G20*100/F20</f>
        <v>86.53846153846153</v>
      </c>
      <c r="I20" s="36">
        <f>F20+(C20*0.2)+('численность 1'!M20*0.3)+'численность 1'!G20+(('численность 1'!C20-'численность 1'!G20)*0.6)</f>
        <v>5705.500000000001</v>
      </c>
      <c r="J20" s="36">
        <f>G20+(D20*0.2)+('численность 1'!N20*0.3)+'численность 1'!H20+(('численность 1'!D20-'численность 1'!H20)*0.6)</f>
        <v>5630.9</v>
      </c>
      <c r="K20" s="3">
        <f>SUM(K6:K19)</f>
        <v>111347</v>
      </c>
      <c r="L20" s="3">
        <f>SUM(L6:L19)</f>
        <v>41898</v>
      </c>
      <c r="M20" s="36">
        <f>SUM(M6:M19)</f>
        <v>10</v>
      </c>
      <c r="N20" s="80"/>
    </row>
  </sheetData>
  <sheetProtection/>
  <mergeCells count="7">
    <mergeCell ref="A20:B20"/>
    <mergeCell ref="F3:H3"/>
    <mergeCell ref="N3:N5"/>
    <mergeCell ref="K3:M3"/>
    <mergeCell ref="K4:K5"/>
    <mergeCell ref="L4:L5"/>
    <mergeCell ref="M4:M5"/>
  </mergeCells>
  <printOptions/>
  <pageMargins left="0.75" right="0.75" top="1" bottom="1" header="0.5" footer="0.5"/>
  <pageSetup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0"/>
  <sheetViews>
    <sheetView view="pageBreakPreview" zoomScale="60" zoomScaleNormal="50" zoomScalePageLayoutView="0" workbookViewId="0" topLeftCell="A1">
      <selection activeCell="L16" sqref="L16"/>
    </sheetView>
  </sheetViews>
  <sheetFormatPr defaultColWidth="9.00390625" defaultRowHeight="12.75"/>
  <cols>
    <col min="1" max="1" width="5.25390625" style="0" customWidth="1"/>
    <col min="2" max="2" width="34.125" style="0" customWidth="1"/>
    <col min="3" max="3" width="9.75390625" style="0" customWidth="1"/>
    <col min="4" max="4" width="9.875" style="0" customWidth="1"/>
    <col min="5" max="5" width="10.75390625" style="0" customWidth="1"/>
    <col min="6" max="6" width="11.75390625" style="0" customWidth="1"/>
    <col min="7" max="7" width="9.875" style="0" customWidth="1"/>
    <col min="8" max="8" width="9.75390625" style="0" customWidth="1"/>
    <col min="9" max="9" width="10.75390625" style="0" customWidth="1"/>
    <col min="10" max="10" width="9.75390625" style="0" customWidth="1"/>
    <col min="11" max="11" width="9.875" style="0" customWidth="1"/>
    <col min="12" max="12" width="10.75390625" style="0" customWidth="1"/>
    <col min="13" max="13" width="9.875" style="0" customWidth="1"/>
    <col min="14" max="14" width="9.75390625" style="0" customWidth="1"/>
    <col min="15" max="15" width="10.75390625" style="0" customWidth="1"/>
    <col min="16" max="17" width="9.75390625" style="0" customWidth="1"/>
    <col min="18" max="18" width="10.875" style="0" customWidth="1"/>
    <col min="19" max="20" width="9.75390625" style="0" customWidth="1"/>
    <col min="21" max="21" width="10.625" style="0" customWidth="1"/>
    <col min="22" max="22" width="7.00390625" style="0" customWidth="1"/>
    <col min="23" max="23" width="14.25390625" style="0" customWidth="1"/>
    <col min="24" max="24" width="6.375" style="0" customWidth="1"/>
    <col min="25" max="25" width="6.00390625" style="0" customWidth="1"/>
    <col min="26" max="26" width="6.875" style="0" customWidth="1"/>
    <col min="27" max="27" width="7.375" style="0" customWidth="1"/>
    <col min="28" max="28" width="7.125" style="0" customWidth="1"/>
    <col min="29" max="29" width="10.00390625" style="0" hidden="1" customWidth="1"/>
    <col min="30" max="31" width="8.25390625" style="0" customWidth="1"/>
    <col min="32" max="32" width="8.125" style="0" customWidth="1"/>
    <col min="33" max="33" width="8.625" style="0" customWidth="1"/>
    <col min="34" max="34" width="3.25390625" style="0" customWidth="1"/>
    <col min="35" max="35" width="22.375" style="0" customWidth="1"/>
    <col min="36" max="36" width="7.125" style="0" customWidth="1"/>
    <col min="37" max="38" width="6.625" style="0" customWidth="1"/>
    <col min="39" max="39" width="7.00390625" style="0" customWidth="1"/>
  </cols>
  <sheetData>
    <row r="1" spans="5:18" ht="20.25">
      <c r="E1" s="47" t="s">
        <v>109</v>
      </c>
      <c r="F1" s="47"/>
      <c r="G1" s="47"/>
      <c r="H1" s="46"/>
      <c r="I1" s="46"/>
      <c r="J1" s="46"/>
      <c r="K1" s="46"/>
      <c r="L1" s="46"/>
      <c r="M1" s="46"/>
      <c r="N1" s="46"/>
      <c r="O1" s="46"/>
      <c r="P1" s="14"/>
      <c r="Q1" s="43"/>
      <c r="R1" s="1"/>
    </row>
    <row r="2" spans="5:17" ht="20.25">
      <c r="E2" s="46"/>
      <c r="F2" s="46"/>
      <c r="G2" s="46"/>
      <c r="H2" s="48" t="s">
        <v>56</v>
      </c>
      <c r="I2" s="48"/>
      <c r="J2" s="48"/>
      <c r="K2" s="48"/>
      <c r="L2" s="48"/>
      <c r="M2" s="48"/>
      <c r="N2" s="46"/>
      <c r="O2" s="46"/>
      <c r="P2" s="14"/>
      <c r="Q2" s="14"/>
    </row>
    <row r="3" spans="1:21" s="20" customFormat="1" ht="44.25" customHeight="1">
      <c r="A3" s="23" t="s">
        <v>2</v>
      </c>
      <c r="B3" s="137" t="s">
        <v>3</v>
      </c>
      <c r="C3" s="125" t="s">
        <v>83</v>
      </c>
      <c r="D3" s="159"/>
      <c r="E3" s="160"/>
      <c r="F3" s="139" t="s">
        <v>82</v>
      </c>
      <c r="G3" s="125" t="s">
        <v>8</v>
      </c>
      <c r="H3" s="159"/>
      <c r="I3" s="160"/>
      <c r="J3" s="161" t="s">
        <v>73</v>
      </c>
      <c r="K3" s="162"/>
      <c r="L3" s="163"/>
      <c r="M3" s="125" t="s">
        <v>9</v>
      </c>
      <c r="N3" s="159"/>
      <c r="O3" s="159"/>
      <c r="P3" s="159"/>
      <c r="Q3" s="159"/>
      <c r="R3" s="159"/>
      <c r="S3" s="159"/>
      <c r="T3" s="159"/>
      <c r="U3" s="160"/>
    </row>
    <row r="4" spans="1:21" s="20" customFormat="1" ht="23.25" customHeight="1">
      <c r="A4" s="33"/>
      <c r="B4" s="158"/>
      <c r="C4" s="137">
        <v>2010</v>
      </c>
      <c r="D4" s="137">
        <v>2011</v>
      </c>
      <c r="E4" s="106" t="s">
        <v>4</v>
      </c>
      <c r="F4" s="140"/>
      <c r="G4" s="137">
        <v>2010</v>
      </c>
      <c r="H4" s="137">
        <v>2011</v>
      </c>
      <c r="I4" s="106" t="s">
        <v>4</v>
      </c>
      <c r="J4" s="137">
        <v>2010</v>
      </c>
      <c r="K4" s="137">
        <v>2011</v>
      </c>
      <c r="L4" s="139" t="s">
        <v>99</v>
      </c>
      <c r="M4" s="137">
        <v>2010</v>
      </c>
      <c r="N4" s="137">
        <v>2011</v>
      </c>
      <c r="O4" s="139" t="s">
        <v>99</v>
      </c>
      <c r="P4" s="103" t="s">
        <v>5</v>
      </c>
      <c r="Q4" s="107" t="s">
        <v>72</v>
      </c>
      <c r="R4" s="139" t="s">
        <v>99</v>
      </c>
      <c r="S4" s="103" t="s">
        <v>53</v>
      </c>
      <c r="T4" s="108"/>
      <c r="U4" s="139" t="s">
        <v>99</v>
      </c>
    </row>
    <row r="5" spans="1:21" s="20" customFormat="1" ht="23.25" customHeight="1">
      <c r="A5" s="29"/>
      <c r="B5" s="138"/>
      <c r="C5" s="157"/>
      <c r="D5" s="157"/>
      <c r="E5" s="109">
        <v>2010</v>
      </c>
      <c r="F5" s="141"/>
      <c r="G5" s="157"/>
      <c r="H5" s="157"/>
      <c r="I5" s="109">
        <v>2010</v>
      </c>
      <c r="J5" s="157"/>
      <c r="K5" s="157"/>
      <c r="L5" s="156"/>
      <c r="M5" s="157"/>
      <c r="N5" s="157"/>
      <c r="O5" s="156"/>
      <c r="P5" s="104">
        <v>2010</v>
      </c>
      <c r="Q5" s="104">
        <v>2011</v>
      </c>
      <c r="R5" s="156"/>
      <c r="S5" s="104">
        <v>2010</v>
      </c>
      <c r="T5" s="104">
        <v>2011</v>
      </c>
      <c r="U5" s="156"/>
    </row>
    <row r="6" spans="1:34" s="20" customFormat="1" ht="24.75" customHeight="1">
      <c r="A6" s="3">
        <v>1</v>
      </c>
      <c r="B6" s="22" t="s">
        <v>61</v>
      </c>
      <c r="C6" s="3">
        <v>363</v>
      </c>
      <c r="D6" s="3">
        <v>339</v>
      </c>
      <c r="E6" s="36">
        <f aca="true" t="shared" si="0" ref="E6:E16">D6*100/C6</f>
        <v>93.38842975206612</v>
      </c>
      <c r="F6" s="3"/>
      <c r="G6" s="3">
        <v>180</v>
      </c>
      <c r="H6" s="3">
        <v>180</v>
      </c>
      <c r="I6" s="36">
        <f aca="true" t="shared" si="1" ref="I6:I16">H6*100/G6</f>
        <v>100</v>
      </c>
      <c r="J6" s="3">
        <v>180</v>
      </c>
      <c r="K6" s="3">
        <v>180</v>
      </c>
      <c r="L6" s="36">
        <f aca="true" t="shared" si="2" ref="L6:L20">K6*100/J6</f>
        <v>100</v>
      </c>
      <c r="M6" s="69"/>
      <c r="N6" s="3"/>
      <c r="O6" s="36"/>
      <c r="P6" s="69"/>
      <c r="Q6" s="3"/>
      <c r="R6" s="36"/>
      <c r="S6" s="116"/>
      <c r="T6" s="36"/>
      <c r="U6" s="36"/>
      <c r="AH6" s="91"/>
    </row>
    <row r="7" spans="1:34" s="20" customFormat="1" ht="24.75" customHeight="1">
      <c r="A7" s="3">
        <v>2</v>
      </c>
      <c r="B7" s="22" t="s">
        <v>62</v>
      </c>
      <c r="C7" s="3">
        <v>224</v>
      </c>
      <c r="D7" s="3">
        <v>218</v>
      </c>
      <c r="E7" s="36">
        <f t="shared" si="0"/>
        <v>97.32142857142857</v>
      </c>
      <c r="F7" s="3">
        <v>17</v>
      </c>
      <c r="G7" s="3">
        <v>105</v>
      </c>
      <c r="H7" s="3">
        <v>105</v>
      </c>
      <c r="I7" s="36">
        <f t="shared" si="1"/>
        <v>100</v>
      </c>
      <c r="J7" s="3">
        <v>105</v>
      </c>
      <c r="K7" s="3">
        <v>105</v>
      </c>
      <c r="L7" s="36">
        <f t="shared" si="2"/>
        <v>100</v>
      </c>
      <c r="M7" s="69"/>
      <c r="N7" s="3"/>
      <c r="O7" s="36"/>
      <c r="P7" s="69"/>
      <c r="Q7" s="3"/>
      <c r="R7" s="36"/>
      <c r="S7" s="116"/>
      <c r="T7" s="36"/>
      <c r="U7" s="36"/>
      <c r="AH7" s="91"/>
    </row>
    <row r="8" spans="1:34" s="20" customFormat="1" ht="24.75" customHeight="1">
      <c r="A8" s="3">
        <v>3</v>
      </c>
      <c r="B8" s="22" t="s">
        <v>63</v>
      </c>
      <c r="C8" s="3">
        <v>113</v>
      </c>
      <c r="D8" s="3">
        <v>125</v>
      </c>
      <c r="E8" s="36">
        <f t="shared" si="0"/>
        <v>110.61946902654867</v>
      </c>
      <c r="F8" s="93">
        <v>4</v>
      </c>
      <c r="G8" s="3">
        <v>60</v>
      </c>
      <c r="H8" s="3">
        <v>60</v>
      </c>
      <c r="I8" s="36">
        <f t="shared" si="1"/>
        <v>100</v>
      </c>
      <c r="J8" s="3">
        <v>55</v>
      </c>
      <c r="K8" s="3">
        <v>60</v>
      </c>
      <c r="L8" s="36">
        <f t="shared" si="2"/>
        <v>109.0909090909091</v>
      </c>
      <c r="M8" s="69"/>
      <c r="N8" s="3"/>
      <c r="O8" s="105"/>
      <c r="P8" s="69"/>
      <c r="Q8" s="3"/>
      <c r="R8" s="36"/>
      <c r="S8" s="116"/>
      <c r="T8" s="36"/>
      <c r="U8" s="36"/>
      <c r="AH8" s="91"/>
    </row>
    <row r="9" spans="1:34" s="20" customFormat="1" ht="24.75" customHeight="1">
      <c r="A9" s="3">
        <v>4</v>
      </c>
      <c r="B9" s="22" t="s">
        <v>64</v>
      </c>
      <c r="C9" s="3">
        <v>873</v>
      </c>
      <c r="D9" s="3">
        <v>806</v>
      </c>
      <c r="E9" s="36">
        <f t="shared" si="0"/>
        <v>92.32531500572738</v>
      </c>
      <c r="F9" s="3">
        <v>42</v>
      </c>
      <c r="G9" s="3">
        <v>308</v>
      </c>
      <c r="H9" s="3">
        <v>308</v>
      </c>
      <c r="I9" s="36">
        <f t="shared" si="1"/>
        <v>100</v>
      </c>
      <c r="J9" s="3">
        <v>304</v>
      </c>
      <c r="K9" s="3">
        <v>308</v>
      </c>
      <c r="L9" s="36">
        <f t="shared" si="2"/>
        <v>101.3157894736842</v>
      </c>
      <c r="M9" s="3">
        <v>542</v>
      </c>
      <c r="N9" s="3">
        <v>462</v>
      </c>
      <c r="O9" s="36">
        <f>N9*100/M9</f>
        <v>85.23985239852398</v>
      </c>
      <c r="P9" s="3">
        <v>27</v>
      </c>
      <c r="Q9" s="3">
        <v>20</v>
      </c>
      <c r="R9" s="36">
        <f>Q9*100/P9</f>
        <v>74.07407407407408</v>
      </c>
      <c r="S9" s="3">
        <v>30</v>
      </c>
      <c r="T9" s="3">
        <v>24</v>
      </c>
      <c r="U9" s="36">
        <f>T9*100/S9</f>
        <v>80</v>
      </c>
      <c r="AH9" s="91"/>
    </row>
    <row r="10" spans="1:34" s="20" customFormat="1" ht="24.75" customHeight="1">
      <c r="A10" s="3">
        <v>5</v>
      </c>
      <c r="B10" s="22" t="s">
        <v>65</v>
      </c>
      <c r="C10" s="3">
        <v>574</v>
      </c>
      <c r="D10" s="3">
        <v>426</v>
      </c>
      <c r="E10" s="36">
        <f t="shared" si="0"/>
        <v>74.21602787456446</v>
      </c>
      <c r="F10" s="93">
        <v>2</v>
      </c>
      <c r="G10" s="3">
        <v>280</v>
      </c>
      <c r="H10" s="3">
        <v>280</v>
      </c>
      <c r="I10" s="36">
        <f t="shared" si="1"/>
        <v>100</v>
      </c>
      <c r="J10" s="3">
        <v>256</v>
      </c>
      <c r="K10" s="3">
        <v>280</v>
      </c>
      <c r="L10" s="36">
        <f t="shared" si="2"/>
        <v>109.375</v>
      </c>
      <c r="M10" s="3">
        <v>393</v>
      </c>
      <c r="N10" s="3">
        <v>374</v>
      </c>
      <c r="O10" s="36">
        <f>N10*100/M10</f>
        <v>95.16539440203562</v>
      </c>
      <c r="P10" s="3">
        <v>80</v>
      </c>
      <c r="Q10" s="3">
        <v>80</v>
      </c>
      <c r="R10" s="36">
        <f>Q10*100/P10</f>
        <v>100</v>
      </c>
      <c r="S10" s="3">
        <v>44</v>
      </c>
      <c r="T10" s="3">
        <v>8</v>
      </c>
      <c r="U10" s="36">
        <f>T10*100/S10</f>
        <v>18.181818181818183</v>
      </c>
      <c r="AH10" s="91"/>
    </row>
    <row r="11" spans="1:34" s="20" customFormat="1" ht="24.75" customHeight="1">
      <c r="A11" s="3">
        <v>6</v>
      </c>
      <c r="B11" s="38" t="s">
        <v>81</v>
      </c>
      <c r="C11" s="3">
        <v>343</v>
      </c>
      <c r="D11" s="3">
        <v>277</v>
      </c>
      <c r="E11" s="36">
        <f t="shared" si="0"/>
        <v>80.75801749271137</v>
      </c>
      <c r="F11" s="93">
        <v>26</v>
      </c>
      <c r="G11" s="3">
        <v>85</v>
      </c>
      <c r="H11" s="3">
        <v>85</v>
      </c>
      <c r="I11" s="36">
        <f t="shared" si="1"/>
        <v>100</v>
      </c>
      <c r="J11" s="3">
        <v>85</v>
      </c>
      <c r="K11" s="3">
        <v>85</v>
      </c>
      <c r="L11" s="36">
        <f t="shared" si="2"/>
        <v>100</v>
      </c>
      <c r="M11" s="3"/>
      <c r="N11" s="3"/>
      <c r="O11" s="36"/>
      <c r="P11" s="3"/>
      <c r="Q11" s="3"/>
      <c r="R11" s="36"/>
      <c r="S11" s="3"/>
      <c r="T11" s="3"/>
      <c r="U11" s="36"/>
      <c r="AH11" s="91"/>
    </row>
    <row r="12" spans="1:34" s="20" customFormat="1" ht="24.75" customHeight="1">
      <c r="A12" s="3">
        <v>7</v>
      </c>
      <c r="B12" s="22" t="s">
        <v>66</v>
      </c>
      <c r="C12" s="3">
        <v>145</v>
      </c>
      <c r="D12" s="3">
        <v>60</v>
      </c>
      <c r="E12" s="36">
        <f t="shared" si="0"/>
        <v>41.37931034482759</v>
      </c>
      <c r="F12" s="3"/>
      <c r="G12" s="3">
        <v>60</v>
      </c>
      <c r="H12" s="3">
        <v>60</v>
      </c>
      <c r="I12" s="36">
        <f t="shared" si="1"/>
        <v>100</v>
      </c>
      <c r="J12" s="3">
        <v>53</v>
      </c>
      <c r="K12" s="3">
        <v>60</v>
      </c>
      <c r="L12" s="36">
        <f t="shared" si="2"/>
        <v>113.20754716981132</v>
      </c>
      <c r="M12" s="3"/>
      <c r="N12" s="3"/>
      <c r="O12" s="36"/>
      <c r="P12" s="3"/>
      <c r="Q12" s="3"/>
      <c r="R12" s="36"/>
      <c r="S12" s="3"/>
      <c r="T12" s="3"/>
      <c r="U12" s="36"/>
      <c r="AH12" s="91"/>
    </row>
    <row r="13" spans="1:34" s="20" customFormat="1" ht="24.75" customHeight="1">
      <c r="A13" s="3">
        <v>8</v>
      </c>
      <c r="B13" s="32" t="s">
        <v>102</v>
      </c>
      <c r="C13" s="3"/>
      <c r="D13" s="3">
        <v>146</v>
      </c>
      <c r="E13" s="36"/>
      <c r="F13" s="3">
        <v>11</v>
      </c>
      <c r="G13" s="3"/>
      <c r="H13" s="3">
        <v>5</v>
      </c>
      <c r="I13" s="36"/>
      <c r="J13" s="3"/>
      <c r="K13" s="3"/>
      <c r="L13" s="36"/>
      <c r="M13" s="3"/>
      <c r="N13" s="3"/>
      <c r="O13" s="36"/>
      <c r="P13" s="3"/>
      <c r="Q13" s="3"/>
      <c r="R13" s="36"/>
      <c r="S13" s="3"/>
      <c r="T13" s="3"/>
      <c r="U13" s="36"/>
      <c r="AH13" s="91"/>
    </row>
    <row r="14" spans="1:34" s="20" customFormat="1" ht="24.75" customHeight="1">
      <c r="A14" s="3">
        <v>9</v>
      </c>
      <c r="B14" s="32" t="s">
        <v>80</v>
      </c>
      <c r="C14" s="3">
        <v>196</v>
      </c>
      <c r="D14" s="3">
        <v>235</v>
      </c>
      <c r="E14" s="36">
        <f t="shared" si="0"/>
        <v>119.89795918367346</v>
      </c>
      <c r="F14" s="3">
        <v>22</v>
      </c>
      <c r="G14" s="3">
        <v>78</v>
      </c>
      <c r="H14" s="3">
        <v>78</v>
      </c>
      <c r="I14" s="36">
        <f t="shared" si="1"/>
        <v>100</v>
      </c>
      <c r="J14" s="3">
        <v>65</v>
      </c>
      <c r="K14" s="3">
        <v>78</v>
      </c>
      <c r="L14" s="36">
        <f t="shared" si="2"/>
        <v>120</v>
      </c>
      <c r="M14" s="3"/>
      <c r="N14" s="3"/>
      <c r="O14" s="36"/>
      <c r="P14" s="3"/>
      <c r="Q14" s="3"/>
      <c r="R14" s="36"/>
      <c r="S14" s="3"/>
      <c r="T14" s="3"/>
      <c r="U14" s="36"/>
      <c r="AH14" s="91"/>
    </row>
    <row r="15" spans="1:34" s="20" customFormat="1" ht="24.75" customHeight="1">
      <c r="A15" s="3">
        <v>10</v>
      </c>
      <c r="B15" s="22" t="s">
        <v>67</v>
      </c>
      <c r="C15" s="3">
        <v>241</v>
      </c>
      <c r="D15" s="3">
        <v>242</v>
      </c>
      <c r="E15" s="36">
        <f t="shared" si="0"/>
        <v>100.4149377593361</v>
      </c>
      <c r="F15" s="3">
        <v>16</v>
      </c>
      <c r="G15" s="3">
        <v>100</v>
      </c>
      <c r="H15" s="3">
        <v>100</v>
      </c>
      <c r="I15" s="36">
        <f t="shared" si="1"/>
        <v>100</v>
      </c>
      <c r="J15" s="3">
        <v>100</v>
      </c>
      <c r="K15" s="3">
        <v>100</v>
      </c>
      <c r="L15" s="36">
        <f t="shared" si="2"/>
        <v>100</v>
      </c>
      <c r="M15" s="3"/>
      <c r="N15" s="3"/>
      <c r="O15" s="36"/>
      <c r="P15" s="3"/>
      <c r="Q15" s="3"/>
      <c r="R15" s="36"/>
      <c r="S15" s="3"/>
      <c r="T15" s="3"/>
      <c r="U15" s="36"/>
      <c r="AH15" s="91"/>
    </row>
    <row r="16" spans="1:34" s="20" customFormat="1" ht="24.75" customHeight="1">
      <c r="A16" s="3">
        <v>11</v>
      </c>
      <c r="B16" s="22" t="s">
        <v>68</v>
      </c>
      <c r="C16" s="3">
        <v>74</v>
      </c>
      <c r="D16" s="3">
        <v>56</v>
      </c>
      <c r="E16" s="36">
        <f t="shared" si="0"/>
        <v>75.67567567567568</v>
      </c>
      <c r="F16" s="3">
        <v>5</v>
      </c>
      <c r="G16" s="3">
        <v>42</v>
      </c>
      <c r="H16" s="3">
        <v>42</v>
      </c>
      <c r="I16" s="36">
        <f t="shared" si="1"/>
        <v>100</v>
      </c>
      <c r="J16" s="3">
        <v>41</v>
      </c>
      <c r="K16" s="3">
        <v>42</v>
      </c>
      <c r="L16" s="36">
        <f t="shared" si="2"/>
        <v>102.4390243902439</v>
      </c>
      <c r="M16" s="3"/>
      <c r="N16" s="3"/>
      <c r="O16" s="36"/>
      <c r="P16" s="3"/>
      <c r="Q16" s="3"/>
      <c r="R16" s="36"/>
      <c r="S16" s="3"/>
      <c r="T16" s="3"/>
      <c r="U16" s="36"/>
      <c r="AH16" s="91"/>
    </row>
    <row r="17" spans="1:34" s="20" customFormat="1" ht="24.75" customHeight="1">
      <c r="A17" s="3">
        <v>12</v>
      </c>
      <c r="B17" s="22" t="s">
        <v>69</v>
      </c>
      <c r="C17" s="3"/>
      <c r="D17" s="3"/>
      <c r="E17" s="36"/>
      <c r="F17" s="3"/>
      <c r="G17" s="3"/>
      <c r="H17" s="3"/>
      <c r="I17" s="36"/>
      <c r="J17" s="3"/>
      <c r="K17" s="3"/>
      <c r="L17" s="36"/>
      <c r="M17" s="3">
        <v>8918</v>
      </c>
      <c r="N17" s="3">
        <v>9290</v>
      </c>
      <c r="O17" s="36">
        <f>N17*100/M17</f>
        <v>104.17133886521641</v>
      </c>
      <c r="P17" s="3">
        <v>220</v>
      </c>
      <c r="Q17" s="3">
        <v>240</v>
      </c>
      <c r="R17" s="36">
        <f>Q17*100/P17</f>
        <v>109.0909090909091</v>
      </c>
      <c r="S17" s="3">
        <v>410</v>
      </c>
      <c r="T17" s="3">
        <v>478</v>
      </c>
      <c r="U17" s="36">
        <f>T17*100/S17</f>
        <v>116.58536585365853</v>
      </c>
      <c r="AH17" s="91"/>
    </row>
    <row r="18" spans="1:34" s="20" customFormat="1" ht="24.75" customHeight="1">
      <c r="A18" s="3">
        <v>13</v>
      </c>
      <c r="B18" s="32" t="s">
        <v>78</v>
      </c>
      <c r="C18" s="3"/>
      <c r="D18" s="3"/>
      <c r="E18" s="36"/>
      <c r="F18" s="3"/>
      <c r="G18" s="3"/>
      <c r="H18" s="3"/>
      <c r="I18" s="36"/>
      <c r="J18" s="3"/>
      <c r="K18" s="3"/>
      <c r="L18" s="36"/>
      <c r="M18" s="3"/>
      <c r="N18" s="3"/>
      <c r="O18" s="36"/>
      <c r="P18" s="3"/>
      <c r="Q18" s="3"/>
      <c r="R18" s="36"/>
      <c r="S18" s="3"/>
      <c r="T18" s="3"/>
      <c r="U18" s="36"/>
      <c r="AH18" s="91"/>
    </row>
    <row r="19" spans="1:34" s="20" customFormat="1" ht="24.75" customHeight="1">
      <c r="A19" s="3">
        <v>14</v>
      </c>
      <c r="B19" s="32" t="s">
        <v>91</v>
      </c>
      <c r="C19" s="3"/>
      <c r="D19" s="3"/>
      <c r="E19" s="36"/>
      <c r="F19" s="3"/>
      <c r="G19" s="3"/>
      <c r="H19" s="3"/>
      <c r="I19" s="36"/>
      <c r="J19" s="3"/>
      <c r="K19" s="3"/>
      <c r="L19" s="36"/>
      <c r="M19" s="3">
        <v>90</v>
      </c>
      <c r="N19" s="3">
        <v>95</v>
      </c>
      <c r="O19" s="36">
        <f>N19*100/M19</f>
        <v>105.55555555555556</v>
      </c>
      <c r="P19" s="3">
        <v>11</v>
      </c>
      <c r="Q19" s="3">
        <v>10</v>
      </c>
      <c r="R19" s="36">
        <f>Q19*100/P19</f>
        <v>90.9090909090909</v>
      </c>
      <c r="S19" s="3">
        <v>10</v>
      </c>
      <c r="T19" s="3">
        <v>2</v>
      </c>
      <c r="U19" s="36">
        <f>T19*100/S19</f>
        <v>20</v>
      </c>
      <c r="AH19" s="91"/>
    </row>
    <row r="20" spans="1:21" s="20" customFormat="1" ht="21.75" customHeight="1">
      <c r="A20" s="130" t="s">
        <v>11</v>
      </c>
      <c r="B20" s="131"/>
      <c r="C20" s="3">
        <f>SUM(C6:C17)</f>
        <v>3146</v>
      </c>
      <c r="D20" s="3">
        <f>SUM(D6:D17)</f>
        <v>2930</v>
      </c>
      <c r="E20" s="36">
        <f>D20*100/C20</f>
        <v>93.13413858868404</v>
      </c>
      <c r="F20" s="3">
        <f>SUM(F6:F17)</f>
        <v>145</v>
      </c>
      <c r="G20" s="3">
        <f>SUM(G6:G19)</f>
        <v>1298</v>
      </c>
      <c r="H20" s="3">
        <f>SUM(H6:H17)</f>
        <v>1303</v>
      </c>
      <c r="I20" s="36">
        <f>H20*100/G20</f>
        <v>100.38520801232666</v>
      </c>
      <c r="J20" s="3">
        <f>SUM(J6:J19)</f>
        <v>1244</v>
      </c>
      <c r="K20" s="3">
        <f>SUM(K6:K17)</f>
        <v>1298</v>
      </c>
      <c r="L20" s="36">
        <f t="shared" si="2"/>
        <v>104.34083601286174</v>
      </c>
      <c r="M20" s="3">
        <f>SUM(M9:M19)</f>
        <v>9943</v>
      </c>
      <c r="N20" s="3">
        <f>SUM(N6:N19)</f>
        <v>10221</v>
      </c>
      <c r="O20" s="36">
        <f>N20*100/M20</f>
        <v>102.79593683998793</v>
      </c>
      <c r="P20" s="3">
        <f>SUM(P9:P19)</f>
        <v>338</v>
      </c>
      <c r="Q20" s="3">
        <f>SUM(Q6:Q19)</f>
        <v>350</v>
      </c>
      <c r="R20" s="36">
        <f>Q20*100/P20</f>
        <v>103.55029585798816</v>
      </c>
      <c r="S20" s="3">
        <f>SUM(S9:S19)</f>
        <v>494</v>
      </c>
      <c r="T20" s="36">
        <f>SUM(T6:T19)</f>
        <v>512</v>
      </c>
      <c r="U20" s="36">
        <f>T20*100/S20</f>
        <v>103.64372469635627</v>
      </c>
    </row>
  </sheetData>
  <sheetProtection/>
  <mergeCells count="19">
    <mergeCell ref="A20:B20"/>
    <mergeCell ref="J3:L3"/>
    <mergeCell ref="J4:J5"/>
    <mergeCell ref="K4:K5"/>
    <mergeCell ref="L4:L5"/>
    <mergeCell ref="M3:U3"/>
    <mergeCell ref="O4:O5"/>
    <mergeCell ref="N4:N5"/>
    <mergeCell ref="R4:R5"/>
    <mergeCell ref="U4:U5"/>
    <mergeCell ref="M4:M5"/>
    <mergeCell ref="B3:B5"/>
    <mergeCell ref="G4:G5"/>
    <mergeCell ref="H4:H5"/>
    <mergeCell ref="D4:D5"/>
    <mergeCell ref="C4:C5"/>
    <mergeCell ref="G3:I3"/>
    <mergeCell ref="F3:F5"/>
    <mergeCell ref="C3:E3"/>
  </mergeCells>
  <printOptions/>
  <pageMargins left="0.75" right="0.75" top="1" bottom="1" header="0.5" footer="0.5"/>
  <pageSetup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4"/>
  <sheetViews>
    <sheetView view="pageBreakPreview" zoomScale="75" zoomScaleNormal="75" zoomScaleSheetLayoutView="75" zoomScalePageLayoutView="0" workbookViewId="0" topLeftCell="A1">
      <selection activeCell="J10" sqref="J10"/>
    </sheetView>
  </sheetViews>
  <sheetFormatPr defaultColWidth="9.00390625" defaultRowHeight="12.75"/>
  <cols>
    <col min="1" max="1" width="4.00390625" style="0" customWidth="1"/>
    <col min="2" max="2" width="32.00390625" style="0" customWidth="1"/>
    <col min="3" max="4" width="9.75390625" style="0" customWidth="1"/>
    <col min="5" max="5" width="11.125" style="0" customWidth="1"/>
    <col min="6" max="8" width="9.75390625" style="0" customWidth="1"/>
    <col min="9" max="9" width="9.625" style="0" customWidth="1"/>
    <col min="10" max="10" width="10.75390625" style="0" customWidth="1"/>
    <col min="11" max="11" width="10.125" style="0" customWidth="1"/>
    <col min="12" max="12" width="12.125" style="0" customWidth="1"/>
    <col min="13" max="13" width="9.375" style="0" customWidth="1"/>
    <col min="14" max="14" width="9.625" style="0" customWidth="1"/>
  </cols>
  <sheetData>
    <row r="2" spans="1:14" ht="15.75">
      <c r="A2" s="20"/>
      <c r="B2" s="20"/>
      <c r="C2" s="20"/>
      <c r="D2" s="1" t="s">
        <v>108</v>
      </c>
      <c r="E2" s="1"/>
      <c r="F2" s="1"/>
      <c r="G2" s="1"/>
      <c r="H2" s="1"/>
      <c r="I2" s="1"/>
      <c r="J2" s="1"/>
      <c r="K2" s="1"/>
      <c r="L2" s="20"/>
      <c r="M2" s="20"/>
      <c r="N2" s="20"/>
    </row>
    <row r="3" spans="1:14" ht="15">
      <c r="A3" s="165" t="s">
        <v>59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4" ht="12.75">
      <c r="A4" s="137" t="s">
        <v>2</v>
      </c>
      <c r="B4" s="139" t="s">
        <v>3</v>
      </c>
      <c r="C4" s="143" t="s">
        <v>87</v>
      </c>
      <c r="D4" s="174"/>
      <c r="E4" s="171"/>
      <c r="F4" s="166" t="s">
        <v>70</v>
      </c>
      <c r="G4" s="167"/>
      <c r="H4" s="166" t="s">
        <v>86</v>
      </c>
      <c r="I4" s="170"/>
      <c r="J4" s="171"/>
      <c r="K4" s="166" t="s">
        <v>84</v>
      </c>
      <c r="L4" s="167"/>
      <c r="M4" s="166" t="s">
        <v>85</v>
      </c>
      <c r="N4" s="167"/>
    </row>
    <row r="5" spans="1:14" ht="31.5" customHeight="1">
      <c r="A5" s="158"/>
      <c r="B5" s="140"/>
      <c r="C5" s="175"/>
      <c r="D5" s="176"/>
      <c r="E5" s="177"/>
      <c r="F5" s="168"/>
      <c r="G5" s="169"/>
      <c r="H5" s="168"/>
      <c r="I5" s="172"/>
      <c r="J5" s="173"/>
      <c r="K5" s="168"/>
      <c r="L5" s="169"/>
      <c r="M5" s="168"/>
      <c r="N5" s="169"/>
    </row>
    <row r="6" spans="1:14" ht="30">
      <c r="A6" s="138"/>
      <c r="B6" s="141"/>
      <c r="C6" s="3">
        <v>2010</v>
      </c>
      <c r="D6" s="19">
        <v>2011</v>
      </c>
      <c r="E6" s="101" t="s">
        <v>98</v>
      </c>
      <c r="F6" s="3">
        <v>2010</v>
      </c>
      <c r="G6" s="19">
        <v>2011</v>
      </c>
      <c r="H6" s="3">
        <v>2010</v>
      </c>
      <c r="I6" s="19">
        <v>2011</v>
      </c>
      <c r="J6" s="101" t="s">
        <v>98</v>
      </c>
      <c r="K6" s="22" t="s">
        <v>1</v>
      </c>
      <c r="L6" s="24" t="s">
        <v>35</v>
      </c>
      <c r="M6" s="38" t="s">
        <v>47</v>
      </c>
      <c r="N6" s="51" t="s">
        <v>48</v>
      </c>
    </row>
    <row r="7" spans="1:14" ht="16.5" customHeight="1">
      <c r="A7" s="31">
        <v>1</v>
      </c>
      <c r="B7" s="22" t="s">
        <v>64</v>
      </c>
      <c r="C7" s="31">
        <v>631</v>
      </c>
      <c r="D7" s="31">
        <v>556</v>
      </c>
      <c r="E7" s="31">
        <f>D7-C7</f>
        <v>-75</v>
      </c>
      <c r="F7" s="31">
        <v>353</v>
      </c>
      <c r="G7" s="31">
        <v>289</v>
      </c>
      <c r="H7" s="78">
        <f>F7*100/27</f>
        <v>1307.4074074074074</v>
      </c>
      <c r="I7" s="78">
        <f>G7*100/20</f>
        <v>1445</v>
      </c>
      <c r="J7" s="77">
        <f>I7-H7</f>
        <v>137.5925925925926</v>
      </c>
      <c r="K7" s="31">
        <v>71</v>
      </c>
      <c r="L7" s="31">
        <v>31</v>
      </c>
      <c r="M7" s="99">
        <f>G7/L7</f>
        <v>9.32258064516129</v>
      </c>
      <c r="N7" s="99">
        <f>(D7-G7)/(K7-L7)</f>
        <v>6.675</v>
      </c>
    </row>
    <row r="8" spans="1:15" ht="16.5" customHeight="1">
      <c r="A8" s="31">
        <v>2</v>
      </c>
      <c r="B8" s="31" t="s">
        <v>65</v>
      </c>
      <c r="C8" s="31">
        <v>631</v>
      </c>
      <c r="D8" s="31">
        <v>398</v>
      </c>
      <c r="E8" s="31">
        <f>D8-C8</f>
        <v>-233</v>
      </c>
      <c r="F8" s="31">
        <v>561</v>
      </c>
      <c r="G8" s="31">
        <v>386</v>
      </c>
      <c r="H8" s="78">
        <f>F8*100/80</f>
        <v>701.25</v>
      </c>
      <c r="I8" s="78">
        <f>G8*100/80</f>
        <v>482.5</v>
      </c>
      <c r="J8" s="77">
        <f>I8-H8</f>
        <v>-218.75</v>
      </c>
      <c r="K8" s="32">
        <v>52</v>
      </c>
      <c r="L8" s="32">
        <v>50</v>
      </c>
      <c r="M8" s="99">
        <f>G8/L8</f>
        <v>7.72</v>
      </c>
      <c r="N8" s="99">
        <f>(D8-G8)/(K8-L8)</f>
        <v>6</v>
      </c>
      <c r="O8" s="15"/>
    </row>
    <row r="9" spans="1:14" ht="16.5" customHeight="1">
      <c r="A9" s="31">
        <v>3</v>
      </c>
      <c r="B9" s="32" t="s">
        <v>69</v>
      </c>
      <c r="C9" s="31">
        <v>7495</v>
      </c>
      <c r="D9" s="31">
        <v>10150</v>
      </c>
      <c r="E9" s="31">
        <f>D9-C9</f>
        <v>2655</v>
      </c>
      <c r="F9" s="31">
        <v>4797</v>
      </c>
      <c r="G9" s="31">
        <v>5707</v>
      </c>
      <c r="H9" s="78">
        <f>F9*100/200</f>
        <v>2398.5</v>
      </c>
      <c r="I9" s="78">
        <f>G9*100/226</f>
        <v>2525.221238938053</v>
      </c>
      <c r="J9" s="77">
        <f>I9-H9</f>
        <v>126.72123893805292</v>
      </c>
      <c r="K9" s="32">
        <v>1151</v>
      </c>
      <c r="L9" s="32">
        <v>625</v>
      </c>
      <c r="M9" s="123">
        <f>G9/L9</f>
        <v>9.1312</v>
      </c>
      <c r="N9" s="123">
        <f>(D9-G9)/(K9-L9)</f>
        <v>8.446768060836503</v>
      </c>
    </row>
    <row r="10" spans="1:14" ht="16.5" customHeight="1">
      <c r="A10" s="31">
        <v>4</v>
      </c>
      <c r="B10" s="32" t="s">
        <v>91</v>
      </c>
      <c r="C10" s="31">
        <v>67</v>
      </c>
      <c r="D10" s="31">
        <v>15</v>
      </c>
      <c r="E10" s="31"/>
      <c r="F10" s="31">
        <v>67</v>
      </c>
      <c r="G10" s="31">
        <v>15</v>
      </c>
      <c r="H10" s="78"/>
      <c r="I10" s="78">
        <f>G10*100/11</f>
        <v>136.36363636363637</v>
      </c>
      <c r="J10" s="77"/>
      <c r="K10" s="32">
        <v>2</v>
      </c>
      <c r="L10" s="32">
        <v>2</v>
      </c>
      <c r="M10" s="99">
        <f>G10/L10</f>
        <v>7.5</v>
      </c>
      <c r="N10" s="99"/>
    </row>
    <row r="11" spans="1:14" ht="15" customHeight="1">
      <c r="A11" s="164" t="s">
        <v>11</v>
      </c>
      <c r="B11" s="164"/>
      <c r="C11" s="31">
        <f>SUM(C7:C9)</f>
        <v>8757</v>
      </c>
      <c r="D11" s="31">
        <f>SUM(D7:D10)</f>
        <v>11119</v>
      </c>
      <c r="E11" s="31">
        <f>D11-C11</f>
        <v>2362</v>
      </c>
      <c r="F11" s="31">
        <f>SUM(F7:F9)</f>
        <v>5711</v>
      </c>
      <c r="G11" s="31">
        <f>SUM(G7:G10)</f>
        <v>6397</v>
      </c>
      <c r="H11" s="78">
        <f>F11*100/307</f>
        <v>1860.2605863192182</v>
      </c>
      <c r="I11" s="78">
        <f>G11*100/337</f>
        <v>1898.219584569733</v>
      </c>
      <c r="J11" s="77">
        <f>I11-H11</f>
        <v>37.958998250514696</v>
      </c>
      <c r="K11" s="77">
        <f>SUM(K7:K10)</f>
        <v>1276</v>
      </c>
      <c r="L11" s="77">
        <f>SUM(L7:L10)</f>
        <v>708</v>
      </c>
      <c r="M11" s="99">
        <f>G11/L11</f>
        <v>9.035310734463277</v>
      </c>
      <c r="N11" s="99">
        <f>(D11-G11)/(K11-L11)</f>
        <v>8.31338028169014</v>
      </c>
    </row>
    <row r="13" spans="2:17" ht="12.75"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</row>
    <row r="14" spans="2:17" ht="15">
      <c r="B14" s="75"/>
      <c r="C14" s="118"/>
      <c r="D14" s="118"/>
      <c r="E14" s="118"/>
      <c r="F14" s="118"/>
      <c r="G14" s="118"/>
      <c r="H14" s="119"/>
      <c r="I14" s="120"/>
      <c r="J14" s="119"/>
      <c r="K14" s="118"/>
      <c r="L14" s="118"/>
      <c r="M14" s="121"/>
      <c r="N14" s="121"/>
      <c r="O14" s="75"/>
      <c r="P14" s="75"/>
      <c r="Q14" s="75"/>
    </row>
    <row r="15" spans="2:17" ht="15">
      <c r="B15" s="75"/>
      <c r="C15" s="118"/>
      <c r="D15" s="118"/>
      <c r="E15" s="118"/>
      <c r="F15" s="118"/>
      <c r="G15" s="118"/>
      <c r="H15" s="120"/>
      <c r="I15" s="120"/>
      <c r="J15" s="119"/>
      <c r="K15" s="122"/>
      <c r="L15" s="122"/>
      <c r="M15" s="121"/>
      <c r="N15" s="121"/>
      <c r="O15" s="75"/>
      <c r="P15" s="75"/>
      <c r="Q15" s="75"/>
    </row>
    <row r="16" spans="2:17" ht="15">
      <c r="B16" s="75"/>
      <c r="C16" s="118"/>
      <c r="D16" s="118"/>
      <c r="E16" s="118"/>
      <c r="F16" s="118"/>
      <c r="G16" s="118"/>
      <c r="H16" s="119"/>
      <c r="I16" s="120"/>
      <c r="J16" s="119"/>
      <c r="K16" s="122"/>
      <c r="L16" s="122"/>
      <c r="M16" s="121"/>
      <c r="N16" s="121"/>
      <c r="O16" s="75"/>
      <c r="P16" s="75"/>
      <c r="Q16" s="75"/>
    </row>
    <row r="17" spans="2:17" ht="15">
      <c r="B17" s="75"/>
      <c r="C17" s="118"/>
      <c r="D17" s="118"/>
      <c r="E17" s="118"/>
      <c r="F17" s="118"/>
      <c r="G17" s="118"/>
      <c r="H17" s="119"/>
      <c r="I17" s="120"/>
      <c r="J17" s="119"/>
      <c r="K17" s="122"/>
      <c r="L17" s="122"/>
      <c r="M17" s="121"/>
      <c r="N17" s="121"/>
      <c r="O17" s="75"/>
      <c r="P17" s="75"/>
      <c r="Q17" s="75"/>
    </row>
    <row r="18" spans="2:17" ht="15">
      <c r="B18" s="75"/>
      <c r="C18" s="118"/>
      <c r="D18" s="118"/>
      <c r="E18" s="118"/>
      <c r="F18" s="118"/>
      <c r="G18" s="118"/>
      <c r="H18" s="119"/>
      <c r="I18" s="120"/>
      <c r="J18" s="119"/>
      <c r="K18" s="122"/>
      <c r="L18" s="122"/>
      <c r="M18" s="121"/>
      <c r="N18" s="121"/>
      <c r="O18" s="75"/>
      <c r="P18" s="75"/>
      <c r="Q18" s="75"/>
    </row>
    <row r="19" spans="2:17" ht="15">
      <c r="B19" s="75"/>
      <c r="C19" s="118"/>
      <c r="D19" s="118"/>
      <c r="E19" s="118"/>
      <c r="F19" s="118"/>
      <c r="G19" s="118"/>
      <c r="H19" s="119"/>
      <c r="I19" s="120"/>
      <c r="J19" s="119"/>
      <c r="K19" s="120"/>
      <c r="L19" s="120"/>
      <c r="M19" s="121"/>
      <c r="N19" s="121"/>
      <c r="O19" s="75"/>
      <c r="P19" s="75"/>
      <c r="Q19" s="75"/>
    </row>
    <row r="20" spans="2:17" ht="15">
      <c r="B20" s="75"/>
      <c r="C20" s="118"/>
      <c r="D20" s="118"/>
      <c r="E20" s="118"/>
      <c r="F20" s="118"/>
      <c r="G20" s="118"/>
      <c r="H20" s="119"/>
      <c r="I20" s="120"/>
      <c r="J20" s="119"/>
      <c r="K20" s="122"/>
      <c r="L20" s="122"/>
      <c r="M20" s="121"/>
      <c r="N20" s="121"/>
      <c r="O20" s="75"/>
      <c r="P20" s="75"/>
      <c r="Q20" s="75"/>
    </row>
    <row r="21" spans="2:17" ht="15">
      <c r="B21" s="75"/>
      <c r="C21" s="118"/>
      <c r="D21" s="118"/>
      <c r="E21" s="118"/>
      <c r="F21" s="118"/>
      <c r="G21" s="118"/>
      <c r="H21" s="120"/>
      <c r="I21" s="120"/>
      <c r="J21" s="119"/>
      <c r="K21" s="122"/>
      <c r="L21" s="122"/>
      <c r="M21" s="121"/>
      <c r="N21" s="121"/>
      <c r="O21" s="75"/>
      <c r="P21" s="75"/>
      <c r="Q21" s="75"/>
    </row>
    <row r="22" spans="2:17" ht="12.75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</row>
    <row r="23" spans="2:17" ht="12.75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</row>
    <row r="24" spans="2:17" ht="12.75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</row>
  </sheetData>
  <sheetProtection/>
  <mergeCells count="9">
    <mergeCell ref="A11:B11"/>
    <mergeCell ref="A3:N3"/>
    <mergeCell ref="F4:G5"/>
    <mergeCell ref="K4:L5"/>
    <mergeCell ref="M4:N5"/>
    <mergeCell ref="B4:B6"/>
    <mergeCell ref="A4:A6"/>
    <mergeCell ref="H4:J5"/>
    <mergeCell ref="C4:E5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view="pageBreakPreview" zoomScale="65" zoomScaleNormal="75" zoomScaleSheetLayoutView="65" zoomScalePageLayoutView="0" workbookViewId="0" topLeftCell="A1">
      <selection activeCell="K10" sqref="K10"/>
    </sheetView>
  </sheetViews>
  <sheetFormatPr defaultColWidth="9.00390625" defaultRowHeight="12.75"/>
  <cols>
    <col min="1" max="1" width="4.125" style="0" customWidth="1"/>
    <col min="2" max="2" width="28.75390625" style="0" customWidth="1"/>
    <col min="3" max="3" width="10.625" style="0" customWidth="1"/>
    <col min="4" max="4" width="10.25390625" style="0" customWidth="1"/>
    <col min="5" max="5" width="12.125" style="0" customWidth="1"/>
    <col min="6" max="6" width="9.00390625" style="0" customWidth="1"/>
    <col min="7" max="7" width="10.125" style="0" customWidth="1"/>
    <col min="8" max="8" width="11.75390625" style="0" customWidth="1"/>
    <col min="9" max="9" width="10.125" style="0" customWidth="1"/>
    <col min="10" max="10" width="9.375" style="0" customWidth="1"/>
    <col min="11" max="11" width="11.375" style="0" customWidth="1"/>
    <col min="12" max="12" width="9.00390625" style="0" customWidth="1"/>
    <col min="13" max="13" width="10.00390625" style="0" customWidth="1"/>
    <col min="14" max="14" width="13.125" style="0" customWidth="1"/>
  </cols>
  <sheetData>
    <row r="1" spans="1:14" ht="15.75">
      <c r="A1" s="20"/>
      <c r="B1" s="20"/>
      <c r="C1" s="1" t="s">
        <v>107</v>
      </c>
      <c r="D1" s="1"/>
      <c r="E1" s="1"/>
      <c r="F1" s="20"/>
      <c r="G1" s="20"/>
      <c r="H1" s="20"/>
      <c r="I1" s="20"/>
      <c r="J1" s="20"/>
      <c r="K1" s="20"/>
      <c r="L1" s="20"/>
      <c r="M1" s="20"/>
      <c r="N1" s="20"/>
    </row>
    <row r="2" spans="1:14" ht="15">
      <c r="A2" s="137" t="s">
        <v>2</v>
      </c>
      <c r="B2" s="137" t="s">
        <v>3</v>
      </c>
      <c r="C2" s="24" t="s">
        <v>37</v>
      </c>
      <c r="D2" s="25"/>
      <c r="E2" s="27"/>
      <c r="F2" s="49" t="s">
        <v>38</v>
      </c>
      <c r="G2" s="25"/>
      <c r="H2" s="27"/>
      <c r="I2" s="24" t="s">
        <v>39</v>
      </c>
      <c r="J2" s="25"/>
      <c r="K2" s="27"/>
      <c r="L2" s="24" t="s">
        <v>40</v>
      </c>
      <c r="M2" s="25"/>
      <c r="N2" s="27"/>
    </row>
    <row r="3" spans="1:14" ht="15">
      <c r="A3" s="158"/>
      <c r="B3" s="158"/>
      <c r="C3" s="18">
        <v>2010</v>
      </c>
      <c r="D3" s="19">
        <v>2011</v>
      </c>
      <c r="E3" s="9" t="s">
        <v>36</v>
      </c>
      <c r="F3" s="18">
        <v>2010</v>
      </c>
      <c r="G3" s="19">
        <v>2011</v>
      </c>
      <c r="H3" s="9" t="s">
        <v>36</v>
      </c>
      <c r="I3" s="18">
        <v>2010</v>
      </c>
      <c r="J3" s="19">
        <v>2011</v>
      </c>
      <c r="K3" s="9" t="s">
        <v>36</v>
      </c>
      <c r="L3" s="18">
        <v>2010</v>
      </c>
      <c r="M3" s="19">
        <v>2011</v>
      </c>
      <c r="N3" s="9" t="s">
        <v>36</v>
      </c>
    </row>
    <row r="4" spans="1:14" ht="15">
      <c r="A4" s="138"/>
      <c r="B4" s="138"/>
      <c r="C4" s="29"/>
      <c r="D4" s="29"/>
      <c r="E4" s="45" t="s">
        <v>97</v>
      </c>
      <c r="F4" s="29"/>
      <c r="G4" s="29"/>
      <c r="H4" s="45" t="s">
        <v>97</v>
      </c>
      <c r="I4" s="29"/>
      <c r="J4" s="29"/>
      <c r="K4" s="45" t="s">
        <v>97</v>
      </c>
      <c r="L4" s="29"/>
      <c r="M4" s="29"/>
      <c r="N4" s="45" t="s">
        <v>97</v>
      </c>
    </row>
    <row r="5" spans="1:14" ht="16.5" customHeight="1">
      <c r="A5" s="31">
        <v>1</v>
      </c>
      <c r="B5" s="31" t="s">
        <v>61</v>
      </c>
      <c r="C5" s="12">
        <v>141</v>
      </c>
      <c r="D5" s="12">
        <v>158</v>
      </c>
      <c r="E5" s="16">
        <f aca="true" t="shared" si="0" ref="E5:E15">D5-C5</f>
        <v>17</v>
      </c>
      <c r="F5" s="12">
        <v>25</v>
      </c>
      <c r="G5" s="12">
        <v>6</v>
      </c>
      <c r="H5" s="16">
        <f aca="true" t="shared" si="1" ref="H5:H15">G5-F5</f>
        <v>-19</v>
      </c>
      <c r="I5" s="12"/>
      <c r="J5" s="12"/>
      <c r="K5" s="12"/>
      <c r="L5" s="12"/>
      <c r="M5" s="12"/>
      <c r="N5" s="12"/>
    </row>
    <row r="6" spans="1:14" ht="16.5" customHeight="1">
      <c r="A6" s="31">
        <v>2</v>
      </c>
      <c r="B6" s="31" t="s">
        <v>62</v>
      </c>
      <c r="C6" s="12">
        <v>143</v>
      </c>
      <c r="D6" s="12">
        <v>153</v>
      </c>
      <c r="E6" s="16">
        <f t="shared" si="0"/>
        <v>10</v>
      </c>
      <c r="F6" s="12">
        <v>27</v>
      </c>
      <c r="G6" s="12">
        <v>9</v>
      </c>
      <c r="H6" s="16">
        <f t="shared" si="1"/>
        <v>-18</v>
      </c>
      <c r="I6" s="12"/>
      <c r="J6" s="12"/>
      <c r="K6" s="12"/>
      <c r="L6" s="12"/>
      <c r="M6" s="12"/>
      <c r="N6" s="12"/>
    </row>
    <row r="7" spans="1:14" ht="16.5" customHeight="1">
      <c r="A7" s="31">
        <v>3</v>
      </c>
      <c r="B7" s="31" t="s">
        <v>63</v>
      </c>
      <c r="C7" s="12">
        <v>40</v>
      </c>
      <c r="D7" s="12">
        <v>36</v>
      </c>
      <c r="E7" s="16">
        <f t="shared" si="0"/>
        <v>-4</v>
      </c>
      <c r="F7" s="12">
        <v>2</v>
      </c>
      <c r="G7" s="12">
        <v>2</v>
      </c>
      <c r="H7" s="16">
        <f t="shared" si="1"/>
        <v>0</v>
      </c>
      <c r="I7" s="12"/>
      <c r="J7" s="12"/>
      <c r="K7" s="12"/>
      <c r="L7" s="12"/>
      <c r="M7" s="12"/>
      <c r="N7" s="12"/>
    </row>
    <row r="8" spans="1:14" ht="16.5" customHeight="1">
      <c r="A8" s="31">
        <v>4</v>
      </c>
      <c r="B8" s="22" t="s">
        <v>64</v>
      </c>
      <c r="C8" s="12">
        <v>232</v>
      </c>
      <c r="D8" s="12">
        <v>242</v>
      </c>
      <c r="E8" s="16">
        <f t="shared" si="0"/>
        <v>10</v>
      </c>
      <c r="F8" s="12">
        <v>16</v>
      </c>
      <c r="G8" s="12">
        <v>30</v>
      </c>
      <c r="H8" s="16">
        <f t="shared" si="1"/>
        <v>14</v>
      </c>
      <c r="I8" s="16">
        <v>83</v>
      </c>
      <c r="J8" s="16">
        <v>90</v>
      </c>
      <c r="K8" s="12">
        <f>J8-I8</f>
        <v>7</v>
      </c>
      <c r="L8" s="12">
        <v>23</v>
      </c>
      <c r="M8" s="12">
        <v>44</v>
      </c>
      <c r="N8" s="12">
        <f>M8-L8</f>
        <v>21</v>
      </c>
    </row>
    <row r="9" spans="1:14" ht="16.5" customHeight="1">
      <c r="A9" s="31">
        <v>5</v>
      </c>
      <c r="B9" s="31" t="s">
        <v>65</v>
      </c>
      <c r="C9" s="12">
        <v>219</v>
      </c>
      <c r="D9" s="12">
        <v>189</v>
      </c>
      <c r="E9" s="16">
        <f t="shared" si="0"/>
        <v>-30</v>
      </c>
      <c r="F9" s="12">
        <v>40</v>
      </c>
      <c r="G9" s="12">
        <v>6</v>
      </c>
      <c r="H9" s="16">
        <f t="shared" si="1"/>
        <v>-34</v>
      </c>
      <c r="I9" s="12">
        <v>218</v>
      </c>
      <c r="J9" s="12">
        <v>117</v>
      </c>
      <c r="K9" s="12">
        <f>J9-I9</f>
        <v>-101</v>
      </c>
      <c r="L9" s="12">
        <v>21</v>
      </c>
      <c r="M9" s="16">
        <v>13</v>
      </c>
      <c r="N9" s="12">
        <f>M9-L9</f>
        <v>-8</v>
      </c>
    </row>
    <row r="10" spans="1:14" ht="16.5" customHeight="1">
      <c r="A10" s="31">
        <v>6</v>
      </c>
      <c r="B10" s="32" t="s">
        <v>81</v>
      </c>
      <c r="C10" s="12">
        <v>91</v>
      </c>
      <c r="D10" s="12">
        <v>72</v>
      </c>
      <c r="E10" s="16">
        <f t="shared" si="0"/>
        <v>-19</v>
      </c>
      <c r="F10" s="12">
        <v>13</v>
      </c>
      <c r="G10" s="12">
        <v>14</v>
      </c>
      <c r="H10" s="16">
        <f t="shared" si="1"/>
        <v>1</v>
      </c>
      <c r="I10" s="12"/>
      <c r="J10" s="12"/>
      <c r="K10" s="12"/>
      <c r="L10" s="12"/>
      <c r="M10" s="12"/>
      <c r="N10" s="12"/>
    </row>
    <row r="11" spans="1:14" ht="16.5" customHeight="1">
      <c r="A11" s="31">
        <v>7</v>
      </c>
      <c r="B11" s="32" t="s">
        <v>66</v>
      </c>
      <c r="C11" s="12">
        <v>54</v>
      </c>
      <c r="D11" s="12">
        <v>66</v>
      </c>
      <c r="E11" s="16">
        <f t="shared" si="0"/>
        <v>12</v>
      </c>
      <c r="F11" s="12">
        <v>12</v>
      </c>
      <c r="G11" s="12">
        <v>10</v>
      </c>
      <c r="H11" s="16">
        <f t="shared" si="1"/>
        <v>-2</v>
      </c>
      <c r="I11" s="12"/>
      <c r="J11" s="12"/>
      <c r="K11" s="12"/>
      <c r="L11" s="12"/>
      <c r="M11" s="12"/>
      <c r="N11" s="12"/>
    </row>
    <row r="12" spans="1:14" ht="16.5" customHeight="1">
      <c r="A12" s="31">
        <v>8</v>
      </c>
      <c r="B12" s="32" t="s">
        <v>102</v>
      </c>
      <c r="C12" s="12"/>
      <c r="D12" s="12"/>
      <c r="E12" s="16"/>
      <c r="F12" s="12"/>
      <c r="G12" s="12"/>
      <c r="H12" s="16"/>
      <c r="I12" s="12"/>
      <c r="J12" s="12"/>
      <c r="K12" s="12"/>
      <c r="L12" s="12"/>
      <c r="M12" s="12"/>
      <c r="N12" s="12"/>
    </row>
    <row r="13" spans="1:14" ht="16.5" customHeight="1">
      <c r="A13" s="31">
        <v>9</v>
      </c>
      <c r="B13" s="32" t="s">
        <v>80</v>
      </c>
      <c r="C13" s="12">
        <v>89</v>
      </c>
      <c r="D13" s="12">
        <v>91</v>
      </c>
      <c r="E13" s="16">
        <f t="shared" si="0"/>
        <v>2</v>
      </c>
      <c r="F13" s="12">
        <v>21</v>
      </c>
      <c r="G13" s="12">
        <v>10</v>
      </c>
      <c r="H13" s="16">
        <f t="shared" si="1"/>
        <v>-11</v>
      </c>
      <c r="I13" s="12"/>
      <c r="J13" s="12"/>
      <c r="K13" s="12"/>
      <c r="L13" s="12"/>
      <c r="M13" s="12"/>
      <c r="N13" s="12"/>
    </row>
    <row r="14" spans="1:14" ht="16.5" customHeight="1">
      <c r="A14" s="31">
        <v>10</v>
      </c>
      <c r="B14" s="32" t="s">
        <v>67</v>
      </c>
      <c r="C14" s="12">
        <v>107</v>
      </c>
      <c r="D14" s="12">
        <v>89</v>
      </c>
      <c r="E14" s="16">
        <f t="shared" si="0"/>
        <v>-18</v>
      </c>
      <c r="F14" s="12">
        <v>33</v>
      </c>
      <c r="G14" s="12">
        <v>18</v>
      </c>
      <c r="H14" s="16">
        <f t="shared" si="1"/>
        <v>-15</v>
      </c>
      <c r="I14" s="12"/>
      <c r="J14" s="12"/>
      <c r="K14" s="12"/>
      <c r="L14" s="12"/>
      <c r="M14" s="12"/>
      <c r="N14" s="12"/>
    </row>
    <row r="15" spans="1:14" ht="16.5" customHeight="1">
      <c r="A15" s="31">
        <v>11</v>
      </c>
      <c r="B15" s="32" t="s">
        <v>68</v>
      </c>
      <c r="C15" s="12">
        <v>40</v>
      </c>
      <c r="D15" s="12">
        <v>47</v>
      </c>
      <c r="E15" s="16">
        <f t="shared" si="0"/>
        <v>7</v>
      </c>
      <c r="F15" s="12"/>
      <c r="G15" s="12">
        <v>7</v>
      </c>
      <c r="H15" s="16">
        <f t="shared" si="1"/>
        <v>7</v>
      </c>
      <c r="I15" s="12"/>
      <c r="J15" s="12"/>
      <c r="K15" s="12"/>
      <c r="L15" s="12"/>
      <c r="M15" s="12"/>
      <c r="N15" s="12"/>
    </row>
    <row r="16" spans="1:14" ht="16.5" customHeight="1">
      <c r="A16" s="31">
        <v>12</v>
      </c>
      <c r="B16" s="32" t="s">
        <v>69</v>
      </c>
      <c r="C16" s="16"/>
      <c r="D16" s="16"/>
      <c r="E16" s="16"/>
      <c r="F16" s="16"/>
      <c r="G16" s="16"/>
      <c r="H16" s="16"/>
      <c r="I16" s="12">
        <v>1335</v>
      </c>
      <c r="J16" s="12">
        <v>1849</v>
      </c>
      <c r="K16" s="12">
        <f>J16-I16</f>
        <v>514</v>
      </c>
      <c r="L16" s="12">
        <v>728</v>
      </c>
      <c r="M16" s="12">
        <v>741</v>
      </c>
      <c r="N16" s="12">
        <f>M16-L16</f>
        <v>13</v>
      </c>
    </row>
    <row r="17" spans="1:14" ht="16.5" customHeight="1">
      <c r="A17" s="31">
        <v>13</v>
      </c>
      <c r="B17" s="32" t="s">
        <v>91</v>
      </c>
      <c r="C17" s="12"/>
      <c r="D17" s="16"/>
      <c r="E17" s="16"/>
      <c r="F17" s="16"/>
      <c r="G17" s="16"/>
      <c r="H17" s="16"/>
      <c r="I17" s="12">
        <v>13</v>
      </c>
      <c r="J17" s="12">
        <v>7</v>
      </c>
      <c r="K17" s="12"/>
      <c r="L17" s="12">
        <v>4</v>
      </c>
      <c r="M17" s="12"/>
      <c r="N17" s="12"/>
    </row>
    <row r="18" spans="1:14" ht="21" customHeight="1">
      <c r="A18" s="130" t="s">
        <v>11</v>
      </c>
      <c r="B18" s="131"/>
      <c r="C18" s="12">
        <f>SUM(C5:C15)</f>
        <v>1156</v>
      </c>
      <c r="D18" s="12">
        <f>SUM(D5:D17)</f>
        <v>1143</v>
      </c>
      <c r="E18" s="12">
        <f>D18-C18</f>
        <v>-13</v>
      </c>
      <c r="F18" s="12">
        <f>SUM(F5:F16)</f>
        <v>189</v>
      </c>
      <c r="G18" s="12">
        <f>SUM(G5:G17)</f>
        <v>112</v>
      </c>
      <c r="H18" s="12">
        <f>G18-F18</f>
        <v>-77</v>
      </c>
      <c r="I18" s="12">
        <f>SUM(I5:I16)</f>
        <v>1636</v>
      </c>
      <c r="J18" s="12">
        <f>SUM(J5:J17)</f>
        <v>2063</v>
      </c>
      <c r="K18" s="12">
        <f>J18-I18</f>
        <v>427</v>
      </c>
      <c r="L18" s="12">
        <f>SUM(L8:L17)</f>
        <v>776</v>
      </c>
      <c r="M18" s="12">
        <f>SUM(M5:M17)</f>
        <v>798</v>
      </c>
      <c r="N18" s="12">
        <f>M18-L18</f>
        <v>22</v>
      </c>
    </row>
  </sheetData>
  <sheetProtection/>
  <mergeCells count="3">
    <mergeCell ref="B2:B4"/>
    <mergeCell ref="A2:A4"/>
    <mergeCell ref="A18:B18"/>
  </mergeCells>
  <printOptions/>
  <pageMargins left="0.75" right="0.75" top="1" bottom="1" header="0.5" footer="0.5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8"/>
  <sheetViews>
    <sheetView view="pageBreakPreview" zoomScale="65" zoomScaleNormal="75" zoomScaleSheetLayoutView="65" zoomScalePageLayoutView="0" workbookViewId="0" topLeftCell="A1">
      <selection activeCell="N12" sqref="N12"/>
    </sheetView>
  </sheetViews>
  <sheetFormatPr defaultColWidth="9.00390625" defaultRowHeight="12.75"/>
  <cols>
    <col min="1" max="1" width="4.25390625" style="0" customWidth="1"/>
    <col min="2" max="2" width="27.25390625" style="0" customWidth="1"/>
    <col min="3" max="3" width="8.875" style="0" customWidth="1"/>
    <col min="5" max="5" width="10.875" style="0" customWidth="1"/>
    <col min="6" max="6" width="9.25390625" style="0" customWidth="1"/>
    <col min="8" max="8" width="9.625" style="0" customWidth="1"/>
    <col min="9" max="9" width="9.375" style="0" customWidth="1"/>
    <col min="10" max="10" width="9.625" style="0" customWidth="1"/>
    <col min="11" max="11" width="10.125" style="0" customWidth="1"/>
    <col min="13" max="13" width="9.375" style="0" customWidth="1"/>
    <col min="14" max="14" width="10.375" style="0" customWidth="1"/>
  </cols>
  <sheetData>
    <row r="1" spans="1:14" ht="15.75">
      <c r="A1" s="178" t="s">
        <v>106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4" ht="15">
      <c r="A2" s="165" t="s">
        <v>88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5">
      <c r="A4" s="142" t="s">
        <v>2</v>
      </c>
      <c r="B4" s="142" t="s">
        <v>3</v>
      </c>
      <c r="C4" s="24" t="s">
        <v>27</v>
      </c>
      <c r="D4" s="25"/>
      <c r="E4" s="27"/>
      <c r="F4" s="5" t="s">
        <v>28</v>
      </c>
      <c r="G4" s="7"/>
      <c r="H4" s="23" t="s">
        <v>30</v>
      </c>
      <c r="I4" s="34" t="s">
        <v>31</v>
      </c>
      <c r="J4" s="21"/>
      <c r="K4" s="23" t="s">
        <v>30</v>
      </c>
      <c r="L4" s="50" t="s">
        <v>33</v>
      </c>
      <c r="M4" s="21"/>
      <c r="N4" s="23" t="s">
        <v>30</v>
      </c>
    </row>
    <row r="5" spans="1:14" ht="15">
      <c r="A5" s="180"/>
      <c r="B5" s="180"/>
      <c r="C5" s="18">
        <v>2010</v>
      </c>
      <c r="D5" s="19">
        <v>2011</v>
      </c>
      <c r="E5" s="19" t="s">
        <v>94</v>
      </c>
      <c r="F5" s="18">
        <v>2010</v>
      </c>
      <c r="G5" s="19">
        <v>2011</v>
      </c>
      <c r="H5" s="44" t="s">
        <v>29</v>
      </c>
      <c r="I5" s="30" t="s">
        <v>32</v>
      </c>
      <c r="J5" s="28"/>
      <c r="K5" s="44" t="s">
        <v>29</v>
      </c>
      <c r="L5" s="52" t="s">
        <v>34</v>
      </c>
      <c r="M5" s="28"/>
      <c r="N5" s="44" t="s">
        <v>29</v>
      </c>
    </row>
    <row r="6" spans="1:14" ht="15">
      <c r="A6" s="180"/>
      <c r="B6" s="180"/>
      <c r="C6" s="40"/>
      <c r="D6" s="11"/>
      <c r="E6" s="11" t="s">
        <v>95</v>
      </c>
      <c r="F6" s="29"/>
      <c r="G6" s="28"/>
      <c r="H6" s="29" t="s">
        <v>96</v>
      </c>
      <c r="I6" s="18">
        <v>2010</v>
      </c>
      <c r="J6" s="19">
        <v>2011</v>
      </c>
      <c r="K6" s="29" t="s">
        <v>96</v>
      </c>
      <c r="L6" s="18">
        <v>2010</v>
      </c>
      <c r="M6" s="19">
        <v>2011</v>
      </c>
      <c r="N6" s="29" t="s">
        <v>96</v>
      </c>
    </row>
    <row r="7" spans="1:14" ht="16.5" customHeight="1">
      <c r="A7" s="31">
        <v>1</v>
      </c>
      <c r="B7" s="31" t="s">
        <v>61</v>
      </c>
      <c r="C7" s="36">
        <v>142</v>
      </c>
      <c r="D7" s="36">
        <v>134</v>
      </c>
      <c r="E7" s="36">
        <f aca="true" t="shared" si="0" ref="E7:E18">D7*100/C7</f>
        <v>94.36619718309859</v>
      </c>
      <c r="F7" s="36">
        <v>135</v>
      </c>
      <c r="G7" s="36">
        <v>126</v>
      </c>
      <c r="H7" s="36">
        <f aca="true" t="shared" si="1" ref="H7:H18">G7-F7</f>
        <v>-9</v>
      </c>
      <c r="I7" s="36">
        <f>F7*100/180</f>
        <v>75</v>
      </c>
      <c r="J7" s="36">
        <f>G7*100/180</f>
        <v>70</v>
      </c>
      <c r="K7" s="36">
        <f aca="true" t="shared" si="2" ref="K7:K18">J7-I7</f>
        <v>-5</v>
      </c>
      <c r="L7" s="36">
        <f>(C7-F7)*100/180</f>
        <v>3.888888888888889</v>
      </c>
      <c r="M7" s="36">
        <f>(D7-G7)*100/180</f>
        <v>4.444444444444445</v>
      </c>
      <c r="N7" s="36">
        <f>M7-L7</f>
        <v>0.5555555555555558</v>
      </c>
    </row>
    <row r="8" spans="1:14" ht="16.5" customHeight="1">
      <c r="A8" s="31">
        <v>2</v>
      </c>
      <c r="B8" s="31" t="s">
        <v>62</v>
      </c>
      <c r="C8" s="36">
        <v>96</v>
      </c>
      <c r="D8" s="36">
        <v>100</v>
      </c>
      <c r="E8" s="36">
        <f t="shared" si="0"/>
        <v>104.16666666666667</v>
      </c>
      <c r="F8" s="36">
        <v>92</v>
      </c>
      <c r="G8" s="36">
        <v>91</v>
      </c>
      <c r="H8" s="36">
        <f t="shared" si="1"/>
        <v>-1</v>
      </c>
      <c r="I8" s="36">
        <f>F8*100/105</f>
        <v>87.61904761904762</v>
      </c>
      <c r="J8" s="36">
        <f>G8*100/105</f>
        <v>86.66666666666667</v>
      </c>
      <c r="K8" s="36">
        <f>J8-I8</f>
        <v>-0.952380952380949</v>
      </c>
      <c r="L8" s="36">
        <f>(C8-F8)*100/105</f>
        <v>3.8095238095238093</v>
      </c>
      <c r="M8" s="36">
        <f>(D8-G8)*100/105</f>
        <v>8.571428571428571</v>
      </c>
      <c r="N8" s="36">
        <f>M8-L8</f>
        <v>4.761904761904762</v>
      </c>
    </row>
    <row r="9" spans="1:14" ht="16.5" customHeight="1">
      <c r="A9" s="31">
        <v>3</v>
      </c>
      <c r="B9" s="31" t="s">
        <v>63</v>
      </c>
      <c r="C9" s="36">
        <v>41</v>
      </c>
      <c r="D9" s="36">
        <v>52</v>
      </c>
      <c r="E9" s="36">
        <f t="shared" si="0"/>
        <v>126.82926829268293</v>
      </c>
      <c r="F9" s="36">
        <v>39</v>
      </c>
      <c r="G9" s="36">
        <v>47</v>
      </c>
      <c r="H9" s="36">
        <f t="shared" si="1"/>
        <v>8</v>
      </c>
      <c r="I9" s="36">
        <f>F9*100/54</f>
        <v>72.22222222222223</v>
      </c>
      <c r="J9" s="36">
        <f>G9*100/60</f>
        <v>78.33333333333333</v>
      </c>
      <c r="K9" s="36">
        <f>J9-I9</f>
        <v>6.1111111111111</v>
      </c>
      <c r="L9" s="36">
        <f>(C9-F9)*100/54</f>
        <v>3.7037037037037037</v>
      </c>
      <c r="M9" s="36">
        <f>(D9-G9)*100/60</f>
        <v>8.333333333333334</v>
      </c>
      <c r="N9" s="36">
        <f>M9-L9</f>
        <v>4.62962962962963</v>
      </c>
    </row>
    <row r="10" spans="1:14" ht="16.5" customHeight="1">
      <c r="A10" s="31">
        <v>4</v>
      </c>
      <c r="B10" s="22" t="s">
        <v>64</v>
      </c>
      <c r="C10" s="36">
        <v>145</v>
      </c>
      <c r="D10" s="36">
        <v>151</v>
      </c>
      <c r="E10" s="36">
        <f t="shared" si="0"/>
        <v>104.13793103448276</v>
      </c>
      <c r="F10" s="36">
        <v>139</v>
      </c>
      <c r="G10" s="36">
        <v>121</v>
      </c>
      <c r="H10" s="36">
        <f t="shared" si="1"/>
        <v>-18</v>
      </c>
      <c r="I10" s="36">
        <f>F10*100/304</f>
        <v>45.723684210526315</v>
      </c>
      <c r="J10" s="36">
        <f>G10*100/308</f>
        <v>39.285714285714285</v>
      </c>
      <c r="K10" s="36">
        <f t="shared" si="2"/>
        <v>-6.43796992481203</v>
      </c>
      <c r="L10" s="36">
        <f>(C10-F10)*100/304</f>
        <v>1.9736842105263157</v>
      </c>
      <c r="M10" s="36">
        <f>(D10-G10)*100/308</f>
        <v>9.74025974025974</v>
      </c>
      <c r="N10" s="36">
        <f aca="true" t="shared" si="3" ref="N10:N18">M10-L10</f>
        <v>7.766575529733424</v>
      </c>
    </row>
    <row r="11" spans="1:14" ht="16.5" customHeight="1">
      <c r="A11" s="31">
        <v>5</v>
      </c>
      <c r="B11" s="31" t="s">
        <v>65</v>
      </c>
      <c r="C11" s="36">
        <v>181</v>
      </c>
      <c r="D11" s="36">
        <v>87</v>
      </c>
      <c r="E11" s="36">
        <f t="shared" si="0"/>
        <v>48.06629834254144</v>
      </c>
      <c r="F11" s="36">
        <v>157</v>
      </c>
      <c r="G11" s="36">
        <v>79</v>
      </c>
      <c r="H11" s="36">
        <f t="shared" si="1"/>
        <v>-78</v>
      </c>
      <c r="I11" s="36">
        <f>F11*100/250</f>
        <v>62.8</v>
      </c>
      <c r="J11" s="36">
        <f>G11*100/280</f>
        <v>28.214285714285715</v>
      </c>
      <c r="K11" s="36">
        <f t="shared" si="2"/>
        <v>-34.58571428571428</v>
      </c>
      <c r="L11" s="36">
        <f>(C11-F11)*100/250</f>
        <v>9.6</v>
      </c>
      <c r="M11" s="36">
        <f>(D11-G11)*100/280</f>
        <v>2.857142857142857</v>
      </c>
      <c r="N11" s="36">
        <f t="shared" si="3"/>
        <v>-6.742857142857142</v>
      </c>
    </row>
    <row r="12" spans="1:14" ht="16.5" customHeight="1">
      <c r="A12" s="31">
        <v>6</v>
      </c>
      <c r="B12" s="32" t="s">
        <v>81</v>
      </c>
      <c r="C12" s="94">
        <v>88</v>
      </c>
      <c r="D12" s="94">
        <v>74</v>
      </c>
      <c r="E12" s="36">
        <f t="shared" si="0"/>
        <v>84.0909090909091</v>
      </c>
      <c r="F12" s="94">
        <v>78</v>
      </c>
      <c r="G12" s="94">
        <v>68</v>
      </c>
      <c r="H12" s="36">
        <f t="shared" si="1"/>
        <v>-10</v>
      </c>
      <c r="I12" s="94">
        <f>F12*100/85</f>
        <v>91.76470588235294</v>
      </c>
      <c r="J12" s="94">
        <f>G12*100/85</f>
        <v>80</v>
      </c>
      <c r="K12" s="36">
        <f t="shared" si="2"/>
        <v>-11.764705882352942</v>
      </c>
      <c r="L12" s="36">
        <f>(C12-F12)*100/85</f>
        <v>11.764705882352942</v>
      </c>
      <c r="M12" s="36">
        <f>(D12-G12)*100/85</f>
        <v>7.0588235294117645</v>
      </c>
      <c r="N12" s="94">
        <f t="shared" si="3"/>
        <v>-4.7058823529411775</v>
      </c>
    </row>
    <row r="13" spans="1:14" ht="16.5" customHeight="1">
      <c r="A13" s="31">
        <v>7</v>
      </c>
      <c r="B13" s="32" t="s">
        <v>66</v>
      </c>
      <c r="C13" s="94">
        <v>43</v>
      </c>
      <c r="D13" s="94">
        <v>66</v>
      </c>
      <c r="E13" s="36">
        <f t="shared" si="0"/>
        <v>153.48837209302326</v>
      </c>
      <c r="F13" s="94">
        <v>35</v>
      </c>
      <c r="G13" s="94">
        <v>58</v>
      </c>
      <c r="H13" s="36">
        <f t="shared" si="1"/>
        <v>23</v>
      </c>
      <c r="I13" s="94">
        <f>F13*100/52</f>
        <v>67.3076923076923</v>
      </c>
      <c r="J13" s="94">
        <f>G13*100/60</f>
        <v>96.66666666666667</v>
      </c>
      <c r="K13" s="36">
        <f t="shared" si="2"/>
        <v>29.358974358974365</v>
      </c>
      <c r="L13" s="36">
        <f>(C13-F13)*100/52</f>
        <v>15.384615384615385</v>
      </c>
      <c r="M13" s="36">
        <f>(D13-G13)*100/60</f>
        <v>13.333333333333334</v>
      </c>
      <c r="N13" s="94">
        <f t="shared" si="3"/>
        <v>-2.051282051282051</v>
      </c>
    </row>
    <row r="14" spans="1:14" ht="16.5" customHeight="1">
      <c r="A14" s="31">
        <v>8</v>
      </c>
      <c r="B14" s="32" t="s">
        <v>102</v>
      </c>
      <c r="D14" s="94">
        <v>5</v>
      </c>
      <c r="E14" s="36"/>
      <c r="F14" s="94"/>
      <c r="G14" s="94"/>
      <c r="H14" s="36"/>
      <c r="I14" s="94"/>
      <c r="J14" s="94"/>
      <c r="K14" s="36"/>
      <c r="L14" s="36"/>
      <c r="M14" s="36"/>
      <c r="N14" s="94"/>
    </row>
    <row r="15" spans="1:14" ht="16.5" customHeight="1">
      <c r="A15" s="31">
        <v>9</v>
      </c>
      <c r="B15" s="32" t="s">
        <v>80</v>
      </c>
      <c r="C15" s="94">
        <v>72</v>
      </c>
      <c r="D15" s="94">
        <v>82</v>
      </c>
      <c r="E15" s="36">
        <f>D15*100/C16</f>
        <v>67.76859504132231</v>
      </c>
      <c r="F15" s="94">
        <v>57</v>
      </c>
      <c r="G15" s="94">
        <v>71</v>
      </c>
      <c r="H15" s="36">
        <f>G15-F15</f>
        <v>14</v>
      </c>
      <c r="I15" s="94">
        <f>F15*100/60</f>
        <v>95</v>
      </c>
      <c r="J15" s="94">
        <f>G15*100/78</f>
        <v>91.02564102564102</v>
      </c>
      <c r="K15" s="36">
        <f t="shared" si="2"/>
        <v>-3.974358974358978</v>
      </c>
      <c r="L15" s="36">
        <f>(C15-F15)*100/60</f>
        <v>25</v>
      </c>
      <c r="M15" s="36">
        <f>(D15-G15)*100/78</f>
        <v>14.102564102564102</v>
      </c>
      <c r="N15" s="94">
        <f t="shared" si="3"/>
        <v>-10.897435897435898</v>
      </c>
    </row>
    <row r="16" spans="1:14" ht="16.5" customHeight="1">
      <c r="A16" s="31">
        <v>10</v>
      </c>
      <c r="B16" s="32" t="s">
        <v>67</v>
      </c>
      <c r="C16" s="94">
        <v>121</v>
      </c>
      <c r="D16" s="94">
        <v>63</v>
      </c>
      <c r="E16" s="36">
        <f>D16*100/C17</f>
        <v>252</v>
      </c>
      <c r="F16" s="94">
        <v>69</v>
      </c>
      <c r="G16" s="94">
        <v>60</v>
      </c>
      <c r="H16" s="36">
        <f>G16-F16</f>
        <v>-9</v>
      </c>
      <c r="I16" s="94">
        <f>F16*100/100</f>
        <v>69</v>
      </c>
      <c r="J16" s="94">
        <f>G16*100/100</f>
        <v>60</v>
      </c>
      <c r="K16" s="36">
        <f t="shared" si="2"/>
        <v>-9</v>
      </c>
      <c r="L16" s="36">
        <f>(C16-F16)*100/100</f>
        <v>52</v>
      </c>
      <c r="M16" s="36">
        <f>(D16-G16)*100/100</f>
        <v>3</v>
      </c>
      <c r="N16" s="94">
        <f t="shared" si="3"/>
        <v>-49</v>
      </c>
    </row>
    <row r="17" spans="1:14" ht="16.5" customHeight="1">
      <c r="A17" s="31">
        <v>11</v>
      </c>
      <c r="B17" s="32" t="s">
        <v>68</v>
      </c>
      <c r="C17" s="94">
        <v>25</v>
      </c>
      <c r="D17" s="94">
        <v>28</v>
      </c>
      <c r="E17" s="36">
        <f>D17*100/C18</f>
        <v>2.9350104821802936</v>
      </c>
      <c r="F17" s="94">
        <v>25</v>
      </c>
      <c r="G17" s="94">
        <v>28</v>
      </c>
      <c r="H17" s="36">
        <f>G17-F17</f>
        <v>3</v>
      </c>
      <c r="I17" s="94">
        <f>F17*100/42</f>
        <v>59.523809523809526</v>
      </c>
      <c r="J17" s="94">
        <f>G17*100/42</f>
        <v>66.66666666666667</v>
      </c>
      <c r="K17" s="36">
        <f t="shared" si="2"/>
        <v>7.142857142857146</v>
      </c>
      <c r="L17" s="36">
        <f>(C17-F17)*100/42</f>
        <v>0</v>
      </c>
      <c r="M17" s="36">
        <f>(D17-G17)*100/42</f>
        <v>0</v>
      </c>
      <c r="N17" s="94">
        <f t="shared" si="3"/>
        <v>0</v>
      </c>
    </row>
    <row r="18" spans="1:14" ht="16.5" customHeight="1">
      <c r="A18" s="130" t="s">
        <v>79</v>
      </c>
      <c r="B18" s="179"/>
      <c r="C18" s="36">
        <f>SUM(C7:C17)</f>
        <v>954</v>
      </c>
      <c r="D18" s="3">
        <f>SUM(D7:D17)</f>
        <v>842</v>
      </c>
      <c r="E18" s="36">
        <f t="shared" si="0"/>
        <v>88.25995807127883</v>
      </c>
      <c r="F18" s="3">
        <f>SUM(F7:F17)</f>
        <v>826</v>
      </c>
      <c r="G18" s="3">
        <f>SUM(G7:G17)</f>
        <v>749</v>
      </c>
      <c r="H18" s="36">
        <f t="shared" si="1"/>
        <v>-77</v>
      </c>
      <c r="I18" s="36">
        <f>F18*100/1232</f>
        <v>67.04545454545455</v>
      </c>
      <c r="J18" s="36">
        <f>G18*100/1298</f>
        <v>57.70416024653313</v>
      </c>
      <c r="K18" s="36">
        <f t="shared" si="2"/>
        <v>-9.341294298921419</v>
      </c>
      <c r="L18" s="36">
        <f>(C18-F18)*100/1232</f>
        <v>10.38961038961039</v>
      </c>
      <c r="M18" s="36">
        <f>(D18-G18)*100/1298</f>
        <v>7.164869029275809</v>
      </c>
      <c r="N18" s="36">
        <f t="shared" si="3"/>
        <v>-3.2247413603345807</v>
      </c>
    </row>
  </sheetData>
  <sheetProtection/>
  <mergeCells count="5">
    <mergeCell ref="A2:N2"/>
    <mergeCell ref="A1:N1"/>
    <mergeCell ref="A18:B18"/>
    <mergeCell ref="B4:B6"/>
    <mergeCell ref="A4:A6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70" zoomScaleNormal="75" zoomScaleSheetLayoutView="70" zoomScalePageLayoutView="0" workbookViewId="0" topLeftCell="A1">
      <selection activeCell="E12" sqref="E12"/>
    </sheetView>
  </sheetViews>
  <sheetFormatPr defaultColWidth="9.00390625" defaultRowHeight="12.75"/>
  <cols>
    <col min="1" max="1" width="3.75390625" style="20" customWidth="1"/>
    <col min="2" max="2" width="29.75390625" style="20" customWidth="1"/>
    <col min="3" max="3" width="12.125" style="20" customWidth="1"/>
    <col min="4" max="4" width="14.625" style="20" customWidth="1"/>
    <col min="5" max="5" width="13.00390625" style="20" customWidth="1"/>
    <col min="6" max="6" width="13.25390625" style="20" customWidth="1"/>
    <col min="7" max="16384" width="9.125" style="20" customWidth="1"/>
  </cols>
  <sheetData>
    <row r="1" spans="1:9" ht="15.75" customHeight="1">
      <c r="A1" s="165" t="s">
        <v>12</v>
      </c>
      <c r="B1" s="165"/>
      <c r="C1" s="165"/>
      <c r="D1" s="165"/>
      <c r="E1" s="165"/>
      <c r="F1" s="165"/>
      <c r="G1" s="79"/>
      <c r="H1" s="79"/>
      <c r="I1" s="79"/>
    </row>
    <row r="2" spans="1:9" ht="15.75">
      <c r="A2" s="181" t="s">
        <v>105</v>
      </c>
      <c r="B2" s="181"/>
      <c r="C2" s="181"/>
      <c r="D2" s="181"/>
      <c r="E2" s="181"/>
      <c r="F2" s="181"/>
      <c r="G2" s="79"/>
      <c r="H2" s="79"/>
      <c r="I2" s="79"/>
    </row>
    <row r="3" spans="1:9" ht="15">
      <c r="A3" s="4" t="s">
        <v>2</v>
      </c>
      <c r="B3" s="4" t="s">
        <v>3</v>
      </c>
      <c r="C3" s="5" t="s">
        <v>45</v>
      </c>
      <c r="D3" s="6"/>
      <c r="E3" s="5" t="s">
        <v>46</v>
      </c>
      <c r="F3" s="7"/>
      <c r="G3" s="79"/>
      <c r="H3" s="79"/>
      <c r="I3" s="79"/>
    </row>
    <row r="4" spans="1:9" ht="15">
      <c r="A4" s="8"/>
      <c r="B4" s="8"/>
      <c r="C4" s="18">
        <v>2010</v>
      </c>
      <c r="D4" s="19">
        <v>2011</v>
      </c>
      <c r="E4" s="18">
        <v>2010</v>
      </c>
      <c r="F4" s="19">
        <v>2011</v>
      </c>
      <c r="G4" s="79"/>
      <c r="H4" s="79"/>
      <c r="I4" s="79"/>
    </row>
    <row r="5" spans="1:9" ht="15">
      <c r="A5" s="3">
        <v>1</v>
      </c>
      <c r="B5" s="22" t="s">
        <v>61</v>
      </c>
      <c r="C5" s="36">
        <f>(молоко!C6*1000)/1875</f>
        <v>187.73333333333332</v>
      </c>
      <c r="D5" s="36">
        <f>(молоко!D6*1000)/1875</f>
        <v>172.8</v>
      </c>
      <c r="E5" s="36">
        <f>(мясо!C7*1000)/1875</f>
        <v>12.906666666666666</v>
      </c>
      <c r="F5" s="36">
        <f>(мясо!D7*1000)/1875</f>
        <v>16.906666666666666</v>
      </c>
      <c r="H5" s="79"/>
      <c r="I5" s="79"/>
    </row>
    <row r="6" spans="1:9" ht="15">
      <c r="A6" s="3">
        <v>2</v>
      </c>
      <c r="B6" s="22" t="s">
        <v>62</v>
      </c>
      <c r="C6" s="36">
        <f>(молоко!C7*1000)/799</f>
        <v>321.30788485607013</v>
      </c>
      <c r="D6" s="36">
        <f>(молоко!D7*1000)/799</f>
        <v>276.59574468085106</v>
      </c>
      <c r="E6" s="36">
        <f>(мясо!C8*1000)/799</f>
        <v>9.762202753441802</v>
      </c>
      <c r="F6" s="36">
        <f>(мясо!D8*1000)/799</f>
        <v>17.521902377972467</v>
      </c>
      <c r="H6" s="79"/>
      <c r="I6" s="79"/>
    </row>
    <row r="7" spans="1:9" ht="15">
      <c r="A7" s="3">
        <v>3</v>
      </c>
      <c r="B7" s="22" t="s">
        <v>63</v>
      </c>
      <c r="C7" s="36">
        <f>(молоко!C8*1000)/2025</f>
        <v>77.03703703703704</v>
      </c>
      <c r="D7" s="36">
        <f>(молоко!D8*1000)/2025</f>
        <v>81.48148148148148</v>
      </c>
      <c r="E7" s="36">
        <f>(мясо!C9*1000)/2025</f>
        <v>0.5679012345679012</v>
      </c>
      <c r="F7" s="36">
        <f>(мясо!D9*1000)/2025</f>
        <v>3.0123456790123457</v>
      </c>
      <c r="H7" s="79"/>
      <c r="I7" s="79"/>
    </row>
    <row r="8" spans="1:9" ht="15">
      <c r="A8" s="3">
        <v>4</v>
      </c>
      <c r="B8" s="38" t="s">
        <v>64</v>
      </c>
      <c r="C8" s="36">
        <f>(молоко!C9*1000)/2478</f>
        <v>288.7812752219532</v>
      </c>
      <c r="D8" s="36">
        <f>(молоко!D9*1000)/2478</f>
        <v>263.6400322841001</v>
      </c>
      <c r="E8" s="36">
        <f>(мясо!C10*1000)/2478</f>
        <v>28.00645682001614</v>
      </c>
      <c r="F8" s="36">
        <f>(мясо!D10*1000)/2478</f>
        <v>38.05488297013721</v>
      </c>
      <c r="H8" s="79"/>
      <c r="I8" s="79"/>
    </row>
    <row r="9" spans="1:9" ht="15">
      <c r="A9" s="3">
        <v>5</v>
      </c>
      <c r="B9" s="22" t="s">
        <v>65</v>
      </c>
      <c r="C9" s="36">
        <f>(молоко!C10*1000)/2157</f>
        <v>197.9601298099212</v>
      </c>
      <c r="D9" s="36">
        <f>(молоко!D10*1000)/2157</f>
        <v>171.07093184979138</v>
      </c>
      <c r="E9" s="36">
        <f>(мясо!C11*1000)/2157</f>
        <v>25.91562355122856</v>
      </c>
      <c r="F9" s="36">
        <f>(мясо!D11*1000)/2157</f>
        <v>24.942049142327306</v>
      </c>
      <c r="H9" s="79"/>
      <c r="I9" s="79"/>
    </row>
    <row r="10" spans="1:9" ht="15">
      <c r="A10" s="3">
        <v>6</v>
      </c>
      <c r="B10" s="38" t="s">
        <v>81</v>
      </c>
      <c r="C10" s="36">
        <f>(молоко!C11*1000)/859</f>
        <v>317.8114086146682</v>
      </c>
      <c r="D10" s="36">
        <f>(молоко!D11*1000)/859</f>
        <v>316.7636786961583</v>
      </c>
      <c r="E10" s="36">
        <f>(мясо!C12*1000)/859</f>
        <v>20.256111757857976</v>
      </c>
      <c r="F10" s="36">
        <f>(мясо!D12*1000)/859</f>
        <v>27.240977881257276</v>
      </c>
      <c r="H10" s="79"/>
      <c r="I10" s="79"/>
    </row>
    <row r="11" spans="1:9" ht="15">
      <c r="A11" s="3">
        <v>7</v>
      </c>
      <c r="B11" s="38" t="s">
        <v>66</v>
      </c>
      <c r="C11" s="36">
        <f>(молоко!C12*1000)/1482</f>
        <v>69.83805668016194</v>
      </c>
      <c r="D11" s="36">
        <f>(молоко!D12*1000)/1482</f>
        <v>124.56140350877193</v>
      </c>
      <c r="E11" s="36">
        <f>(мясо!C13*1000)/1482</f>
        <v>5.883940620782726</v>
      </c>
      <c r="F11" s="36">
        <f>(мясо!D13*1000)/1482</f>
        <v>0.6747638326585695</v>
      </c>
      <c r="H11" s="79"/>
      <c r="I11" s="79"/>
    </row>
    <row r="12" spans="1:9" ht="15">
      <c r="A12" s="3">
        <v>8</v>
      </c>
      <c r="B12" s="32" t="s">
        <v>102</v>
      </c>
      <c r="C12" s="36"/>
      <c r="D12" s="36"/>
      <c r="E12" s="36"/>
      <c r="F12" s="36"/>
      <c r="H12" s="79"/>
      <c r="I12" s="79"/>
    </row>
    <row r="13" spans="1:9" ht="15.75" customHeight="1">
      <c r="A13" s="3">
        <v>9</v>
      </c>
      <c r="B13" s="32" t="s">
        <v>80</v>
      </c>
      <c r="C13" s="36">
        <f>(молоко!C14*1000)/1077</f>
        <v>248.03899721448468</v>
      </c>
      <c r="D13" s="36">
        <f>(молоко!D14*1000)/1077</f>
        <v>302.87836583101205</v>
      </c>
      <c r="E13" s="36">
        <f>(мясо!C15*1000)/1077</f>
        <v>9.470752089136491</v>
      </c>
      <c r="F13" s="36">
        <f>(мясо!D15*1000)/1077</f>
        <v>14.289693593314762</v>
      </c>
      <c r="H13" s="79"/>
      <c r="I13" s="79"/>
    </row>
    <row r="14" spans="1:9" ht="15">
      <c r="A14" s="3">
        <v>10</v>
      </c>
      <c r="B14" s="38" t="s">
        <v>67</v>
      </c>
      <c r="C14" s="36">
        <f>(молоко!C15*1000)/1084</f>
        <v>125.46125461254613</v>
      </c>
      <c r="D14" s="36">
        <f>(молоко!D15*1000)/1084</f>
        <v>203.3210332103321</v>
      </c>
      <c r="E14" s="36">
        <f>(мясо!C16*1000)/1084</f>
        <v>16.14391143911439</v>
      </c>
      <c r="F14" s="36">
        <f>(мясо!D16*1000)/1084</f>
        <v>13.560885608856088</v>
      </c>
      <c r="H14" s="79"/>
      <c r="I14" s="79"/>
    </row>
    <row r="15" spans="1:9" ht="15">
      <c r="A15" s="3">
        <v>11</v>
      </c>
      <c r="B15" s="38" t="s">
        <v>68</v>
      </c>
      <c r="C15" s="36">
        <f>(молоко!C16*1000)/674</f>
        <v>145.9940652818991</v>
      </c>
      <c r="D15" s="36">
        <f>(молоко!D16*1000)/674</f>
        <v>161.72106824925817</v>
      </c>
      <c r="E15" s="36">
        <f>(мясо!C17*1000)/674</f>
        <v>8.011869436201781</v>
      </c>
      <c r="F15" s="36">
        <f>(мясо!D17*1000)/674</f>
        <v>17.2106824925816</v>
      </c>
      <c r="H15" s="79"/>
      <c r="I15" s="79"/>
    </row>
    <row r="16" spans="1:9" ht="15">
      <c r="A16" s="3">
        <v>12</v>
      </c>
      <c r="B16" s="38" t="s">
        <v>69</v>
      </c>
      <c r="C16" s="36"/>
      <c r="D16" s="36"/>
      <c r="E16" s="36">
        <f>(мясо!C18*1000)/983</f>
        <v>530.0101729399796</v>
      </c>
      <c r="F16" s="36">
        <f>(мясо!D18*1000)/983</f>
        <v>691.7599186164801</v>
      </c>
      <c r="H16" s="79"/>
      <c r="I16" s="79"/>
    </row>
    <row r="17" spans="1:6" ht="15">
      <c r="A17" s="130" t="s">
        <v>11</v>
      </c>
      <c r="B17" s="131"/>
      <c r="C17" s="36">
        <f>(молоко!C17*1000)/22877</f>
        <v>121.75385758622197</v>
      </c>
      <c r="D17" s="36">
        <f>(молоко!D17*1000)/22877</f>
        <v>124.39568125191238</v>
      </c>
      <c r="E17" s="36">
        <f>(мясо!C21*1000)/22877</f>
        <v>32.332473663504835</v>
      </c>
      <c r="F17" s="36">
        <f>(мясо!D21*1000)/22877</f>
        <v>41.58018971018927</v>
      </c>
    </row>
  </sheetData>
  <sheetProtection/>
  <mergeCells count="3">
    <mergeCell ref="A1:F1"/>
    <mergeCell ref="A2:F2"/>
    <mergeCell ref="A17:B17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Normal="75" zoomScaleSheetLayoutView="70" zoomScalePageLayoutView="0" workbookViewId="0" topLeftCell="A1">
      <selection activeCell="J12" sqref="J12"/>
    </sheetView>
  </sheetViews>
  <sheetFormatPr defaultColWidth="9.00390625" defaultRowHeight="12.75"/>
  <cols>
    <col min="1" max="1" width="3.375" style="0" customWidth="1"/>
    <col min="2" max="2" width="32.25390625" style="0" customWidth="1"/>
    <col min="3" max="3" width="10.375" style="0" customWidth="1"/>
    <col min="4" max="4" width="11.375" style="0" customWidth="1"/>
    <col min="5" max="5" width="14.25390625" style="0" customWidth="1"/>
    <col min="6" max="6" width="13.875" style="0" customWidth="1"/>
    <col min="7" max="7" width="12.25390625" style="0" customWidth="1"/>
    <col min="8" max="8" width="10.375" style="0" customWidth="1"/>
    <col min="9" max="9" width="10.625" style="0" customWidth="1"/>
    <col min="10" max="10" width="14.75390625" style="0" customWidth="1"/>
    <col min="11" max="11" width="13.625" style="0" customWidth="1"/>
    <col min="12" max="12" width="7.75390625" style="0" customWidth="1"/>
    <col min="13" max="13" width="7.875" style="0" customWidth="1"/>
  </cols>
  <sheetData>
    <row r="1" spans="1:11" ht="18">
      <c r="A1" s="20"/>
      <c r="B1" s="14"/>
      <c r="C1" s="43" t="s">
        <v>104</v>
      </c>
      <c r="D1" s="43"/>
      <c r="E1" s="43"/>
      <c r="F1" s="14"/>
      <c r="G1" s="14"/>
      <c r="H1" s="14"/>
      <c r="I1" s="14"/>
      <c r="J1" s="14"/>
      <c r="K1" s="14"/>
    </row>
    <row r="2" spans="1:11" ht="18">
      <c r="A2" s="20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8">
      <c r="A3" s="137" t="s">
        <v>2</v>
      </c>
      <c r="B3" s="182" t="s">
        <v>3</v>
      </c>
      <c r="C3" s="54" t="s">
        <v>13</v>
      </c>
      <c r="D3" s="55"/>
      <c r="E3" s="56"/>
      <c r="F3" s="57" t="s">
        <v>14</v>
      </c>
      <c r="G3" s="58" t="s">
        <v>17</v>
      </c>
      <c r="H3" s="59" t="s">
        <v>19</v>
      </c>
      <c r="I3" s="60"/>
      <c r="J3" s="53"/>
      <c r="K3" s="53" t="s">
        <v>20</v>
      </c>
    </row>
    <row r="4" spans="1:11" ht="18">
      <c r="A4" s="158"/>
      <c r="B4" s="158"/>
      <c r="C4" s="61">
        <v>2010</v>
      </c>
      <c r="D4" s="57">
        <v>2011</v>
      </c>
      <c r="E4" s="57" t="s">
        <v>94</v>
      </c>
      <c r="F4" s="62" t="s">
        <v>15</v>
      </c>
      <c r="G4" s="63" t="s">
        <v>18</v>
      </c>
      <c r="H4" s="61">
        <v>2010</v>
      </c>
      <c r="I4" s="57">
        <v>2011</v>
      </c>
      <c r="J4" s="57" t="s">
        <v>94</v>
      </c>
      <c r="K4" s="64" t="s">
        <v>21</v>
      </c>
    </row>
    <row r="5" spans="1:11" ht="18">
      <c r="A5" s="138"/>
      <c r="B5" s="138"/>
      <c r="C5" s="65"/>
      <c r="D5" s="66"/>
      <c r="E5" s="66" t="s">
        <v>95</v>
      </c>
      <c r="F5" s="66" t="s">
        <v>16</v>
      </c>
      <c r="G5" s="67"/>
      <c r="H5" s="65"/>
      <c r="I5" s="66"/>
      <c r="J5" s="66" t="s">
        <v>95</v>
      </c>
      <c r="K5" s="68" t="s">
        <v>0</v>
      </c>
    </row>
    <row r="6" spans="1:11" ht="16.5" customHeight="1">
      <c r="A6" s="31">
        <v>1</v>
      </c>
      <c r="B6" s="69" t="s">
        <v>61</v>
      </c>
      <c r="C6" s="12">
        <v>352</v>
      </c>
      <c r="D6" s="12">
        <v>324</v>
      </c>
      <c r="E6" s="13">
        <f aca="true" t="shared" si="0" ref="E6:E16">D6/C6*100</f>
        <v>92.04545454545455</v>
      </c>
      <c r="F6" s="12">
        <v>258</v>
      </c>
      <c r="G6" s="13">
        <f aca="true" t="shared" si="1" ref="G6:G16">F6/D6*100</f>
        <v>79.62962962962963</v>
      </c>
      <c r="H6" s="17">
        <f>C6/'численность 1'!J6*1000</f>
        <v>1955.5555555555554</v>
      </c>
      <c r="I6" s="17">
        <f>D6/'численность 1'!K6*1000</f>
        <v>1800</v>
      </c>
      <c r="J6" s="13">
        <f aca="true" t="shared" si="2" ref="J6:J17">I6/H6*100</f>
        <v>92.04545454545455</v>
      </c>
      <c r="K6" s="16">
        <v>485</v>
      </c>
    </row>
    <row r="7" spans="1:11" ht="16.5" customHeight="1">
      <c r="A7" s="31">
        <v>2</v>
      </c>
      <c r="B7" s="69" t="s">
        <v>62</v>
      </c>
      <c r="C7" s="12">
        <v>256.725</v>
      </c>
      <c r="D7" s="12">
        <v>221</v>
      </c>
      <c r="E7" s="13">
        <f t="shared" si="0"/>
        <v>86.08433148310448</v>
      </c>
      <c r="F7" s="12">
        <v>185</v>
      </c>
      <c r="G7" s="13">
        <f t="shared" si="1"/>
        <v>83.710407239819</v>
      </c>
      <c r="H7" s="17">
        <f>C7/'численность 1'!J7*1000</f>
        <v>2445.0000000000005</v>
      </c>
      <c r="I7" s="13">
        <f>D7/'численность 1'!K7*1000</f>
        <v>2104.761904761905</v>
      </c>
      <c r="J7" s="13">
        <f t="shared" si="2"/>
        <v>86.08433148310448</v>
      </c>
      <c r="K7" s="12"/>
    </row>
    <row r="8" spans="1:11" ht="16.5" customHeight="1">
      <c r="A8" s="31">
        <v>3</v>
      </c>
      <c r="B8" s="69" t="s">
        <v>63</v>
      </c>
      <c r="C8" s="12">
        <v>156</v>
      </c>
      <c r="D8" s="12">
        <v>165</v>
      </c>
      <c r="E8" s="13">
        <f t="shared" si="0"/>
        <v>105.76923076923077</v>
      </c>
      <c r="F8" s="12">
        <v>113</v>
      </c>
      <c r="G8" s="13">
        <f t="shared" si="1"/>
        <v>68.48484848484848</v>
      </c>
      <c r="H8" s="17">
        <f>C8/'численность 1'!J8*1000</f>
        <v>2836.3636363636365</v>
      </c>
      <c r="I8" s="13">
        <f>D8/'численность 1'!K8*1000</f>
        <v>2750</v>
      </c>
      <c r="J8" s="13">
        <f t="shared" si="2"/>
        <v>96.9551282051282</v>
      </c>
      <c r="K8" s="12"/>
    </row>
    <row r="9" spans="1:11" ht="16.5" customHeight="1">
      <c r="A9" s="31">
        <v>4</v>
      </c>
      <c r="B9" s="69" t="s">
        <v>64</v>
      </c>
      <c r="C9" s="12">
        <v>715.6</v>
      </c>
      <c r="D9" s="12">
        <v>653.3</v>
      </c>
      <c r="E9" s="13">
        <f t="shared" si="0"/>
        <v>91.29401900503073</v>
      </c>
      <c r="F9" s="12">
        <v>601.2</v>
      </c>
      <c r="G9" s="13">
        <f t="shared" si="1"/>
        <v>92.02510332159805</v>
      </c>
      <c r="H9" s="17">
        <f>C9/'численность 1'!J9*1000</f>
        <v>2353.9473684210525</v>
      </c>
      <c r="I9" s="13">
        <f>D9/'численность 1'!K9*1000</f>
        <v>2121.103896103896</v>
      </c>
      <c r="J9" s="13">
        <f t="shared" si="2"/>
        <v>90.1083823945758</v>
      </c>
      <c r="K9" s="12"/>
    </row>
    <row r="10" spans="1:11" ht="16.5" customHeight="1">
      <c r="A10" s="31">
        <v>5</v>
      </c>
      <c r="B10" s="70" t="s">
        <v>65</v>
      </c>
      <c r="C10" s="12">
        <v>427</v>
      </c>
      <c r="D10" s="12">
        <v>369</v>
      </c>
      <c r="E10" s="13">
        <f t="shared" si="0"/>
        <v>86.41686182669788</v>
      </c>
      <c r="F10" s="12">
        <v>311</v>
      </c>
      <c r="G10" s="13">
        <f t="shared" si="1"/>
        <v>84.28184281842819</v>
      </c>
      <c r="H10" s="17">
        <f>C10/'численность 1'!J10*1000</f>
        <v>1667.96875</v>
      </c>
      <c r="I10" s="13">
        <f>D10/'численность 1'!K10*1000</f>
        <v>1317.857142857143</v>
      </c>
      <c r="J10" s="13">
        <f t="shared" si="2"/>
        <v>79.00970224155236</v>
      </c>
      <c r="K10" s="12"/>
    </row>
    <row r="11" spans="1:11" ht="16.5" customHeight="1">
      <c r="A11" s="31">
        <v>6</v>
      </c>
      <c r="B11" s="70" t="s">
        <v>81</v>
      </c>
      <c r="C11" s="16">
        <v>273</v>
      </c>
      <c r="D11" s="16">
        <v>272.1</v>
      </c>
      <c r="E11" s="13">
        <f t="shared" si="0"/>
        <v>99.67032967032968</v>
      </c>
      <c r="F11" s="16">
        <v>203.5</v>
      </c>
      <c r="G11" s="17">
        <f t="shared" si="1"/>
        <v>74.78868063212055</v>
      </c>
      <c r="H11" s="17">
        <f>C11/'численность 1'!J11*1000</f>
        <v>3211.764705882353</v>
      </c>
      <c r="I11" s="13">
        <f>D11/'численность 1'!K11*1000</f>
        <v>3201.1764705882356</v>
      </c>
      <c r="J11" s="13">
        <f t="shared" si="2"/>
        <v>99.67032967032966</v>
      </c>
      <c r="K11" s="16">
        <v>278</v>
      </c>
    </row>
    <row r="12" spans="1:11" ht="16.5" customHeight="1">
      <c r="A12" s="31">
        <v>7</v>
      </c>
      <c r="B12" s="70" t="s">
        <v>66</v>
      </c>
      <c r="C12" s="16">
        <v>103.5</v>
      </c>
      <c r="D12" s="16">
        <v>184.6</v>
      </c>
      <c r="E12" s="13">
        <f t="shared" si="0"/>
        <v>178.3574879227053</v>
      </c>
      <c r="F12" s="16">
        <v>152.3</v>
      </c>
      <c r="G12" s="17">
        <f t="shared" si="1"/>
        <v>82.5027085590466</v>
      </c>
      <c r="H12" s="17">
        <f>C12/'численность 1'!J12*1000</f>
        <v>1952.830188679245</v>
      </c>
      <c r="I12" s="13">
        <f>D12/'численность 1'!K12*1000</f>
        <v>3076.6666666666665</v>
      </c>
      <c r="J12" s="13">
        <f t="shared" si="2"/>
        <v>157.54911433172302</v>
      </c>
      <c r="K12" s="16">
        <v>57.5</v>
      </c>
    </row>
    <row r="13" spans="1:11" ht="16.5" customHeight="1">
      <c r="A13" s="31">
        <v>8</v>
      </c>
      <c r="B13" s="70" t="s">
        <v>102</v>
      </c>
      <c r="C13" s="16"/>
      <c r="D13" s="16">
        <v>1.2</v>
      </c>
      <c r="E13" s="13"/>
      <c r="F13" s="16">
        <v>1.05</v>
      </c>
      <c r="G13" s="17">
        <f t="shared" si="1"/>
        <v>87.50000000000001</v>
      </c>
      <c r="H13" s="17"/>
      <c r="I13" s="13"/>
      <c r="J13" s="13"/>
      <c r="K13" s="16">
        <v>79.7</v>
      </c>
    </row>
    <row r="14" spans="1:11" ht="16.5" customHeight="1">
      <c r="A14" s="31">
        <v>9</v>
      </c>
      <c r="B14" s="70" t="s">
        <v>80</v>
      </c>
      <c r="C14" s="16">
        <v>267.138</v>
      </c>
      <c r="D14" s="16">
        <v>326.2</v>
      </c>
      <c r="E14" s="17">
        <f t="shared" si="0"/>
        <v>122.10917203842209</v>
      </c>
      <c r="F14" s="16">
        <v>303.5</v>
      </c>
      <c r="G14" s="17">
        <f t="shared" si="1"/>
        <v>93.04107909258124</v>
      </c>
      <c r="H14" s="17">
        <f>C14/'численность 1'!J14*1000</f>
        <v>4109.815384615385</v>
      </c>
      <c r="I14" s="17">
        <f>D14/'численность 1'!K14*1000</f>
        <v>4182.051282051282</v>
      </c>
      <c r="J14" s="13">
        <f t="shared" si="2"/>
        <v>101.75764336535174</v>
      </c>
      <c r="K14" s="16"/>
    </row>
    <row r="15" spans="1:11" ht="16.5" customHeight="1">
      <c r="A15" s="31">
        <v>10</v>
      </c>
      <c r="B15" s="70" t="s">
        <v>67</v>
      </c>
      <c r="C15" s="16">
        <v>136</v>
      </c>
      <c r="D15" s="16">
        <v>220.4</v>
      </c>
      <c r="E15" s="13">
        <f t="shared" si="0"/>
        <v>162.05882352941177</v>
      </c>
      <c r="F15" s="16">
        <v>173.6</v>
      </c>
      <c r="G15" s="17">
        <f t="shared" si="1"/>
        <v>78.76588021778585</v>
      </c>
      <c r="H15" s="17">
        <f>C15/'численность 1'!J15*1000</f>
        <v>1360</v>
      </c>
      <c r="I15" s="13">
        <f>D15/'численность 1'!K15*1000</f>
        <v>2204</v>
      </c>
      <c r="J15" s="13">
        <f t="shared" si="2"/>
        <v>162.05882352941177</v>
      </c>
      <c r="K15" s="16"/>
    </row>
    <row r="16" spans="1:11" ht="16.5" customHeight="1">
      <c r="A16" s="31">
        <v>11</v>
      </c>
      <c r="B16" s="70" t="s">
        <v>68</v>
      </c>
      <c r="C16" s="16">
        <v>98.4</v>
      </c>
      <c r="D16" s="16">
        <v>109</v>
      </c>
      <c r="E16" s="13">
        <f t="shared" si="0"/>
        <v>110.77235772357723</v>
      </c>
      <c r="F16" s="16">
        <v>85</v>
      </c>
      <c r="G16" s="17">
        <f t="shared" si="1"/>
        <v>77.98165137614679</v>
      </c>
      <c r="H16" s="17">
        <f>C16/'численность 1'!J16*1000</f>
        <v>2400.0000000000005</v>
      </c>
      <c r="I16" s="13">
        <f>D16/'численность 1'!K16*1000</f>
        <v>2595.2380952380954</v>
      </c>
      <c r="J16" s="13">
        <f t="shared" si="2"/>
        <v>108.13492063492063</v>
      </c>
      <c r="K16" s="16"/>
    </row>
    <row r="17" spans="1:11" ht="18">
      <c r="A17" s="183" t="s">
        <v>11</v>
      </c>
      <c r="B17" s="160"/>
      <c r="C17" s="16">
        <f>SUM(C6:C16)</f>
        <v>2785.363</v>
      </c>
      <c r="D17" s="71">
        <f>SUM(D6:D16)</f>
        <v>2845.7999999999997</v>
      </c>
      <c r="E17" s="13">
        <f>D17/C17*100</f>
        <v>102.16980695155354</v>
      </c>
      <c r="F17" s="71">
        <f>SUM(F6:F16)</f>
        <v>2387.15</v>
      </c>
      <c r="G17" s="13">
        <f>F17/D17*100</f>
        <v>83.88326656827607</v>
      </c>
      <c r="H17" s="13">
        <f>C17/'численность 1'!J20*1000</f>
        <v>2239.0377813504824</v>
      </c>
      <c r="I17" s="13">
        <f>D17/'численность 1'!K20*1000</f>
        <v>2192.449922958397</v>
      </c>
      <c r="J17" s="13">
        <f t="shared" si="2"/>
        <v>97.91929109994804</v>
      </c>
      <c r="K17" s="71">
        <f>SUM(K6:K16)</f>
        <v>900.2</v>
      </c>
    </row>
  </sheetData>
  <sheetProtection/>
  <mergeCells count="3">
    <mergeCell ref="A3:A5"/>
    <mergeCell ref="B3:B5"/>
    <mergeCell ref="A17:B17"/>
  </mergeCells>
  <printOptions/>
  <pageMargins left="0.75" right="0.75" top="1" bottom="1" header="0.5" footer="0.5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agro5</cp:lastModifiedBy>
  <cp:lastPrinted>2011-09-05T06:41:59Z</cp:lastPrinted>
  <dcterms:created xsi:type="dcterms:W3CDTF">2002-11-05T10:10:22Z</dcterms:created>
  <dcterms:modified xsi:type="dcterms:W3CDTF">2011-12-12T07:44:33Z</dcterms:modified>
  <cp:category/>
  <cp:version/>
  <cp:contentType/>
  <cp:contentStatus/>
</cp:coreProperties>
</file>