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'молоко'!$A$1:$K$18</definedName>
    <definedName name="_xlnm.Print_Area" localSheetId="9">'мясо'!$A$1:$K$20</definedName>
    <definedName name="_xlnm.Print_Area" localSheetId="7">'на 100 га'!$A$1:$F$17</definedName>
    <definedName name="_xlnm.Print_Area" localSheetId="0">'пало1'!$A$1:$T$20</definedName>
    <definedName name="_xlnm.Print_Area" localSheetId="1">'привес'!$A$1:$T$21</definedName>
    <definedName name="_xlnm.Print_Area" localSheetId="4">'приплод 2'!$A$1:$P$20</definedName>
    <definedName name="_xlnm.Print_Area" localSheetId="3">'численность 1'!$A$1:$U$20</definedName>
    <definedName name="_xlnm.Print_Area" localSheetId="2">'численность 2'!$A$1:$N$20</definedName>
  </definedNames>
  <calcPr fullCalcOnLoad="1"/>
</workbook>
</file>

<file path=xl/sharedStrings.xml><?xml version="1.0" encoding="utf-8"?>
<sst xmlns="http://schemas.openxmlformats.org/spreadsheetml/2006/main" count="293" uniqueCount="114">
  <si>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</si>
  <si>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</si>
  <si>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</si>
  <si>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</si>
  <si>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</si>
  <si>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</si>
  <si>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</si>
  <si>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</si>
  <si>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</si>
  <si>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</si>
  <si>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</si>
  <si>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</si>
  <si>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</si>
  <si>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</si>
  <si>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</si>
  <si>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</si>
  <si>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</si>
  <si>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</si>
  <si>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</si>
  <si>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</si>
  <si>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</si>
  <si>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</si>
  <si>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</si>
  <si>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</si>
  <si>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</si>
  <si>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</si>
  <si>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</si>
  <si>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</si>
  <si>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</si>
  <si>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</si>
  <si>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</si>
  <si>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</si>
  <si>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</si>
  <si>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</si>
  <si>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</si>
  <si>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</si>
  <si>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</si>
  <si>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</si>
  <si>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</si>
  <si>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</si>
  <si>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</si>
  <si>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</si>
  <si>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</si>
  <si>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</si>
  <si>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</si>
  <si>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</si>
  <si>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</si>
  <si>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</si>
  <si>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</si>
  <si>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</si>
  <si>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</si>
  <si>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</si>
  <si>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</si>
  <si>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</si>
  <si>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</si>
  <si>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</si>
  <si>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</si>
  <si>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</si>
  <si>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КРС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</si>
  <si>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</si>
  <si>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</si>
  <si>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</si>
  <si>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ЗАО А-ф"Ибр."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</si>
  <si>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</si>
  <si>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</si>
  <si>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</si>
  <si>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</si>
  <si>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</si>
  <si>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</si>
  <si>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</si>
  <si>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</si>
  <si>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</si>
  <si>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</si>
  <si>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</si>
  <si>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</si>
  <si>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2009 к 2008 г. %</t>
  </si>
  <si>
    <t>2010 в %</t>
  </si>
  <si>
    <t>к 2009 г.</t>
  </si>
  <si>
    <t>2010 к 2009 г. %</t>
  </si>
  <si>
    <t>с 2009 г.</t>
  </si>
  <si>
    <t>2009 г.</t>
  </si>
  <si>
    <t>Среднегодовое поголовье коров, гол</t>
  </si>
  <si>
    <t>в % к 2009 г.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</si>
  <si>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</si>
  <si>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</si>
  <si>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</si>
  <si>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</si>
  <si>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</si>
  <si>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ООО "А-ф "Путиловка"</t>
  </si>
  <si>
    <t>СПК "Патман"</t>
  </si>
  <si>
    <t xml:space="preserve">           свиней</t>
  </si>
  <si>
    <t xml:space="preserve"> в т.ч.  нетелей</t>
  </si>
  <si>
    <t>Крупного рогатого скота</t>
  </si>
  <si>
    <t>разница с 2009 г.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</si>
  <si>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</si>
  <si>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</si>
  <si>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</si>
  <si>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</si>
  <si>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</si>
  <si>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 xml:space="preserve">   Производство мяса за январь-сентябрь 2010 г.</t>
  </si>
  <si>
    <t xml:space="preserve">            Производство молока за январь-сентябрь  2010г. по Ибресинскому району</t>
  </si>
  <si>
    <t>по Ибресинскому району за январь-сентябрь 2010 года (ц)</t>
  </si>
  <si>
    <t>Поступление приплода (телят) за январь-сентябрь 2010 г.</t>
  </si>
  <si>
    <t>СЛУЧЕНО И ОСЕМЕНЕНО за январь-сентябрь 2010 г.по Ибресинскому р-ну</t>
  </si>
  <si>
    <t>Поступление приплода (поросят) за январь-сентябрь 2010 г.</t>
  </si>
  <si>
    <t xml:space="preserve">      ЧИСЛЕННОСТЬ СКОТА по Ибресинскому району на 1.10.2010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</si>
  <si>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1.10.2010 г., (голов)</t>
    </r>
  </si>
  <si>
    <t>Показатели получения привесов за январь-сентябрь 2010 года</t>
  </si>
  <si>
    <t>ПАЛО И ПОГИБЛО - КУПЛЕНО- ПРОДАНО крс, свиней за январь-сентябрь 2010 г.по Ибресинскому.р-ну</t>
  </si>
  <si>
    <t>Всего по Ибресинскому району</t>
  </si>
  <si>
    <t>лошади</t>
  </si>
  <si>
    <t>овцы и козы</t>
  </si>
  <si>
    <t>КФХ Ярчеев П.И.</t>
  </si>
  <si>
    <t>К(Ф)Х Ярчеев П.И.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</si>
</sst>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Fill="1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SheetLayoutView="75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" sqref="B6"/>
    </sheetView>
  </sheetViews>
  <sheetFormatPr defaultColWidth="9.00390625" defaultRowHeight="12.75"/>
  <cols>
    <col min="1" max="1" width="4.00390625" style="76" customWidth="1"/>
    <col min="2" max="2" width="30.875" style="76" customWidth="1"/>
    <col min="3" max="4" width="8.75390625" style="76" customWidth="1"/>
    <col min="5" max="5" width="8.875" style="76" customWidth="1"/>
    <col min="6" max="7" width="8.75390625" style="76" customWidth="1"/>
    <col min="8" max="8" width="8.875" style="76" customWidth="1"/>
    <col min="9" max="14" width="8.75390625" style="76" customWidth="1"/>
    <col min="15" max="15" width="8.875" style="76" customWidth="1"/>
    <col min="16" max="18" width="8.75390625" style="76" customWidth="1"/>
    <col min="19" max="19" width="8.875" style="76" customWidth="1"/>
    <col min="20" max="20" width="8.75390625" style="76" customWidth="1"/>
    <col min="21" max="16384" width="9.125" style="76" customWidth="1"/>
  </cols>
  <sheetData>
    <row r="1" spans="3:18" ht="15">
      <c r="C1" s="134" t="s">
        <v>108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3:10" ht="15">
      <c r="C2" s="77"/>
      <c r="D2" s="77"/>
      <c r="E2" s="77"/>
      <c r="F2" s="77"/>
      <c r="G2" s="77"/>
      <c r="H2" s="77"/>
      <c r="I2" s="77"/>
      <c r="J2" s="77"/>
    </row>
    <row r="3" spans="1:20" s="21" customFormat="1" ht="18.75" customHeight="1">
      <c r="A3" s="35" t="s">
        <v>2</v>
      </c>
      <c r="B3" s="24" t="s">
        <v>3</v>
      </c>
      <c r="C3" s="23" t="s">
        <v>40</v>
      </c>
      <c r="D3" s="23"/>
      <c r="E3" s="24"/>
      <c r="F3" s="23" t="s">
        <v>55</v>
      </c>
      <c r="G3" s="23"/>
      <c r="H3" s="24"/>
      <c r="I3" s="25"/>
      <c r="J3" s="26" t="s">
        <v>43</v>
      </c>
      <c r="K3" s="26"/>
      <c r="L3" s="26"/>
      <c r="M3" s="27"/>
      <c r="N3" s="27"/>
      <c r="O3" s="27"/>
      <c r="P3" s="27"/>
      <c r="Q3" s="25"/>
      <c r="R3" s="26" t="s">
        <v>44</v>
      </c>
      <c r="S3" s="26"/>
      <c r="T3" s="28"/>
    </row>
    <row r="4" spans="1:20" s="21" customFormat="1" ht="18.75" customHeight="1">
      <c r="A4" s="40"/>
      <c r="B4" s="34"/>
      <c r="C4" s="135">
        <v>2009</v>
      </c>
      <c r="D4" s="135">
        <v>2010</v>
      </c>
      <c r="E4" s="104" t="s">
        <v>41</v>
      </c>
      <c r="F4" s="135">
        <v>2009</v>
      </c>
      <c r="G4" s="135">
        <v>2010</v>
      </c>
      <c r="H4" s="104" t="s">
        <v>41</v>
      </c>
      <c r="I4" s="109" t="s">
        <v>42</v>
      </c>
      <c r="J4" s="108"/>
      <c r="K4" s="108" t="s">
        <v>9</v>
      </c>
      <c r="L4" s="110"/>
      <c r="M4" s="137" t="s">
        <v>110</v>
      </c>
      <c r="N4" s="138"/>
      <c r="O4" s="105" t="s">
        <v>111</v>
      </c>
      <c r="P4" s="106"/>
      <c r="Q4" s="105" t="s">
        <v>58</v>
      </c>
      <c r="R4" s="107"/>
      <c r="S4" s="106" t="s">
        <v>90</v>
      </c>
      <c r="T4" s="107"/>
    </row>
    <row r="5" spans="1:20" s="21" customFormat="1" ht="18.75" customHeight="1">
      <c r="A5" s="31"/>
      <c r="B5" s="30"/>
      <c r="C5" s="136"/>
      <c r="D5" s="136"/>
      <c r="E5" s="108" t="s">
        <v>79</v>
      </c>
      <c r="F5" s="136"/>
      <c r="G5" s="136"/>
      <c r="H5" s="108" t="s">
        <v>79</v>
      </c>
      <c r="I5" s="107">
        <v>2009</v>
      </c>
      <c r="J5" s="111">
        <v>2010</v>
      </c>
      <c r="K5" s="107">
        <v>2009</v>
      </c>
      <c r="L5" s="111">
        <v>2010</v>
      </c>
      <c r="M5" s="107">
        <v>2009</v>
      </c>
      <c r="N5" s="111">
        <v>2010</v>
      </c>
      <c r="O5" s="107">
        <v>2009</v>
      </c>
      <c r="P5" s="111">
        <v>2010</v>
      </c>
      <c r="Q5" s="107">
        <v>2009</v>
      </c>
      <c r="R5" s="111">
        <v>2010</v>
      </c>
      <c r="S5" s="107">
        <v>2009</v>
      </c>
      <c r="T5" s="111">
        <v>2010</v>
      </c>
    </row>
    <row r="6" spans="1:20" s="21" customFormat="1" ht="13.5" customHeight="1">
      <c r="A6" s="32">
        <v>1</v>
      </c>
      <c r="B6" s="32" t="s">
        <v>62</v>
      </c>
      <c r="C6" s="4">
        <v>1</v>
      </c>
      <c r="D6" s="4"/>
      <c r="E6" s="12">
        <f aca="true" t="shared" si="0" ref="E6:E20">D6-C6</f>
        <v>-1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3</v>
      </c>
      <c r="R6" s="4"/>
      <c r="S6" s="4"/>
      <c r="T6" s="4"/>
    </row>
    <row r="7" spans="1:20" s="21" customFormat="1" ht="15" customHeight="1">
      <c r="A7" s="32">
        <v>2</v>
      </c>
      <c r="B7" s="32" t="s">
        <v>63</v>
      </c>
      <c r="C7" s="4"/>
      <c r="D7" s="4">
        <v>1</v>
      </c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1" customFormat="1" ht="13.5" customHeight="1">
      <c r="A8" s="32">
        <v>3</v>
      </c>
      <c r="B8" s="32" t="s">
        <v>64</v>
      </c>
      <c r="C8" s="4">
        <v>1</v>
      </c>
      <c r="D8" s="4">
        <v>4</v>
      </c>
      <c r="E8" s="12">
        <f t="shared" si="0"/>
        <v>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17</v>
      </c>
      <c r="R8" s="4">
        <v>38</v>
      </c>
      <c r="S8" s="4"/>
      <c r="T8" s="4"/>
    </row>
    <row r="9" spans="1:20" s="21" customFormat="1" ht="13.5" customHeight="1">
      <c r="A9" s="32">
        <v>4</v>
      </c>
      <c r="B9" s="32" t="s">
        <v>65</v>
      </c>
      <c r="C9" s="4">
        <v>2</v>
      </c>
      <c r="D9" s="4">
        <v>1</v>
      </c>
      <c r="E9" s="12">
        <f t="shared" si="0"/>
        <v>-1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9</v>
      </c>
      <c r="R9" s="4">
        <v>12</v>
      </c>
      <c r="S9" s="4"/>
      <c r="T9" s="4"/>
    </row>
    <row r="10" spans="1:20" s="21" customFormat="1" ht="12.75" customHeight="1">
      <c r="A10" s="32">
        <v>5</v>
      </c>
      <c r="B10" s="23" t="s">
        <v>66</v>
      </c>
      <c r="C10" s="4">
        <v>4</v>
      </c>
      <c r="D10" s="4">
        <v>5</v>
      </c>
      <c r="E10" s="12">
        <f t="shared" si="0"/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496</v>
      </c>
      <c r="T10" s="4">
        <v>398</v>
      </c>
    </row>
    <row r="11" spans="1:20" s="21" customFormat="1" ht="13.5" customHeight="1">
      <c r="A11" s="32">
        <v>6</v>
      </c>
      <c r="B11" s="101" t="s">
        <v>67</v>
      </c>
      <c r="C11" s="4">
        <v>2</v>
      </c>
      <c r="D11" s="4"/>
      <c r="E11" s="12">
        <f t="shared" si="0"/>
        <v>-2</v>
      </c>
      <c r="F11" s="4">
        <v>47</v>
      </c>
      <c r="G11" s="4">
        <v>105</v>
      </c>
      <c r="H11" s="4">
        <f>G11-F11</f>
        <v>58</v>
      </c>
      <c r="I11" s="12"/>
      <c r="J11" s="4"/>
      <c r="K11" s="12"/>
      <c r="L11" s="12"/>
      <c r="M11" s="12"/>
      <c r="N11" s="12"/>
      <c r="O11" s="12"/>
      <c r="P11" s="12"/>
      <c r="Q11" s="12">
        <v>3</v>
      </c>
      <c r="R11" s="12">
        <v>5</v>
      </c>
      <c r="S11" s="4">
        <v>462</v>
      </c>
      <c r="T11" s="4">
        <v>317</v>
      </c>
    </row>
    <row r="12" spans="1:20" s="21" customFormat="1" ht="12.75" customHeight="1">
      <c r="A12" s="32">
        <v>7</v>
      </c>
      <c r="B12" s="33" t="s">
        <v>89</v>
      </c>
      <c r="C12" s="4">
        <v>15</v>
      </c>
      <c r="D12" s="4">
        <v>2</v>
      </c>
      <c r="E12" s="12">
        <f t="shared" si="0"/>
        <v>-13</v>
      </c>
      <c r="F12" s="4"/>
      <c r="G12" s="4"/>
      <c r="H12" s="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4"/>
      <c r="T12" s="4"/>
    </row>
    <row r="13" spans="1:20" s="21" customFormat="1" ht="12.75" customHeight="1">
      <c r="A13" s="32">
        <v>8</v>
      </c>
      <c r="B13" s="32" t="s">
        <v>68</v>
      </c>
      <c r="C13" s="4">
        <v>4</v>
      </c>
      <c r="D13" s="4">
        <v>2</v>
      </c>
      <c r="E13" s="12">
        <f t="shared" si="0"/>
        <v>-2</v>
      </c>
      <c r="F13" s="4"/>
      <c r="G13" s="4"/>
      <c r="H13" s="4"/>
      <c r="I13" s="4"/>
      <c r="J13" s="4">
        <v>36</v>
      </c>
      <c r="K13" s="4"/>
      <c r="L13" s="4"/>
      <c r="M13" s="4"/>
      <c r="N13" s="4"/>
      <c r="O13" s="4"/>
      <c r="P13" s="4"/>
      <c r="Q13" s="4">
        <v>1</v>
      </c>
      <c r="R13" s="4">
        <v>27</v>
      </c>
      <c r="S13" s="4"/>
      <c r="T13" s="4"/>
    </row>
    <row r="14" spans="1:20" s="21" customFormat="1" ht="13.5" customHeight="1">
      <c r="A14" s="32">
        <v>9</v>
      </c>
      <c r="B14" s="33" t="s">
        <v>88</v>
      </c>
      <c r="C14" s="4">
        <v>4</v>
      </c>
      <c r="D14" s="4">
        <v>1</v>
      </c>
      <c r="E14" s="12">
        <f t="shared" si="0"/>
        <v>-3</v>
      </c>
      <c r="F14" s="4"/>
      <c r="G14" s="4"/>
      <c r="H14" s="4"/>
      <c r="I14" s="4">
        <v>16</v>
      </c>
      <c r="J14" s="4"/>
      <c r="K14" s="4"/>
      <c r="L14" s="4"/>
      <c r="M14" s="4"/>
      <c r="N14" s="4"/>
      <c r="O14" s="4">
        <v>58</v>
      </c>
      <c r="P14" s="4">
        <f>SUM(K14:O14)</f>
        <v>58</v>
      </c>
      <c r="Q14" s="4"/>
      <c r="R14" s="4">
        <v>20</v>
      </c>
      <c r="S14" s="4"/>
      <c r="T14" s="4"/>
    </row>
    <row r="15" spans="1:20" s="21" customFormat="1" ht="12.75" customHeight="1">
      <c r="A15" s="32">
        <v>10</v>
      </c>
      <c r="B15" s="32" t="s">
        <v>69</v>
      </c>
      <c r="C15" s="4">
        <v>3</v>
      </c>
      <c r="D15" s="4"/>
      <c r="E15" s="12">
        <f t="shared" si="0"/>
        <v>-3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7</v>
      </c>
      <c r="R15" s="4"/>
      <c r="S15" s="4"/>
      <c r="T15" s="4"/>
    </row>
    <row r="16" spans="1:20" s="21" customFormat="1" ht="12.75" customHeight="1">
      <c r="A16" s="32">
        <v>11</v>
      </c>
      <c r="B16" s="32" t="s">
        <v>70</v>
      </c>
      <c r="C16" s="4">
        <v>1</v>
      </c>
      <c r="D16" s="4">
        <v>1</v>
      </c>
      <c r="E16" s="12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1" customFormat="1" ht="12.75" customHeight="1">
      <c r="A17" s="32">
        <v>12</v>
      </c>
      <c r="B17" s="32" t="s">
        <v>71</v>
      </c>
      <c r="C17" s="4"/>
      <c r="D17" s="4"/>
      <c r="E17" s="12"/>
      <c r="F17" s="4">
        <v>383</v>
      </c>
      <c r="G17" s="4">
        <v>616</v>
      </c>
      <c r="H17" s="4">
        <f>G17-F17</f>
        <v>233</v>
      </c>
      <c r="I17" s="4"/>
      <c r="J17" s="4"/>
      <c r="K17" s="4">
        <v>7</v>
      </c>
      <c r="L17" s="4"/>
      <c r="M17" s="4"/>
      <c r="N17" s="4"/>
      <c r="O17" s="4"/>
      <c r="P17" s="4">
        <f>SUM(K17:O17)</f>
        <v>7</v>
      </c>
      <c r="Q17" s="4"/>
      <c r="R17" s="4"/>
      <c r="S17" s="4">
        <v>1799</v>
      </c>
      <c r="T17" s="4">
        <v>1055</v>
      </c>
    </row>
    <row r="18" spans="1:20" s="21" customFormat="1" ht="12.75" customHeight="1">
      <c r="A18" s="32">
        <v>13</v>
      </c>
      <c r="B18" s="33" t="s">
        <v>87</v>
      </c>
      <c r="C18" s="4"/>
      <c r="D18" s="4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1" customFormat="1" ht="15">
      <c r="A19" s="122">
        <v>14</v>
      </c>
      <c r="B19" s="23" t="s">
        <v>112</v>
      </c>
      <c r="C19" s="4"/>
      <c r="D19" s="4"/>
      <c r="E19" s="1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1" customFormat="1" ht="15">
      <c r="A20" s="132" t="s">
        <v>109</v>
      </c>
      <c r="B20" s="133"/>
      <c r="C20" s="4">
        <f>SUM(C6:C19)</f>
        <v>37</v>
      </c>
      <c r="D20" s="4">
        <f>SUM(D6:D19)</f>
        <v>17</v>
      </c>
      <c r="E20" s="12">
        <f t="shared" si="0"/>
        <v>-20</v>
      </c>
      <c r="F20" s="4">
        <f>SUM(F11:F19)</f>
        <v>430</v>
      </c>
      <c r="G20" s="4">
        <f>SUM(G11:G19)</f>
        <v>721</v>
      </c>
      <c r="H20" s="4">
        <f>G20-F20</f>
        <v>291</v>
      </c>
      <c r="I20" s="4">
        <f>SUM(I13:I19)</f>
        <v>16</v>
      </c>
      <c r="J20" s="4">
        <f>SUM(J13:J19)</f>
        <v>36</v>
      </c>
      <c r="K20" s="4">
        <f>SUM(K14:K19)</f>
        <v>7</v>
      </c>
      <c r="L20" s="4"/>
      <c r="M20" s="4"/>
      <c r="N20" s="4"/>
      <c r="O20" s="4">
        <f>SUM(O14:O19)</f>
        <v>58</v>
      </c>
      <c r="P20" s="4">
        <f>SUM(K20:O20)</f>
        <v>65</v>
      </c>
      <c r="Q20" s="4">
        <f>SUM(Q6:Q19)</f>
        <v>40</v>
      </c>
      <c r="R20" s="4">
        <f>SUM(R6:R19)</f>
        <v>102</v>
      </c>
      <c r="S20" s="4">
        <f>SUM(S6:S19)</f>
        <v>2757</v>
      </c>
      <c r="T20" s="4">
        <f>SUM(T6:T19)</f>
        <v>1770</v>
      </c>
    </row>
    <row r="21" ht="14.25">
      <c r="B21" s="79"/>
    </row>
  </sheetData>
  <mergeCells count="7">
    <mergeCell ref="A20:B20"/>
    <mergeCell ref="C1:R1"/>
    <mergeCell ref="C4:C5"/>
    <mergeCell ref="D4:D5"/>
    <mergeCell ref="F4:F5"/>
    <mergeCell ref="G4:G5"/>
    <mergeCell ref="M4:N4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75" zoomScaleNormal="65" zoomScaleSheetLayoutView="75" workbookViewId="0" topLeftCell="A1">
      <selection activeCell="G17" sqref="G17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1"/>
      <c r="B1" s="21"/>
      <c r="C1" s="1" t="s">
        <v>99</v>
      </c>
      <c r="D1" s="1"/>
      <c r="E1" s="1"/>
      <c r="F1" s="21"/>
      <c r="G1" s="21"/>
      <c r="H1" s="21"/>
      <c r="I1" s="21"/>
      <c r="J1" s="21"/>
      <c r="K1" s="21"/>
      <c r="L1" s="21"/>
      <c r="M1" s="21"/>
    </row>
    <row r="2" spans="1:13" ht="15">
      <c r="A2" s="21"/>
      <c r="B2" s="21"/>
      <c r="C2" s="21"/>
      <c r="D2" s="21" t="s">
        <v>61</v>
      </c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83" t="s">
        <v>2</v>
      </c>
      <c r="B4" s="183" t="s">
        <v>3</v>
      </c>
      <c r="C4" s="25" t="s">
        <v>21</v>
      </c>
      <c r="D4" s="26"/>
      <c r="E4" s="28"/>
      <c r="F4" s="25"/>
      <c r="G4" s="26"/>
      <c r="H4" s="26" t="s">
        <v>22</v>
      </c>
      <c r="I4" s="26"/>
      <c r="J4" s="26"/>
      <c r="K4" s="28"/>
      <c r="L4" s="21"/>
      <c r="M4" s="21"/>
    </row>
    <row r="5" spans="1:13" ht="15">
      <c r="A5" s="184"/>
      <c r="B5" s="184"/>
      <c r="C5" s="19">
        <v>2009</v>
      </c>
      <c r="D5" s="20">
        <v>2010</v>
      </c>
      <c r="E5" s="20" t="s">
        <v>76</v>
      </c>
      <c r="F5" s="25" t="s">
        <v>25</v>
      </c>
      <c r="G5" s="28"/>
      <c r="H5" s="25" t="s">
        <v>23</v>
      </c>
      <c r="I5" s="28"/>
      <c r="J5" s="25" t="s">
        <v>24</v>
      </c>
      <c r="K5" s="28"/>
      <c r="L5" s="21"/>
      <c r="M5" s="21"/>
    </row>
    <row r="6" spans="1:13" ht="15">
      <c r="A6" s="185"/>
      <c r="B6" s="185"/>
      <c r="C6" s="41"/>
      <c r="D6" s="12"/>
      <c r="E6" s="12" t="s">
        <v>77</v>
      </c>
      <c r="F6" s="19">
        <v>2009</v>
      </c>
      <c r="G6" s="20">
        <v>2010</v>
      </c>
      <c r="H6" s="19">
        <v>2009</v>
      </c>
      <c r="I6" s="20">
        <v>2010</v>
      </c>
      <c r="J6" s="19">
        <v>2009</v>
      </c>
      <c r="K6" s="20">
        <v>2010</v>
      </c>
      <c r="L6" s="21"/>
      <c r="M6" s="21"/>
    </row>
    <row r="7" spans="1:13" ht="18">
      <c r="A7" s="32">
        <v>1</v>
      </c>
      <c r="B7" s="32" t="s">
        <v>62</v>
      </c>
      <c r="C7" s="90">
        <v>18.38</v>
      </c>
      <c r="D7" s="90"/>
      <c r="E7" s="89"/>
      <c r="F7" s="13">
        <v>18.38</v>
      </c>
      <c r="G7" s="90"/>
      <c r="H7" s="13"/>
      <c r="I7" s="90"/>
      <c r="J7" s="13"/>
      <c r="K7" s="90"/>
      <c r="L7" s="21"/>
      <c r="M7" s="21"/>
    </row>
    <row r="8" spans="1:13" ht="18">
      <c r="A8" s="32">
        <v>2</v>
      </c>
      <c r="B8" s="32" t="s">
        <v>63</v>
      </c>
      <c r="C8" s="90">
        <v>82.7</v>
      </c>
      <c r="D8" s="90">
        <v>24.2</v>
      </c>
      <c r="E8" s="89">
        <f aca="true" t="shared" si="0" ref="E8:E20">D8*100/C8</f>
        <v>29.262394195888753</v>
      </c>
      <c r="F8" s="13">
        <v>76.7</v>
      </c>
      <c r="G8" s="90">
        <v>23.6</v>
      </c>
      <c r="H8" s="13"/>
      <c r="I8" s="90"/>
      <c r="J8" s="13">
        <v>6</v>
      </c>
      <c r="K8" s="90">
        <v>0.6</v>
      </c>
      <c r="L8" s="21"/>
      <c r="M8" s="21"/>
    </row>
    <row r="9" spans="1:13" ht="18">
      <c r="A9" s="32">
        <v>3</v>
      </c>
      <c r="B9" s="32" t="s">
        <v>64</v>
      </c>
      <c r="C9" s="90">
        <v>11</v>
      </c>
      <c r="D9" s="90">
        <v>7.8</v>
      </c>
      <c r="E9" s="89">
        <f t="shared" si="0"/>
        <v>70.9090909090909</v>
      </c>
      <c r="F9" s="13">
        <v>11</v>
      </c>
      <c r="G9" s="90">
        <v>7</v>
      </c>
      <c r="H9" s="13"/>
      <c r="I9" s="90"/>
      <c r="J9" s="13"/>
      <c r="K9" s="90">
        <v>0.8</v>
      </c>
      <c r="L9" s="21"/>
      <c r="M9" s="21"/>
    </row>
    <row r="10" spans="1:13" ht="18">
      <c r="A10" s="32">
        <v>4</v>
      </c>
      <c r="B10" s="32" t="s">
        <v>65</v>
      </c>
      <c r="C10" s="90">
        <v>8.4</v>
      </c>
      <c r="D10" s="90">
        <v>1.15</v>
      </c>
      <c r="E10" s="89">
        <f t="shared" si="0"/>
        <v>13.690476190476188</v>
      </c>
      <c r="F10" s="13">
        <v>7.9</v>
      </c>
      <c r="G10" s="90">
        <v>1.15</v>
      </c>
      <c r="H10" s="13"/>
      <c r="I10" s="90"/>
      <c r="J10" s="13">
        <v>0.5</v>
      </c>
      <c r="K10" s="90"/>
      <c r="L10" s="21"/>
      <c r="M10" s="21"/>
    </row>
    <row r="11" spans="1:13" ht="18">
      <c r="A11" s="32">
        <v>5</v>
      </c>
      <c r="B11" s="42" t="s">
        <v>66</v>
      </c>
      <c r="C11" s="90">
        <v>79.1</v>
      </c>
      <c r="D11" s="90">
        <v>69.4</v>
      </c>
      <c r="E11" s="89">
        <f t="shared" si="0"/>
        <v>87.73704171934263</v>
      </c>
      <c r="F11" s="13">
        <v>59.6</v>
      </c>
      <c r="G11" s="90">
        <v>58.4</v>
      </c>
      <c r="H11" s="13">
        <v>17.5</v>
      </c>
      <c r="I11" s="90">
        <v>7.8</v>
      </c>
      <c r="J11" s="13">
        <v>2</v>
      </c>
      <c r="K11" s="90">
        <v>3.2</v>
      </c>
      <c r="L11" s="21"/>
      <c r="M11" s="21"/>
    </row>
    <row r="12" spans="1:13" ht="18">
      <c r="A12" s="32">
        <v>6</v>
      </c>
      <c r="B12" s="32" t="s">
        <v>67</v>
      </c>
      <c r="C12" s="90">
        <v>93.7</v>
      </c>
      <c r="D12" s="90">
        <v>55.9</v>
      </c>
      <c r="E12" s="89">
        <f t="shared" si="0"/>
        <v>59.65848452508004</v>
      </c>
      <c r="F12" s="13">
        <v>63</v>
      </c>
      <c r="G12" s="90">
        <v>38</v>
      </c>
      <c r="H12" s="13">
        <v>24</v>
      </c>
      <c r="I12" s="90">
        <v>13</v>
      </c>
      <c r="J12" s="13">
        <v>6.7</v>
      </c>
      <c r="K12" s="90">
        <v>4.9</v>
      </c>
      <c r="L12" s="21"/>
      <c r="M12" s="21"/>
    </row>
    <row r="13" spans="1:13" ht="18">
      <c r="A13" s="32">
        <v>7</v>
      </c>
      <c r="B13" s="33" t="s">
        <v>89</v>
      </c>
      <c r="C13" s="90">
        <v>33.5</v>
      </c>
      <c r="D13" s="90">
        <v>17.4</v>
      </c>
      <c r="E13" s="89">
        <f t="shared" si="0"/>
        <v>51.94029850746268</v>
      </c>
      <c r="F13" s="13">
        <v>30.7</v>
      </c>
      <c r="G13" s="91">
        <v>16</v>
      </c>
      <c r="H13" s="13"/>
      <c r="I13" s="91"/>
      <c r="J13" s="13">
        <v>2.8</v>
      </c>
      <c r="K13" s="91">
        <v>1.4</v>
      </c>
      <c r="L13" s="21"/>
      <c r="M13" s="21"/>
    </row>
    <row r="14" spans="1:13" ht="18">
      <c r="A14" s="32">
        <v>8</v>
      </c>
      <c r="B14" s="33" t="s">
        <v>68</v>
      </c>
      <c r="C14" s="90">
        <v>32.3</v>
      </c>
      <c r="D14" s="90">
        <v>8.72</v>
      </c>
      <c r="E14" s="89">
        <f t="shared" si="0"/>
        <v>26.996904024767808</v>
      </c>
      <c r="F14" s="17">
        <v>17.6</v>
      </c>
      <c r="G14" s="91">
        <v>8.27</v>
      </c>
      <c r="H14" s="17">
        <v>13.7</v>
      </c>
      <c r="I14" s="91"/>
      <c r="J14" s="17">
        <v>1</v>
      </c>
      <c r="K14" s="91">
        <v>0.45</v>
      </c>
      <c r="L14" s="21"/>
      <c r="M14" s="21"/>
    </row>
    <row r="15" spans="1:13" ht="18">
      <c r="A15" s="32">
        <v>9</v>
      </c>
      <c r="B15" s="33" t="s">
        <v>88</v>
      </c>
      <c r="C15" s="90">
        <v>8.3</v>
      </c>
      <c r="D15" s="90">
        <v>10.2</v>
      </c>
      <c r="E15" s="89">
        <f t="shared" si="0"/>
        <v>122.89156626506022</v>
      </c>
      <c r="F15" s="17">
        <v>7.8</v>
      </c>
      <c r="G15" s="91">
        <v>10.2</v>
      </c>
      <c r="H15" s="17"/>
      <c r="I15" s="91"/>
      <c r="J15" s="17">
        <v>0.5</v>
      </c>
      <c r="K15" s="91"/>
      <c r="L15" s="21"/>
      <c r="M15" s="21"/>
    </row>
    <row r="16" spans="1:13" ht="18">
      <c r="A16" s="32">
        <v>10</v>
      </c>
      <c r="B16" s="33" t="s">
        <v>69</v>
      </c>
      <c r="C16" s="90">
        <v>21.6</v>
      </c>
      <c r="D16" s="90">
        <v>17.5</v>
      </c>
      <c r="E16" s="89">
        <f t="shared" si="0"/>
        <v>81.01851851851852</v>
      </c>
      <c r="F16" s="17">
        <v>18.8</v>
      </c>
      <c r="G16" s="91">
        <v>17.5</v>
      </c>
      <c r="H16" s="17"/>
      <c r="I16" s="91"/>
      <c r="J16" s="17">
        <v>2.8</v>
      </c>
      <c r="K16" s="91"/>
      <c r="L16" s="21"/>
      <c r="M16" s="21"/>
    </row>
    <row r="17" spans="1:13" ht="18">
      <c r="A17" s="32">
        <v>11</v>
      </c>
      <c r="B17" s="33" t="s">
        <v>70</v>
      </c>
      <c r="C17" s="90">
        <v>10.5</v>
      </c>
      <c r="D17" s="90">
        <v>5.4</v>
      </c>
      <c r="E17" s="89">
        <f t="shared" si="0"/>
        <v>51.42857142857143</v>
      </c>
      <c r="F17" s="17">
        <v>9.7</v>
      </c>
      <c r="G17" s="91">
        <v>5.2</v>
      </c>
      <c r="H17" s="17"/>
      <c r="I17" s="91"/>
      <c r="J17" s="17">
        <v>0.8</v>
      </c>
      <c r="K17" s="91">
        <v>0.2</v>
      </c>
      <c r="L17" s="21"/>
      <c r="M17" s="21"/>
    </row>
    <row r="18" spans="1:13" ht="18">
      <c r="A18" s="32">
        <v>12</v>
      </c>
      <c r="B18" s="33" t="s">
        <v>71</v>
      </c>
      <c r="C18" s="90">
        <v>489</v>
      </c>
      <c r="D18" s="90">
        <v>521</v>
      </c>
      <c r="E18" s="89">
        <f t="shared" si="0"/>
        <v>106.5439672801636</v>
      </c>
      <c r="F18" s="17"/>
      <c r="G18" s="91"/>
      <c r="H18" s="17">
        <v>489</v>
      </c>
      <c r="I18" s="91">
        <v>521</v>
      </c>
      <c r="J18" s="17"/>
      <c r="K18" s="91"/>
      <c r="L18" s="21"/>
      <c r="M18" s="21"/>
    </row>
    <row r="19" spans="1:13" ht="18">
      <c r="A19" s="32">
        <v>13</v>
      </c>
      <c r="B19" s="33" t="s">
        <v>87</v>
      </c>
      <c r="C19" s="3"/>
      <c r="D19" s="90">
        <v>1</v>
      </c>
      <c r="E19" s="89"/>
      <c r="F19" s="17"/>
      <c r="G19" s="91"/>
      <c r="H19" s="17"/>
      <c r="I19" s="91"/>
      <c r="J19" s="17"/>
      <c r="K19" s="91">
        <v>1</v>
      </c>
      <c r="L19" s="21"/>
      <c r="M19" s="21"/>
    </row>
    <row r="20" spans="1:13" ht="19.5" customHeight="1">
      <c r="A20" s="132" t="s">
        <v>109</v>
      </c>
      <c r="B20" s="133"/>
      <c r="C20" s="93">
        <f>SUM(C7:C19)</f>
        <v>888.48</v>
      </c>
      <c r="D20" s="93">
        <f>SUM(D7:D19)</f>
        <v>739.6700000000001</v>
      </c>
      <c r="E20" s="89">
        <f t="shared" si="0"/>
        <v>83.25117053844768</v>
      </c>
      <c r="F20" s="92">
        <f aca="true" t="shared" si="1" ref="F20:K20">SUM(F7:F18)</f>
        <v>321.18000000000006</v>
      </c>
      <c r="G20" s="93">
        <f t="shared" si="1"/>
        <v>185.32</v>
      </c>
      <c r="H20" s="93">
        <f>SUM(H7:H19)</f>
        <v>544.2</v>
      </c>
      <c r="I20" s="93">
        <f t="shared" si="1"/>
        <v>541.8</v>
      </c>
      <c r="J20" s="93">
        <f t="shared" si="1"/>
        <v>23.1</v>
      </c>
      <c r="K20" s="93">
        <f t="shared" si="1"/>
        <v>11.549999999999999</v>
      </c>
      <c r="L20" s="21"/>
      <c r="M20" s="21"/>
    </row>
  </sheetData>
  <mergeCells count="3">
    <mergeCell ref="A20:B20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B9" sqref="B9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4" width="7.125" style="0" customWidth="1"/>
    <col min="5" max="5" width="8.875" style="0" customWidth="1"/>
    <col min="6" max="7" width="7.125" style="0" customWidth="1"/>
    <col min="8" max="8" width="8.625" style="0" customWidth="1"/>
    <col min="9" max="10" width="10.25390625" style="0" customWidth="1"/>
    <col min="11" max="11" width="8.25390625" style="0" customWidth="1"/>
    <col min="12" max="12" width="10.875" style="0" customWidth="1"/>
    <col min="13" max="13" width="11.125" style="0" customWidth="1"/>
    <col min="14" max="14" width="8.3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5.75">
      <c r="B2" s="21"/>
      <c r="C2" s="21"/>
      <c r="D2" s="21"/>
      <c r="E2" s="21"/>
      <c r="F2" s="21"/>
      <c r="G2" s="1" t="s">
        <v>107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5">
      <c r="B3" s="21"/>
      <c r="C3" s="21"/>
      <c r="D3" s="21"/>
      <c r="E3" s="21"/>
      <c r="F3" s="21"/>
      <c r="G3" s="21"/>
      <c r="H3" s="21"/>
      <c r="I3" s="21" t="s">
        <v>59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>
      <c r="A4" s="85"/>
      <c r="B4" s="24" t="s">
        <v>3</v>
      </c>
      <c r="C4" s="27" t="s">
        <v>73</v>
      </c>
      <c r="D4" s="27"/>
      <c r="E4" s="27"/>
      <c r="F4" s="26"/>
      <c r="G4" s="26"/>
      <c r="H4" s="22"/>
      <c r="I4" s="25" t="s">
        <v>49</v>
      </c>
      <c r="J4" s="26"/>
      <c r="K4" s="27"/>
      <c r="L4" s="26"/>
      <c r="M4" s="26"/>
      <c r="N4" s="22"/>
      <c r="O4" s="25" t="s">
        <v>50</v>
      </c>
      <c r="P4" s="26"/>
      <c r="Q4" s="27"/>
      <c r="R4" s="26"/>
      <c r="S4" s="26"/>
      <c r="T4" s="22"/>
    </row>
    <row r="5" spans="1:20" ht="15" customHeight="1">
      <c r="A5" s="86" t="s">
        <v>2</v>
      </c>
      <c r="B5" s="34"/>
      <c r="C5" s="26" t="s">
        <v>51</v>
      </c>
      <c r="D5" s="26"/>
      <c r="E5" s="139" t="s">
        <v>78</v>
      </c>
      <c r="F5" s="25" t="s">
        <v>52</v>
      </c>
      <c r="G5" s="28"/>
      <c r="H5" s="139" t="s">
        <v>78</v>
      </c>
      <c r="I5" s="142" t="s">
        <v>51</v>
      </c>
      <c r="J5" s="142"/>
      <c r="K5" s="139" t="s">
        <v>78</v>
      </c>
      <c r="L5" s="142" t="s">
        <v>52</v>
      </c>
      <c r="M5" s="142"/>
      <c r="N5" s="139" t="s">
        <v>78</v>
      </c>
      <c r="O5" s="26" t="s">
        <v>51</v>
      </c>
      <c r="P5" s="26"/>
      <c r="Q5" s="139" t="s">
        <v>75</v>
      </c>
      <c r="R5" s="145" t="s">
        <v>52</v>
      </c>
      <c r="S5" s="146"/>
      <c r="T5" s="139" t="s">
        <v>78</v>
      </c>
    </row>
    <row r="6" spans="1:20" ht="15">
      <c r="A6" s="86" t="s">
        <v>86</v>
      </c>
      <c r="B6" s="34"/>
      <c r="C6" s="143">
        <v>2009</v>
      </c>
      <c r="D6" s="143">
        <v>2010</v>
      </c>
      <c r="E6" s="140"/>
      <c r="F6" s="143">
        <v>2009</v>
      </c>
      <c r="G6" s="143">
        <v>2010</v>
      </c>
      <c r="H6" s="140"/>
      <c r="I6" s="143">
        <v>2009</v>
      </c>
      <c r="J6" s="143">
        <v>2010</v>
      </c>
      <c r="K6" s="140"/>
      <c r="L6" s="143">
        <v>2009</v>
      </c>
      <c r="M6" s="143">
        <v>2010</v>
      </c>
      <c r="N6" s="140"/>
      <c r="O6" s="143">
        <v>2009</v>
      </c>
      <c r="P6" s="143">
        <v>2010</v>
      </c>
      <c r="Q6" s="140"/>
      <c r="R6" s="143">
        <v>2009</v>
      </c>
      <c r="S6" s="143">
        <v>2010</v>
      </c>
      <c r="T6" s="140"/>
    </row>
    <row r="7" spans="1:20" ht="15">
      <c r="A7" s="87"/>
      <c r="B7" s="30"/>
      <c r="C7" s="144"/>
      <c r="D7" s="144"/>
      <c r="E7" s="141"/>
      <c r="F7" s="144"/>
      <c r="G7" s="144"/>
      <c r="H7" s="141"/>
      <c r="I7" s="144"/>
      <c r="J7" s="144"/>
      <c r="K7" s="141"/>
      <c r="L7" s="144"/>
      <c r="M7" s="144"/>
      <c r="N7" s="141"/>
      <c r="O7" s="144"/>
      <c r="P7" s="144"/>
      <c r="Q7" s="141"/>
      <c r="R7" s="144"/>
      <c r="S7" s="144"/>
      <c r="T7" s="141"/>
    </row>
    <row r="8" spans="1:20" ht="15">
      <c r="A8" s="2">
        <v>1</v>
      </c>
      <c r="B8" s="30" t="s">
        <v>62</v>
      </c>
      <c r="C8" s="4">
        <v>17</v>
      </c>
      <c r="D8" s="4"/>
      <c r="E8" s="37"/>
      <c r="F8" s="12"/>
      <c r="G8" s="12"/>
      <c r="H8" s="37"/>
      <c r="I8" s="4">
        <v>11779</v>
      </c>
      <c r="J8" s="12"/>
      <c r="K8" s="37"/>
      <c r="L8" s="4"/>
      <c r="M8" s="4"/>
      <c r="N8" s="37"/>
      <c r="O8" s="37">
        <f aca="true" t="shared" si="0" ref="O8:O18">C8/I8*100000</f>
        <v>144.32464555564988</v>
      </c>
      <c r="P8" s="37"/>
      <c r="Q8" s="37"/>
      <c r="R8" s="12"/>
      <c r="S8" s="12"/>
      <c r="T8" s="37"/>
    </row>
    <row r="9" spans="1:20" ht="15">
      <c r="A9" s="2">
        <v>2</v>
      </c>
      <c r="B9" s="23" t="s">
        <v>63</v>
      </c>
      <c r="C9" s="4">
        <v>285</v>
      </c>
      <c r="D9" s="4">
        <v>222</v>
      </c>
      <c r="E9" s="37">
        <f aca="true" t="shared" si="1" ref="E9:E21">D9/C9*100</f>
        <v>77.89473684210526</v>
      </c>
      <c r="F9" s="4"/>
      <c r="G9" s="4"/>
      <c r="H9" s="37"/>
      <c r="I9" s="4">
        <v>71921</v>
      </c>
      <c r="J9" s="4">
        <v>45177</v>
      </c>
      <c r="K9" s="37">
        <f>J9*100/I9</f>
        <v>62.8147550784889</v>
      </c>
      <c r="L9" s="4"/>
      <c r="M9" s="4"/>
      <c r="N9" s="37"/>
      <c r="O9" s="37">
        <f t="shared" si="0"/>
        <v>396.26812752881636</v>
      </c>
      <c r="P9" s="37">
        <f aca="true" t="shared" si="2" ref="P9:P17">D9/J9*100000</f>
        <v>491.4004914004914</v>
      </c>
      <c r="Q9" s="37">
        <f aca="true" t="shared" si="3" ref="Q9:Q18">P9/O9*100</f>
        <v>124.00706927022715</v>
      </c>
      <c r="R9" s="37"/>
      <c r="S9" s="37"/>
      <c r="T9" s="37"/>
    </row>
    <row r="10" spans="1:20" ht="15">
      <c r="A10" s="2">
        <v>3</v>
      </c>
      <c r="B10" s="23" t="s">
        <v>64</v>
      </c>
      <c r="C10" s="4">
        <v>113</v>
      </c>
      <c r="D10" s="4">
        <v>71.1</v>
      </c>
      <c r="E10" s="37">
        <f t="shared" si="1"/>
        <v>62.92035398230088</v>
      </c>
      <c r="F10" s="4"/>
      <c r="G10" s="4"/>
      <c r="H10" s="37"/>
      <c r="I10" s="4">
        <v>28791</v>
      </c>
      <c r="J10" s="4">
        <v>26618</v>
      </c>
      <c r="K10" s="37">
        <f aca="true" t="shared" si="4" ref="K10:K21">J10*100/I10</f>
        <v>92.45250251814804</v>
      </c>
      <c r="L10" s="4"/>
      <c r="M10" s="4"/>
      <c r="N10" s="37"/>
      <c r="O10" s="37">
        <f t="shared" si="0"/>
        <v>392.48376228682577</v>
      </c>
      <c r="P10" s="37">
        <f t="shared" si="2"/>
        <v>267.1124802765046</v>
      </c>
      <c r="Q10" s="37">
        <f t="shared" si="3"/>
        <v>68.05695061629065</v>
      </c>
      <c r="R10" s="37"/>
      <c r="S10" s="37"/>
      <c r="T10" s="37"/>
    </row>
    <row r="11" spans="1:20" ht="15">
      <c r="A11" s="2">
        <v>4</v>
      </c>
      <c r="B11" s="38" t="s">
        <v>65</v>
      </c>
      <c r="C11" s="20">
        <v>68</v>
      </c>
      <c r="D11" s="20">
        <v>52</v>
      </c>
      <c r="E11" s="37">
        <f t="shared" si="1"/>
        <v>76.47058823529412</v>
      </c>
      <c r="F11" s="20"/>
      <c r="G11" s="20"/>
      <c r="H11" s="37"/>
      <c r="I11" s="4">
        <v>11392</v>
      </c>
      <c r="J11" s="4">
        <v>10174</v>
      </c>
      <c r="K11" s="37">
        <f t="shared" si="4"/>
        <v>89.30828651685393</v>
      </c>
      <c r="L11" s="20"/>
      <c r="M11" s="20"/>
      <c r="N11" s="95"/>
      <c r="O11" s="37">
        <f t="shared" si="0"/>
        <v>596.9101123595506</v>
      </c>
      <c r="P11" s="37">
        <f t="shared" si="2"/>
        <v>511.106742677413</v>
      </c>
      <c r="Q11" s="37">
        <f t="shared" si="3"/>
        <v>85.6254119497219</v>
      </c>
      <c r="R11" s="95"/>
      <c r="S11" s="95"/>
      <c r="T11" s="95"/>
    </row>
    <row r="12" spans="1:20" ht="15">
      <c r="A12" s="2">
        <v>5</v>
      </c>
      <c r="B12" s="23" t="s">
        <v>66</v>
      </c>
      <c r="C12" s="4">
        <v>482</v>
      </c>
      <c r="D12" s="4">
        <v>529.2</v>
      </c>
      <c r="E12" s="37">
        <f t="shared" si="1"/>
        <v>109.79253112033196</v>
      </c>
      <c r="F12" s="4">
        <v>222</v>
      </c>
      <c r="G12" s="4">
        <v>197.2</v>
      </c>
      <c r="H12" s="37">
        <f>G12/F12*100</f>
        <v>88.82882882882882</v>
      </c>
      <c r="I12" s="4">
        <v>130309</v>
      </c>
      <c r="J12" s="4">
        <v>129974</v>
      </c>
      <c r="K12" s="37">
        <f t="shared" si="4"/>
        <v>99.74291875465241</v>
      </c>
      <c r="L12" s="4">
        <v>59636</v>
      </c>
      <c r="M12" s="4">
        <v>52618</v>
      </c>
      <c r="N12" s="37">
        <f>M12/L12*100</f>
        <v>88.23194043866121</v>
      </c>
      <c r="O12" s="37">
        <f t="shared" si="0"/>
        <v>369.8900306195274</v>
      </c>
      <c r="P12" s="37">
        <f t="shared" si="2"/>
        <v>407.15835474787264</v>
      </c>
      <c r="Q12" s="37">
        <f t="shared" si="3"/>
        <v>110.0755146241505</v>
      </c>
      <c r="R12" s="37">
        <f>F12/L12*100000</f>
        <v>372.25836742906966</v>
      </c>
      <c r="S12" s="37">
        <f>G12/M12*100000</f>
        <v>374.7766923866357</v>
      </c>
      <c r="T12" s="37">
        <f>S12/R12*100</f>
        <v>100.67649922148382</v>
      </c>
    </row>
    <row r="13" spans="1:20" ht="15">
      <c r="A13" s="2">
        <v>6</v>
      </c>
      <c r="B13" s="23" t="s">
        <v>67</v>
      </c>
      <c r="C13" s="4">
        <v>391</v>
      </c>
      <c r="D13" s="96">
        <v>284</v>
      </c>
      <c r="E13" s="97">
        <f t="shared" si="1"/>
        <v>72.63427109974424</v>
      </c>
      <c r="F13" s="96">
        <v>160</v>
      </c>
      <c r="G13" s="96">
        <v>77</v>
      </c>
      <c r="H13" s="37">
        <f>G13/F13*100</f>
        <v>48.125</v>
      </c>
      <c r="I13" s="96">
        <v>72465</v>
      </c>
      <c r="J13" s="4">
        <v>55508</v>
      </c>
      <c r="K13" s="37">
        <f t="shared" si="4"/>
        <v>76.59973780445732</v>
      </c>
      <c r="L13" s="4">
        <v>51583</v>
      </c>
      <c r="M13" s="4">
        <v>23056</v>
      </c>
      <c r="N13" s="37">
        <f>M13/L13*100</f>
        <v>44.696896264273114</v>
      </c>
      <c r="O13" s="37">
        <f t="shared" si="0"/>
        <v>539.5708272959359</v>
      </c>
      <c r="P13" s="37">
        <f t="shared" si="2"/>
        <v>511.6379620955538</v>
      </c>
      <c r="Q13" s="37">
        <f t="shared" si="3"/>
        <v>94.82313279604682</v>
      </c>
      <c r="R13" s="37">
        <f>F13/L13*100000</f>
        <v>310.17971036969544</v>
      </c>
      <c r="S13" s="37">
        <f>G13/M13*100000</f>
        <v>333.96946564885496</v>
      </c>
      <c r="T13" s="37">
        <f>S13/R13*100</f>
        <v>107.66966841603053</v>
      </c>
    </row>
    <row r="14" spans="1:20" ht="15">
      <c r="A14" s="2">
        <v>7</v>
      </c>
      <c r="B14" s="39" t="s">
        <v>89</v>
      </c>
      <c r="C14" s="96">
        <v>84</v>
      </c>
      <c r="D14" s="96">
        <v>78.98</v>
      </c>
      <c r="E14" s="97">
        <f t="shared" si="1"/>
        <v>94.02380952380953</v>
      </c>
      <c r="F14" s="96"/>
      <c r="G14" s="96"/>
      <c r="H14" s="97"/>
      <c r="I14" s="96">
        <v>33678</v>
      </c>
      <c r="J14" s="96">
        <v>30173</v>
      </c>
      <c r="K14" s="37">
        <f t="shared" si="4"/>
        <v>89.59261238790901</v>
      </c>
      <c r="L14" s="96"/>
      <c r="M14" s="96"/>
      <c r="N14" s="97"/>
      <c r="O14" s="37">
        <f t="shared" si="0"/>
        <v>249.4209869944771</v>
      </c>
      <c r="P14" s="37">
        <f t="shared" si="2"/>
        <v>261.7572001458257</v>
      </c>
      <c r="Q14" s="37">
        <f t="shared" si="3"/>
        <v>104.94594031560855</v>
      </c>
      <c r="R14" s="37"/>
      <c r="S14" s="37"/>
      <c r="T14" s="97"/>
    </row>
    <row r="15" spans="1:20" ht="15">
      <c r="A15" s="2">
        <v>8</v>
      </c>
      <c r="B15" s="39" t="s">
        <v>68</v>
      </c>
      <c r="C15" s="96">
        <v>102</v>
      </c>
      <c r="D15" s="96">
        <v>90.7</v>
      </c>
      <c r="E15" s="97">
        <f t="shared" si="1"/>
        <v>88.92156862745098</v>
      </c>
      <c r="F15" s="96">
        <v>12</v>
      </c>
      <c r="G15" s="96"/>
      <c r="H15" s="97"/>
      <c r="I15" s="98">
        <v>32053</v>
      </c>
      <c r="J15" s="96">
        <v>26013</v>
      </c>
      <c r="K15" s="37">
        <f t="shared" si="4"/>
        <v>81.15621002714255</v>
      </c>
      <c r="L15" s="96">
        <v>6675</v>
      </c>
      <c r="M15" s="96"/>
      <c r="N15" s="97"/>
      <c r="O15" s="37">
        <f t="shared" si="0"/>
        <v>318.22294325024177</v>
      </c>
      <c r="P15" s="37">
        <f t="shared" si="2"/>
        <v>348.67181793718527</v>
      </c>
      <c r="Q15" s="97">
        <f t="shared" si="3"/>
        <v>109.56840961118235</v>
      </c>
      <c r="R15" s="37">
        <f>F15/L15*100000</f>
        <v>179.77528089887642</v>
      </c>
      <c r="S15" s="94"/>
      <c r="T15" s="97"/>
    </row>
    <row r="16" spans="1:20" s="75" customFormat="1" ht="15">
      <c r="A16" s="2">
        <v>9</v>
      </c>
      <c r="B16" s="33" t="s">
        <v>88</v>
      </c>
      <c r="C16" s="98">
        <v>125</v>
      </c>
      <c r="D16" s="98">
        <v>221.63</v>
      </c>
      <c r="E16" s="99">
        <f t="shared" si="1"/>
        <v>177.304</v>
      </c>
      <c r="F16" s="98"/>
      <c r="G16" s="98"/>
      <c r="H16" s="99"/>
      <c r="I16" s="96">
        <v>22372</v>
      </c>
      <c r="J16" s="98">
        <v>34299</v>
      </c>
      <c r="K16" s="37">
        <f t="shared" si="4"/>
        <v>153.31217593420348</v>
      </c>
      <c r="L16" s="98"/>
      <c r="M16" s="98"/>
      <c r="N16" s="99"/>
      <c r="O16" s="37">
        <f t="shared" si="0"/>
        <v>558.7341319506527</v>
      </c>
      <c r="P16" s="37">
        <f t="shared" si="2"/>
        <v>646.1704422869472</v>
      </c>
      <c r="Q16" s="99">
        <f t="shared" si="3"/>
        <v>115.64900107874863</v>
      </c>
      <c r="R16" s="37"/>
      <c r="S16" s="37"/>
      <c r="T16" s="37"/>
    </row>
    <row r="17" spans="1:20" ht="15">
      <c r="A17" s="2">
        <v>10</v>
      </c>
      <c r="B17" s="39" t="s">
        <v>69</v>
      </c>
      <c r="C17" s="96">
        <v>105</v>
      </c>
      <c r="D17" s="96">
        <v>118</v>
      </c>
      <c r="E17" s="97">
        <f t="shared" si="1"/>
        <v>112.38095238095238</v>
      </c>
      <c r="F17" s="96"/>
      <c r="G17" s="96"/>
      <c r="H17" s="97"/>
      <c r="I17" s="96">
        <v>28571</v>
      </c>
      <c r="J17" s="96">
        <v>23917</v>
      </c>
      <c r="K17" s="37">
        <f t="shared" si="4"/>
        <v>83.71075566133491</v>
      </c>
      <c r="L17" s="96"/>
      <c r="M17" s="96"/>
      <c r="N17" s="97"/>
      <c r="O17" s="37">
        <f t="shared" si="0"/>
        <v>367.50551258268877</v>
      </c>
      <c r="P17" s="37">
        <f t="shared" si="2"/>
        <v>493.3729146632103</v>
      </c>
      <c r="Q17" s="97">
        <f t="shared" si="3"/>
        <v>134.24911947469124</v>
      </c>
      <c r="R17" s="37"/>
      <c r="S17" s="37"/>
      <c r="T17" s="97"/>
    </row>
    <row r="18" spans="1:20" ht="15">
      <c r="A18" s="2">
        <v>11</v>
      </c>
      <c r="B18" s="39" t="s">
        <v>70</v>
      </c>
      <c r="C18" s="96">
        <v>50</v>
      </c>
      <c r="D18" s="96">
        <v>71.1</v>
      </c>
      <c r="E18" s="97">
        <f t="shared" si="1"/>
        <v>142.2</v>
      </c>
      <c r="F18" s="96"/>
      <c r="G18" s="96"/>
      <c r="H18" s="97"/>
      <c r="I18" s="96">
        <v>10240</v>
      </c>
      <c r="J18" s="96">
        <v>26618</v>
      </c>
      <c r="K18" s="37">
        <f t="shared" si="4"/>
        <v>259.94140625</v>
      </c>
      <c r="L18" s="96"/>
      <c r="M18" s="96"/>
      <c r="N18" s="97"/>
      <c r="O18" s="37">
        <f t="shared" si="0"/>
        <v>488.28125</v>
      </c>
      <c r="P18" s="37">
        <f>D18/J18*100000</f>
        <v>267.1124802765046</v>
      </c>
      <c r="Q18" s="97">
        <f t="shared" si="3"/>
        <v>54.70463596062813</v>
      </c>
      <c r="R18" s="37"/>
      <c r="S18" s="37"/>
      <c r="T18" s="97"/>
    </row>
    <row r="19" spans="1:20" ht="15">
      <c r="A19" s="85">
        <v>12</v>
      </c>
      <c r="B19" s="88" t="s">
        <v>71</v>
      </c>
      <c r="C19" s="96"/>
      <c r="D19" s="96"/>
      <c r="E19" s="97"/>
      <c r="F19" s="96">
        <v>5323</v>
      </c>
      <c r="G19" s="96">
        <v>5816</v>
      </c>
      <c r="H19" s="97">
        <f>G19/F19*100</f>
        <v>109.26169453315799</v>
      </c>
      <c r="I19" s="94"/>
      <c r="J19" s="96"/>
      <c r="K19" s="37"/>
      <c r="L19" s="96">
        <v>1350736</v>
      </c>
      <c r="M19" s="96">
        <v>1527475</v>
      </c>
      <c r="N19" s="97">
        <f>M19/L19*100</f>
        <v>113.08464422359366</v>
      </c>
      <c r="O19" s="37"/>
      <c r="P19" s="37"/>
      <c r="Q19" s="97"/>
      <c r="R19" s="37">
        <f>F19/L19*100000</f>
        <v>394.0814489285841</v>
      </c>
      <c r="S19" s="37">
        <f>G19/M19*100000</f>
        <v>380.75909589354984</v>
      </c>
      <c r="T19" s="97">
        <f>S19/R19*100</f>
        <v>96.61939097329888</v>
      </c>
    </row>
    <row r="20" spans="1:20" ht="15">
      <c r="A20" s="120">
        <v>13</v>
      </c>
      <c r="B20" s="23" t="s">
        <v>112</v>
      </c>
      <c r="C20" s="37"/>
      <c r="D20" s="4"/>
      <c r="E20" s="97"/>
      <c r="F20" s="96"/>
      <c r="G20" s="96">
        <v>8</v>
      </c>
      <c r="H20" s="97"/>
      <c r="I20" s="4"/>
      <c r="J20" s="4"/>
      <c r="K20" s="37"/>
      <c r="L20" s="4"/>
      <c r="M20" s="4">
        <v>3600</v>
      </c>
      <c r="N20" s="97"/>
      <c r="O20" s="37"/>
      <c r="P20" s="37"/>
      <c r="Q20" s="37"/>
      <c r="R20" s="37"/>
      <c r="S20" s="37">
        <f>G20/M20*100000</f>
        <v>222.22222222222223</v>
      </c>
      <c r="T20" s="37"/>
    </row>
    <row r="21" spans="1:20" ht="15">
      <c r="A21" s="132" t="s">
        <v>109</v>
      </c>
      <c r="B21" s="133"/>
      <c r="C21" s="23">
        <f>SUM(C8:C20)</f>
        <v>1822</v>
      </c>
      <c r="D21" s="23">
        <f>SUM(D8:D20)</f>
        <v>1738.71</v>
      </c>
      <c r="E21" s="97">
        <f t="shared" si="1"/>
        <v>95.42864983534578</v>
      </c>
      <c r="F21" s="23">
        <f>SUM(F12:F20)</f>
        <v>5717</v>
      </c>
      <c r="G21" s="23">
        <f>SUM(G12:G20)</f>
        <v>6098.2</v>
      </c>
      <c r="H21" s="97">
        <f>G21/F21*100</f>
        <v>106.66783277942977</v>
      </c>
      <c r="I21" s="23">
        <f>SUM(I8:I20)</f>
        <v>453571</v>
      </c>
      <c r="J21" s="23">
        <f>SUM(J8:J20)</f>
        <v>408471</v>
      </c>
      <c r="K21" s="37">
        <f t="shared" si="4"/>
        <v>90.05668351812616</v>
      </c>
      <c r="L21" s="23">
        <f>SUM(L12:L20)</f>
        <v>1468630</v>
      </c>
      <c r="M21" s="23">
        <f>SUM(M12:M20)</f>
        <v>1606749</v>
      </c>
      <c r="N21" s="97">
        <f>M21/L21*100</f>
        <v>109.40461518558111</v>
      </c>
      <c r="O21" s="37">
        <f>C21/I21*100000</f>
        <v>401.7011669617326</v>
      </c>
      <c r="P21" s="37">
        <f>D21/J21*100000</f>
        <v>425.66302136504186</v>
      </c>
      <c r="Q21" s="97">
        <f>P21/O21*100</f>
        <v>105.96509454641239</v>
      </c>
      <c r="R21" s="37">
        <f>F21/L21*100000</f>
        <v>389.27435773475963</v>
      </c>
      <c r="S21" s="37">
        <f>G21/M21*100000</f>
        <v>379.536567316986</v>
      </c>
      <c r="T21" s="97">
        <f>S21/R21*100</f>
        <v>97.49847627405023</v>
      </c>
    </row>
  </sheetData>
  <mergeCells count="22">
    <mergeCell ref="T5:T7"/>
    <mergeCell ref="L5:M5"/>
    <mergeCell ref="R5:S5"/>
    <mergeCell ref="L6:L7"/>
    <mergeCell ref="M6:M7"/>
    <mergeCell ref="O6:O7"/>
    <mergeCell ref="P6:P7"/>
    <mergeCell ref="S6:S7"/>
    <mergeCell ref="A21:B21"/>
    <mergeCell ref="R6:R7"/>
    <mergeCell ref="F6:F7"/>
    <mergeCell ref="G6:G7"/>
    <mergeCell ref="H5:H7"/>
    <mergeCell ref="C6:C7"/>
    <mergeCell ref="D6:D7"/>
    <mergeCell ref="K5:K7"/>
    <mergeCell ref="I6:I7"/>
    <mergeCell ref="J6:J7"/>
    <mergeCell ref="E5:E7"/>
    <mergeCell ref="I5:J5"/>
    <mergeCell ref="Q5:Q7"/>
    <mergeCell ref="N5:N7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50" zoomScaleSheetLayoutView="75" workbookViewId="0" topLeftCell="A1">
      <selection activeCell="I16" sqref="I16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9.00390625" style="0" customWidth="1"/>
    <col min="11" max="11" width="8.875" style="0" customWidth="1"/>
    <col min="12" max="13" width="8.75390625" style="0" customWidth="1"/>
    <col min="14" max="14" width="9.125" style="78" customWidth="1"/>
  </cols>
  <sheetData>
    <row r="1" ht="15.75">
      <c r="C1" s="1" t="s">
        <v>106</v>
      </c>
    </row>
    <row r="2" spans="1:12" ht="15">
      <c r="A2" s="21"/>
      <c r="B2" s="21"/>
      <c r="C2" s="21"/>
      <c r="D2" s="21"/>
      <c r="E2" s="21"/>
      <c r="F2" s="21"/>
      <c r="G2" s="21"/>
      <c r="H2" s="11" t="s">
        <v>57</v>
      </c>
      <c r="I2" s="21"/>
      <c r="J2" s="21"/>
      <c r="K2" s="21"/>
      <c r="L2" s="21"/>
    </row>
    <row r="3" spans="1:14" ht="30.75" customHeight="1">
      <c r="A3" s="24" t="s">
        <v>2</v>
      </c>
      <c r="B3" s="24" t="s">
        <v>3</v>
      </c>
      <c r="C3" s="26"/>
      <c r="D3" s="26" t="s">
        <v>54</v>
      </c>
      <c r="E3" s="28"/>
      <c r="F3" s="145" t="s">
        <v>10</v>
      </c>
      <c r="G3" s="149"/>
      <c r="H3" s="146"/>
      <c r="I3" s="26" t="s">
        <v>6</v>
      </c>
      <c r="J3" s="22" t="s">
        <v>7</v>
      </c>
      <c r="K3" s="127" t="s">
        <v>83</v>
      </c>
      <c r="L3" s="128"/>
      <c r="M3" s="129"/>
      <c r="N3" s="150"/>
    </row>
    <row r="4" spans="1:14" ht="15">
      <c r="A4" s="34"/>
      <c r="B4" s="34"/>
      <c r="C4" s="10">
        <v>2009</v>
      </c>
      <c r="D4" s="43">
        <v>2010</v>
      </c>
      <c r="E4" s="19" t="s">
        <v>4</v>
      </c>
      <c r="F4" s="19">
        <v>2009</v>
      </c>
      <c r="G4" s="19">
        <v>2010</v>
      </c>
      <c r="H4" s="20" t="s">
        <v>4</v>
      </c>
      <c r="I4" s="43">
        <v>2009</v>
      </c>
      <c r="J4" s="20">
        <v>2010</v>
      </c>
      <c r="K4" s="139" t="s">
        <v>1</v>
      </c>
      <c r="L4" s="139" t="s">
        <v>84</v>
      </c>
      <c r="M4" s="131" t="s">
        <v>85</v>
      </c>
      <c r="N4" s="151"/>
    </row>
    <row r="5" spans="1:14" ht="15">
      <c r="A5" s="30"/>
      <c r="B5" s="30"/>
      <c r="C5" s="29"/>
      <c r="D5" s="36"/>
      <c r="E5" s="41">
        <v>2009</v>
      </c>
      <c r="F5" s="31"/>
      <c r="G5" s="31"/>
      <c r="H5" s="12">
        <v>2009</v>
      </c>
      <c r="I5" s="36"/>
      <c r="J5" s="30"/>
      <c r="K5" s="130"/>
      <c r="L5" s="130"/>
      <c r="M5" s="131"/>
      <c r="N5" s="151"/>
    </row>
    <row r="6" spans="1:14" ht="15">
      <c r="A6" s="4">
        <v>1</v>
      </c>
      <c r="B6" s="23" t="s">
        <v>62</v>
      </c>
      <c r="C6" s="4"/>
      <c r="D6" s="4"/>
      <c r="E6" s="37"/>
      <c r="F6" s="12"/>
      <c r="G6" s="12"/>
      <c r="H6" s="117"/>
      <c r="I6" s="37">
        <f>F6+(C6*0.2)+('численность 1'!M6*0.3)+'численность 1'!G6+(('численность 1'!C6-'численность 1'!G6)*0.6)</f>
        <v>0</v>
      </c>
      <c r="J6" s="116"/>
      <c r="K6" s="4"/>
      <c r="L6" s="4"/>
      <c r="M6" s="37"/>
      <c r="N6" s="84"/>
    </row>
    <row r="7" spans="1:14" ht="15">
      <c r="A7" s="4">
        <v>2</v>
      </c>
      <c r="B7" s="23" t="s">
        <v>63</v>
      </c>
      <c r="C7" s="4"/>
      <c r="D7" s="4"/>
      <c r="E7" s="37"/>
      <c r="F7" s="4">
        <v>35</v>
      </c>
      <c r="G7" s="4">
        <v>28</v>
      </c>
      <c r="H7" s="97">
        <f aca="true" t="shared" si="0" ref="H7:H17">G7*100/F7</f>
        <v>80</v>
      </c>
      <c r="I7" s="37">
        <f>F7+(C7*0.2)+('численность 1'!M7*0.3)+'численность 1'!G7+(('численность 1'!C7-'численность 1'!G7)*0.6)</f>
        <v>300.2</v>
      </c>
      <c r="J7" s="37">
        <f>G7+(D7*0.2)+('численность 1'!N7*0.3)+'численность 1'!H7+(('численность 1'!D7-'численность 1'!H7)*0.6)</f>
        <v>317.8</v>
      </c>
      <c r="K7" s="4">
        <v>4500</v>
      </c>
      <c r="L7" s="4">
        <v>758</v>
      </c>
      <c r="M7" s="37">
        <v>175</v>
      </c>
      <c r="N7" s="84"/>
    </row>
    <row r="8" spans="1:14" ht="15">
      <c r="A8" s="4">
        <v>3</v>
      </c>
      <c r="B8" s="23" t="s">
        <v>64</v>
      </c>
      <c r="C8" s="4"/>
      <c r="D8" s="4"/>
      <c r="E8" s="37"/>
      <c r="F8" s="4">
        <v>7</v>
      </c>
      <c r="G8" s="4">
        <v>5</v>
      </c>
      <c r="H8" s="97">
        <f t="shared" si="0"/>
        <v>71.42857142857143</v>
      </c>
      <c r="I8" s="37">
        <f>F8+(C8*0.2)+('численность 1'!M8*0.3)+'численность 1'!G8+(('численность 1'!C8-'численность 1'!G8)*0.6)</f>
        <v>178.6</v>
      </c>
      <c r="J8" s="37">
        <f>G8+(D8*0.2)+('численность 1'!N8*0.3)+'численность 1'!H8+(('численность 1'!D8-'численность 1'!H8)*0.6)</f>
        <v>181.39999999999998</v>
      </c>
      <c r="K8" s="4">
        <v>2749</v>
      </c>
      <c r="L8" s="4">
        <v>862</v>
      </c>
      <c r="M8" s="37">
        <v>92</v>
      </c>
      <c r="N8" s="84"/>
    </row>
    <row r="9" spans="1:14" ht="15">
      <c r="A9" s="4">
        <v>4</v>
      </c>
      <c r="B9" s="23" t="s">
        <v>65</v>
      </c>
      <c r="C9" s="4"/>
      <c r="D9" s="4"/>
      <c r="E9" s="37"/>
      <c r="F9" s="4">
        <v>6</v>
      </c>
      <c r="G9" s="4">
        <v>21</v>
      </c>
      <c r="H9" s="97">
        <f t="shared" si="0"/>
        <v>350</v>
      </c>
      <c r="I9" s="37">
        <f>F9+(C9*0.2)+('численность 1'!M9*0.3)+'численность 1'!G9+(('численность 1'!C9-'численность 1'!G9)*0.6)</f>
        <v>90.6</v>
      </c>
      <c r="J9" s="37">
        <f>G9+(D9*0.2)+('численность 1'!N9*0.3)+'численность 1'!H9+(('численность 1'!D9-'численность 1'!H9)*0.6)</f>
        <v>112.8</v>
      </c>
      <c r="K9" s="96">
        <v>1680</v>
      </c>
      <c r="L9" s="4">
        <v>400</v>
      </c>
      <c r="M9" s="37"/>
      <c r="N9" s="84"/>
    </row>
    <row r="10" spans="1:14" ht="15">
      <c r="A10" s="4">
        <v>5</v>
      </c>
      <c r="B10" s="23" t="s">
        <v>66</v>
      </c>
      <c r="C10" s="4"/>
      <c r="D10" s="4"/>
      <c r="E10" s="4"/>
      <c r="F10" s="4">
        <v>37</v>
      </c>
      <c r="G10" s="4">
        <v>29</v>
      </c>
      <c r="H10" s="97">
        <f t="shared" si="0"/>
        <v>78.37837837837837</v>
      </c>
      <c r="I10" s="37">
        <f>F10+(C10*0.2)+('численность 1'!M10*0.3)+'численность 1'!G10+(('численность 1'!C10-'численность 1'!G10)*0.6)</f>
        <v>818.6999999999999</v>
      </c>
      <c r="J10" s="37">
        <f>G10+(D10*0.2)+('численность 1'!N10*0.3)+'численность 1'!H10+(('численность 1'!D10-'численность 1'!H10)*0.6)</f>
        <v>838.6</v>
      </c>
      <c r="K10" s="96">
        <v>6969</v>
      </c>
      <c r="L10" s="4">
        <v>2100</v>
      </c>
      <c r="M10" s="37">
        <v>870</v>
      </c>
      <c r="N10" s="84"/>
    </row>
    <row r="11" spans="1:14" ht="15">
      <c r="A11" s="4">
        <v>6</v>
      </c>
      <c r="B11" s="23" t="s">
        <v>67</v>
      </c>
      <c r="C11" s="4">
        <v>147</v>
      </c>
      <c r="D11" s="94">
        <v>154</v>
      </c>
      <c r="E11" s="97">
        <f>D11*100/C11</f>
        <v>104.76190476190476</v>
      </c>
      <c r="F11" s="4">
        <v>59</v>
      </c>
      <c r="G11" s="4">
        <v>49</v>
      </c>
      <c r="H11" s="97">
        <f t="shared" si="0"/>
        <v>83.05084745762711</v>
      </c>
      <c r="I11" s="37">
        <f>F11+(C11*0.2)+('численность 1'!M11*0.3)+'численность 1'!G11+(('численность 1'!C11-'численность 1'!G11)*0.6)</f>
        <v>650.4</v>
      </c>
      <c r="J11" s="37">
        <f>G11+(C11*0.2)+('численность 1'!N11*0.3)+'численность 1'!H11+(('численность 1'!D11-'численность 1'!H11)*0.6)</f>
        <v>652.7</v>
      </c>
      <c r="K11" s="96">
        <v>7830</v>
      </c>
      <c r="L11" s="4">
        <v>2696</v>
      </c>
      <c r="M11" s="37">
        <v>1733</v>
      </c>
      <c r="N11" s="84"/>
    </row>
    <row r="12" spans="1:14" ht="15">
      <c r="A12" s="4">
        <v>7</v>
      </c>
      <c r="B12" s="39" t="s">
        <v>89</v>
      </c>
      <c r="C12" s="96"/>
      <c r="D12" s="96"/>
      <c r="E12" s="97"/>
      <c r="F12" s="4">
        <v>16</v>
      </c>
      <c r="G12" s="4">
        <v>16</v>
      </c>
      <c r="H12" s="97">
        <f t="shared" si="0"/>
        <v>100</v>
      </c>
      <c r="I12" s="37">
        <f>F12+(C12*0.2)+('численность 1'!M12*0.3)+'численность 1'!G12+(('численность 1'!C12-'численность 1'!G12)*0.6)</f>
        <v>240.2</v>
      </c>
      <c r="J12" s="37">
        <f>G12+(C12*0.2)+('численность 1'!N12*0.3)+'численность 1'!H12+(('численность 1'!D12-'численность 1'!H12)*0.6)</f>
        <v>255.79999999999998</v>
      </c>
      <c r="K12" s="96">
        <v>6526</v>
      </c>
      <c r="L12" s="96">
        <v>1600</v>
      </c>
      <c r="M12" s="97"/>
      <c r="N12" s="84"/>
    </row>
    <row r="13" spans="1:14" ht="15">
      <c r="A13" s="4">
        <v>8</v>
      </c>
      <c r="B13" s="39" t="s">
        <v>68</v>
      </c>
      <c r="C13" s="96"/>
      <c r="D13" s="96"/>
      <c r="E13" s="97"/>
      <c r="F13" s="96">
        <v>4</v>
      </c>
      <c r="G13" s="96">
        <v>3</v>
      </c>
      <c r="H13" s="97">
        <f t="shared" si="0"/>
        <v>75</v>
      </c>
      <c r="I13" s="37">
        <f>F13+(C13*0.2)+('численность 1'!M13*0.3)+'численность 1'!G13+(('численность 1'!C13-'численность 1'!G13)*0.6)</f>
        <v>121</v>
      </c>
      <c r="J13" s="37">
        <f>G13+(C13*0.2)+('численность 1'!N13*0.3)+'численность 1'!H13+(('численность 1'!D13-'численность 1'!H13)*0.6)</f>
        <v>114</v>
      </c>
      <c r="K13" s="96">
        <v>1360</v>
      </c>
      <c r="L13" s="96"/>
      <c r="M13" s="37"/>
      <c r="N13" s="84"/>
    </row>
    <row r="14" spans="1:14" ht="15">
      <c r="A14" s="4">
        <v>9</v>
      </c>
      <c r="B14" s="33" t="s">
        <v>88</v>
      </c>
      <c r="C14" s="96">
        <v>58</v>
      </c>
      <c r="D14" s="96">
        <v>125</v>
      </c>
      <c r="E14" s="97">
        <f>D14*100/C14</f>
        <v>215.51724137931035</v>
      </c>
      <c r="F14" s="4">
        <v>4</v>
      </c>
      <c r="G14" s="4">
        <v>5</v>
      </c>
      <c r="H14" s="97">
        <f t="shared" si="0"/>
        <v>125</v>
      </c>
      <c r="I14" s="37">
        <f>F14+(C14*0.2)+('численность 1'!M14*0.3)+'численность 1'!G14+(('численность 1'!C14-'численность 1'!G14)*0.6)</f>
        <v>129</v>
      </c>
      <c r="J14" s="37">
        <f>G14+(C14*0.2)+('численность 1'!N14*0.3)+'численность 1'!H14+(('численность 1'!D14-'численность 1'!H14)*0.6)</f>
        <v>165.39999999999998</v>
      </c>
      <c r="K14" s="96">
        <v>3256</v>
      </c>
      <c r="L14" s="96">
        <v>1500</v>
      </c>
      <c r="M14" s="37"/>
      <c r="N14" s="84"/>
    </row>
    <row r="15" spans="1:14" ht="15">
      <c r="A15" s="4">
        <v>10</v>
      </c>
      <c r="B15" s="39" t="s">
        <v>69</v>
      </c>
      <c r="C15" s="96"/>
      <c r="D15" s="96"/>
      <c r="E15" s="97"/>
      <c r="F15" s="4">
        <v>16</v>
      </c>
      <c r="G15" s="4">
        <v>8</v>
      </c>
      <c r="H15" s="97">
        <f t="shared" si="0"/>
        <v>50</v>
      </c>
      <c r="I15" s="37">
        <f>F15+(C15*0.2)+('численность 1'!M15*0.3)+'численность 1'!G15+(('численность 1'!C15-'численность 1'!G15)*0.6)</f>
        <v>200</v>
      </c>
      <c r="J15" s="37">
        <f>G15+(C15*0.2)+('численность 1'!N15*0.3)+'численность 1'!H15+(('численность 1'!D15-'численность 1'!H15)*0.6)</f>
        <v>192.6</v>
      </c>
      <c r="K15" s="96">
        <v>2189</v>
      </c>
      <c r="L15" s="96">
        <v>800</v>
      </c>
      <c r="M15" s="37">
        <v>140</v>
      </c>
      <c r="N15" s="84"/>
    </row>
    <row r="16" spans="1:14" ht="15">
      <c r="A16" s="4">
        <v>11</v>
      </c>
      <c r="B16" s="39" t="s">
        <v>70</v>
      </c>
      <c r="C16" s="96"/>
      <c r="D16" s="96"/>
      <c r="E16" s="97"/>
      <c r="F16" s="4">
        <v>3</v>
      </c>
      <c r="G16" s="4">
        <v>2</v>
      </c>
      <c r="H16" s="97">
        <f t="shared" si="0"/>
        <v>66.66666666666667</v>
      </c>
      <c r="I16" s="37">
        <f>F16+(C16*0.2)+('численность 1'!M16*0.3)+'численность 1'!G16+(('численность 1'!C16-'численность 1'!G16)*0.6)</f>
        <v>58.8</v>
      </c>
      <c r="J16" s="37">
        <f>G16+(C16*0.2)+('численность 1'!N16*0.3)+'численность 1'!H16+(('численность 1'!D16-'численность 1'!H16)*0.6)</f>
        <v>63.2</v>
      </c>
      <c r="K16" s="96">
        <v>1201</v>
      </c>
      <c r="L16" s="96">
        <v>350</v>
      </c>
      <c r="M16" s="37"/>
      <c r="N16" s="84"/>
    </row>
    <row r="17" spans="1:14" ht="15">
      <c r="A17" s="4">
        <v>12</v>
      </c>
      <c r="B17" s="39" t="s">
        <v>71</v>
      </c>
      <c r="C17" s="96"/>
      <c r="D17" s="96"/>
      <c r="E17" s="97"/>
      <c r="F17" s="4">
        <v>1</v>
      </c>
      <c r="G17" s="4">
        <v>1</v>
      </c>
      <c r="H17" s="97">
        <f t="shared" si="0"/>
        <v>100</v>
      </c>
      <c r="I17" s="37">
        <f>F17+(C17*0.2)+('численность 1'!M17*0.3)+'численность 1'!G17+(('численность 1'!C17-'численность 1'!G17)*0.6)</f>
        <v>2320.9</v>
      </c>
      <c r="J17" s="37">
        <f>G17+(C17*0.2)+('численность 1'!N17*0.3)+'численность 1'!H17+(('численность 1'!D17-'численность 1'!H17)*0.6)</f>
        <v>2676.4</v>
      </c>
      <c r="K17" s="96">
        <v>2304</v>
      </c>
      <c r="L17" s="96">
        <v>2304</v>
      </c>
      <c r="M17" s="97">
        <v>2000</v>
      </c>
      <c r="N17" s="84"/>
    </row>
    <row r="18" spans="1:14" ht="15">
      <c r="A18" s="4">
        <v>13</v>
      </c>
      <c r="B18" s="33" t="s">
        <v>87</v>
      </c>
      <c r="C18" s="96"/>
      <c r="D18" s="96"/>
      <c r="E18" s="97"/>
      <c r="F18" s="4"/>
      <c r="G18" s="4">
        <v>93</v>
      </c>
      <c r="H18" s="97"/>
      <c r="I18" s="37">
        <f>F18+(C18*0.2)+('численность 1'!M19*0.3)+'численность 1'!G19+(('численность 1'!C19-'численность 1'!G19)*0.6)</f>
        <v>0</v>
      </c>
      <c r="J18" s="37">
        <f>G18+(C18*0.2)+('численность 1'!N18*0.3)+'численность 1'!H18+(('численность 1'!D18-'численность 1'!H18)*0.6)</f>
        <v>93</v>
      </c>
      <c r="K18" s="96">
        <v>938</v>
      </c>
      <c r="L18" s="96">
        <v>117</v>
      </c>
      <c r="M18" s="37"/>
      <c r="N18" s="84"/>
    </row>
    <row r="19" spans="1:14" ht="15">
      <c r="A19" s="103">
        <v>14</v>
      </c>
      <c r="B19" s="23" t="s">
        <v>112</v>
      </c>
      <c r="C19" s="96"/>
      <c r="D19" s="96"/>
      <c r="E19" s="97"/>
      <c r="F19" s="4"/>
      <c r="G19" s="4"/>
      <c r="H19" s="97"/>
      <c r="I19" s="37"/>
      <c r="J19" s="37">
        <f>G19+(C19*0.2)+('численность 1'!N19*0.3)+'численность 1'!H19+(('численность 1'!D19-'численность 1'!H19)*0.6)</f>
        <v>27</v>
      </c>
      <c r="K19" s="96">
        <v>80</v>
      </c>
      <c r="L19" s="96">
        <v>80</v>
      </c>
      <c r="M19" s="37"/>
      <c r="N19" s="84"/>
    </row>
    <row r="20" spans="1:14" ht="30" customHeight="1">
      <c r="A20" s="147" t="s">
        <v>109</v>
      </c>
      <c r="B20" s="148"/>
      <c r="C20" s="4">
        <f>SUM(C7:C17)</f>
        <v>205</v>
      </c>
      <c r="D20" s="4">
        <f>SUM(D7:D17)</f>
        <v>279</v>
      </c>
      <c r="E20" s="37">
        <f>D20/C20*100</f>
        <v>136.09756097560975</v>
      </c>
      <c r="F20" s="4">
        <f>SUM(F6:F18)</f>
        <v>188</v>
      </c>
      <c r="G20" s="4">
        <f>SUM(G6:G18)</f>
        <v>260</v>
      </c>
      <c r="H20" s="97">
        <f>G20*100/F20</f>
        <v>138.29787234042553</v>
      </c>
      <c r="I20" s="37">
        <f>F20+(C20*0.2)+('численность 1'!M20*0.3)+'численность 1'!G20+(('численность 1'!C20-'численность 1'!G20)*0.6)</f>
        <v>5108.4</v>
      </c>
      <c r="J20" s="37">
        <f>G20+(D20*0.2)+('численность 1'!N20*0.3)+'численность 1'!H20+(('численность 1'!D20-'численность 1'!H20)*0.6)</f>
        <v>5705.500000000001</v>
      </c>
      <c r="K20" s="4">
        <f>SUM(K7:K19)</f>
        <v>41582</v>
      </c>
      <c r="L20" s="4">
        <f>SUM(L7:L19)</f>
        <v>13567</v>
      </c>
      <c r="M20" s="37">
        <f>SUM(M7:M18)</f>
        <v>5010</v>
      </c>
      <c r="N20" s="84"/>
    </row>
  </sheetData>
  <mergeCells count="7">
    <mergeCell ref="A20:B20"/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="60" zoomScaleNormal="50" workbookViewId="0" topLeftCell="A1">
      <selection activeCell="C12" sqref="C12"/>
    </sheetView>
  </sheetViews>
  <sheetFormatPr defaultColWidth="9.00390625" defaultRowHeight="12.75"/>
  <cols>
    <col min="1" max="1" width="5.25390625" style="0" customWidth="1"/>
    <col min="2" max="2" width="35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8" t="s">
        <v>105</v>
      </c>
      <c r="F1" s="48"/>
      <c r="G1" s="48"/>
      <c r="H1" s="47"/>
      <c r="I1" s="47"/>
      <c r="J1" s="47"/>
      <c r="K1" s="47"/>
      <c r="L1" s="47"/>
      <c r="M1" s="47"/>
      <c r="N1" s="47"/>
      <c r="O1" s="47"/>
      <c r="P1" s="15"/>
      <c r="Q1" s="44"/>
      <c r="R1" s="1"/>
    </row>
    <row r="2" spans="5:17" ht="20.25">
      <c r="E2" s="47"/>
      <c r="F2" s="47"/>
      <c r="G2" s="47"/>
      <c r="H2" s="49" t="s">
        <v>56</v>
      </c>
      <c r="I2" s="49"/>
      <c r="J2" s="49"/>
      <c r="K2" s="49"/>
      <c r="L2" s="49"/>
      <c r="M2" s="49"/>
      <c r="N2" s="47"/>
      <c r="O2" s="47"/>
      <c r="P2" s="15"/>
      <c r="Q2" s="15"/>
    </row>
    <row r="3" spans="1:21" s="21" customFormat="1" ht="44.25" customHeight="1">
      <c r="A3" s="24" t="s">
        <v>2</v>
      </c>
      <c r="B3" s="155" t="s">
        <v>3</v>
      </c>
      <c r="C3" s="124" t="s">
        <v>92</v>
      </c>
      <c r="D3" s="125"/>
      <c r="E3" s="126"/>
      <c r="F3" s="152" t="s">
        <v>91</v>
      </c>
      <c r="G3" s="124" t="s">
        <v>8</v>
      </c>
      <c r="H3" s="125"/>
      <c r="I3" s="126"/>
      <c r="J3" s="158" t="s">
        <v>81</v>
      </c>
      <c r="K3" s="159"/>
      <c r="L3" s="160"/>
      <c r="M3" s="124" t="s">
        <v>9</v>
      </c>
      <c r="N3" s="125"/>
      <c r="O3" s="125"/>
      <c r="P3" s="125"/>
      <c r="Q3" s="125"/>
      <c r="R3" s="125"/>
      <c r="S3" s="125"/>
      <c r="T3" s="125"/>
      <c r="U3" s="126"/>
    </row>
    <row r="4" spans="1:21" s="21" customFormat="1" ht="23.25" customHeight="1">
      <c r="A4" s="34"/>
      <c r="B4" s="156"/>
      <c r="C4" s="19">
        <v>2009</v>
      </c>
      <c r="D4" s="20">
        <v>2010</v>
      </c>
      <c r="E4" s="45" t="s">
        <v>4</v>
      </c>
      <c r="F4" s="153"/>
      <c r="G4" s="19">
        <v>2009</v>
      </c>
      <c r="H4" s="20">
        <v>2010</v>
      </c>
      <c r="I4" s="45" t="s">
        <v>4</v>
      </c>
      <c r="J4" s="143">
        <v>2009</v>
      </c>
      <c r="K4" s="143">
        <v>2010</v>
      </c>
      <c r="L4" s="162" t="s">
        <v>82</v>
      </c>
      <c r="M4" s="19">
        <v>2009</v>
      </c>
      <c r="N4" s="20">
        <v>2010</v>
      </c>
      <c r="O4" s="113" t="s">
        <v>4</v>
      </c>
      <c r="P4" s="103" t="s">
        <v>5</v>
      </c>
      <c r="Q4" s="83" t="s">
        <v>74</v>
      </c>
      <c r="R4" s="114" t="s">
        <v>4</v>
      </c>
      <c r="S4" s="103" t="s">
        <v>53</v>
      </c>
      <c r="T4" s="112"/>
      <c r="U4" s="20" t="s">
        <v>4</v>
      </c>
    </row>
    <row r="5" spans="1:21" s="21" customFormat="1" ht="23.25" customHeight="1">
      <c r="A5" s="30"/>
      <c r="B5" s="157"/>
      <c r="C5" s="30"/>
      <c r="D5" s="30"/>
      <c r="E5" s="12">
        <v>2009</v>
      </c>
      <c r="F5" s="154"/>
      <c r="G5" s="29"/>
      <c r="H5" s="36"/>
      <c r="I5" s="12">
        <v>2009</v>
      </c>
      <c r="J5" s="161"/>
      <c r="K5" s="161"/>
      <c r="L5" s="163"/>
      <c r="M5" s="29"/>
      <c r="N5" s="29"/>
      <c r="O5" s="41">
        <v>2009</v>
      </c>
      <c r="P5" s="4">
        <v>2009</v>
      </c>
      <c r="Q5" s="4">
        <v>2010</v>
      </c>
      <c r="R5" s="41">
        <v>2009</v>
      </c>
      <c r="S5" s="4">
        <v>2009</v>
      </c>
      <c r="T5" s="4">
        <v>2010</v>
      </c>
      <c r="U5" s="12">
        <v>2009</v>
      </c>
    </row>
    <row r="6" spans="1:21" s="21" customFormat="1" ht="24.75" customHeight="1">
      <c r="A6" s="4">
        <v>1</v>
      </c>
      <c r="B6" s="23" t="s">
        <v>62</v>
      </c>
      <c r="C6" s="4"/>
      <c r="D6" s="4"/>
      <c r="E6" s="37"/>
      <c r="F6" s="4"/>
      <c r="G6" s="4"/>
      <c r="H6" s="4"/>
      <c r="I6" s="37"/>
      <c r="J6" s="4">
        <v>11</v>
      </c>
      <c r="K6" s="115"/>
      <c r="L6" s="37"/>
      <c r="M6" s="4"/>
      <c r="N6" s="4"/>
      <c r="O6" s="37"/>
      <c r="P6" s="12"/>
      <c r="Q6" s="12"/>
      <c r="R6" s="37"/>
      <c r="S6" s="12"/>
      <c r="T6" s="12"/>
      <c r="U6" s="116"/>
    </row>
    <row r="7" spans="1:34" s="21" customFormat="1" ht="24.75" customHeight="1">
      <c r="A7" s="4">
        <v>2</v>
      </c>
      <c r="B7" s="23" t="s">
        <v>63</v>
      </c>
      <c r="C7" s="4">
        <v>322</v>
      </c>
      <c r="D7" s="4">
        <v>363</v>
      </c>
      <c r="E7" s="37">
        <f aca="true" t="shared" si="0" ref="E7:E16">D7*100/C7</f>
        <v>112.73291925465838</v>
      </c>
      <c r="F7" s="4">
        <v>6</v>
      </c>
      <c r="G7" s="4">
        <v>180</v>
      </c>
      <c r="H7" s="4">
        <v>180</v>
      </c>
      <c r="I7" s="37">
        <f aca="true" t="shared" si="1" ref="I7:I16">H7*100/G7</f>
        <v>100</v>
      </c>
      <c r="J7" s="4">
        <v>196</v>
      </c>
      <c r="K7" s="115">
        <v>180</v>
      </c>
      <c r="L7" s="37">
        <f aca="true" t="shared" si="2" ref="L7:L16">K7*100/J7</f>
        <v>91.83673469387755</v>
      </c>
      <c r="M7" s="4"/>
      <c r="N7" s="4"/>
      <c r="O7" s="37"/>
      <c r="P7" s="37"/>
      <c r="Q7" s="4"/>
      <c r="R7" s="37"/>
      <c r="S7" s="37"/>
      <c r="T7" s="37"/>
      <c r="U7" s="37"/>
      <c r="AH7" s="94"/>
    </row>
    <row r="8" spans="1:34" s="21" customFormat="1" ht="24.75" customHeight="1">
      <c r="A8" s="4">
        <v>3</v>
      </c>
      <c r="B8" s="23" t="s">
        <v>64</v>
      </c>
      <c r="C8" s="4">
        <v>216</v>
      </c>
      <c r="D8" s="4">
        <v>224</v>
      </c>
      <c r="E8" s="37">
        <f t="shared" si="0"/>
        <v>103.70370370370371</v>
      </c>
      <c r="F8" s="4">
        <v>12</v>
      </c>
      <c r="G8" s="4">
        <v>105</v>
      </c>
      <c r="H8" s="4">
        <v>105</v>
      </c>
      <c r="I8" s="37">
        <f t="shared" si="1"/>
        <v>100</v>
      </c>
      <c r="J8" s="4">
        <v>105</v>
      </c>
      <c r="K8" s="115">
        <v>105</v>
      </c>
      <c r="L8" s="37">
        <f t="shared" si="2"/>
        <v>100</v>
      </c>
      <c r="M8" s="4"/>
      <c r="N8" s="4"/>
      <c r="O8" s="37"/>
      <c r="P8" s="37"/>
      <c r="Q8" s="4"/>
      <c r="R8" s="37"/>
      <c r="S8" s="37"/>
      <c r="T8" s="37"/>
      <c r="U8" s="37"/>
      <c r="AH8" s="94"/>
    </row>
    <row r="9" spans="1:34" s="21" customFormat="1" ht="24.75" customHeight="1">
      <c r="A9" s="4">
        <v>4</v>
      </c>
      <c r="B9" s="23" t="s">
        <v>65</v>
      </c>
      <c r="C9" s="4">
        <v>105</v>
      </c>
      <c r="D9" s="4">
        <v>113</v>
      </c>
      <c r="E9" s="37">
        <f t="shared" si="0"/>
        <v>107.61904761904762</v>
      </c>
      <c r="F9" s="96">
        <v>1</v>
      </c>
      <c r="G9" s="4">
        <v>54</v>
      </c>
      <c r="H9" s="4">
        <v>60</v>
      </c>
      <c r="I9" s="37">
        <f t="shared" si="1"/>
        <v>111.11111111111111</v>
      </c>
      <c r="J9" s="4">
        <v>54</v>
      </c>
      <c r="K9" s="115">
        <v>55</v>
      </c>
      <c r="L9" s="37">
        <f t="shared" si="2"/>
        <v>101.85185185185185</v>
      </c>
      <c r="M9" s="4"/>
      <c r="N9" s="4"/>
      <c r="O9" s="37"/>
      <c r="P9" s="37"/>
      <c r="Q9" s="4"/>
      <c r="R9" s="37"/>
      <c r="S9" s="37"/>
      <c r="T9" s="37"/>
      <c r="U9" s="37"/>
      <c r="AH9" s="94"/>
    </row>
    <row r="10" spans="1:34" s="21" customFormat="1" ht="24.75" customHeight="1">
      <c r="A10" s="4">
        <v>5</v>
      </c>
      <c r="B10" s="23" t="s">
        <v>66</v>
      </c>
      <c r="C10" s="4">
        <v>872</v>
      </c>
      <c r="D10" s="4">
        <v>873</v>
      </c>
      <c r="E10" s="37">
        <f t="shared" si="0"/>
        <v>100.11467889908256</v>
      </c>
      <c r="F10" s="4">
        <v>12</v>
      </c>
      <c r="G10" s="4">
        <v>308</v>
      </c>
      <c r="H10" s="4">
        <v>308</v>
      </c>
      <c r="I10" s="37">
        <f t="shared" si="1"/>
        <v>100</v>
      </c>
      <c r="J10" s="4">
        <v>308</v>
      </c>
      <c r="K10" s="115">
        <v>304.4</v>
      </c>
      <c r="L10" s="37">
        <f t="shared" si="2"/>
        <v>98.83116883116882</v>
      </c>
      <c r="M10" s="4">
        <v>451</v>
      </c>
      <c r="N10" s="4">
        <v>542</v>
      </c>
      <c r="O10" s="37">
        <f>N10*100/M10</f>
        <v>120.17738359201773</v>
      </c>
      <c r="P10" s="4">
        <v>19</v>
      </c>
      <c r="Q10" s="4">
        <v>27</v>
      </c>
      <c r="R10" s="37">
        <f>Q10*100/P10</f>
        <v>142.10526315789474</v>
      </c>
      <c r="S10" s="4">
        <v>14</v>
      </c>
      <c r="T10" s="4">
        <v>30</v>
      </c>
      <c r="U10" s="37">
        <f>T10*100/S10</f>
        <v>214.28571428571428</v>
      </c>
      <c r="AH10" s="94"/>
    </row>
    <row r="11" spans="1:34" s="21" customFormat="1" ht="24.75" customHeight="1">
      <c r="A11" s="4">
        <v>6</v>
      </c>
      <c r="B11" s="23" t="s">
        <v>67</v>
      </c>
      <c r="C11" s="4">
        <v>554</v>
      </c>
      <c r="D11" s="4">
        <v>574</v>
      </c>
      <c r="E11" s="37">
        <f t="shared" si="0"/>
        <v>103.61010830324909</v>
      </c>
      <c r="F11" s="96">
        <v>12</v>
      </c>
      <c r="G11" s="4">
        <v>280</v>
      </c>
      <c r="H11" s="4">
        <v>280</v>
      </c>
      <c r="I11" s="37">
        <f t="shared" si="1"/>
        <v>100</v>
      </c>
      <c r="J11" s="4">
        <v>280</v>
      </c>
      <c r="K11" s="115">
        <v>256</v>
      </c>
      <c r="L11" s="37">
        <f t="shared" si="2"/>
        <v>91.42857142857143</v>
      </c>
      <c r="M11" s="4">
        <v>392</v>
      </c>
      <c r="N11" s="4">
        <v>393</v>
      </c>
      <c r="O11" s="37">
        <f>N11*100/M11</f>
        <v>100.25510204081633</v>
      </c>
      <c r="P11" s="4">
        <v>80</v>
      </c>
      <c r="Q11" s="4">
        <v>80</v>
      </c>
      <c r="R11" s="37">
        <f>Q11*100/P11</f>
        <v>100</v>
      </c>
      <c r="S11" s="4">
        <v>25</v>
      </c>
      <c r="T11" s="4">
        <v>44</v>
      </c>
      <c r="U11" s="37">
        <f>T11*100/S11</f>
        <v>176</v>
      </c>
      <c r="AH11" s="94"/>
    </row>
    <row r="12" spans="1:34" s="21" customFormat="1" ht="24.75" customHeight="1">
      <c r="A12" s="4">
        <v>7</v>
      </c>
      <c r="B12" s="39" t="s">
        <v>89</v>
      </c>
      <c r="C12" s="4">
        <v>317</v>
      </c>
      <c r="D12" s="4">
        <v>343</v>
      </c>
      <c r="E12" s="37">
        <f t="shared" si="0"/>
        <v>108.2018927444795</v>
      </c>
      <c r="F12" s="96">
        <v>14</v>
      </c>
      <c r="G12" s="4">
        <v>85</v>
      </c>
      <c r="H12" s="4">
        <v>85</v>
      </c>
      <c r="I12" s="37">
        <f t="shared" si="1"/>
        <v>100</v>
      </c>
      <c r="J12" s="4">
        <v>85</v>
      </c>
      <c r="K12" s="115">
        <v>85</v>
      </c>
      <c r="L12" s="37">
        <f t="shared" si="2"/>
        <v>100</v>
      </c>
      <c r="M12" s="4"/>
      <c r="N12" s="4"/>
      <c r="O12" s="37"/>
      <c r="P12" s="4"/>
      <c r="Q12" s="4"/>
      <c r="R12" s="37"/>
      <c r="S12" s="4"/>
      <c r="T12" s="4"/>
      <c r="U12" s="37"/>
      <c r="AH12" s="94"/>
    </row>
    <row r="13" spans="1:34" s="21" customFormat="1" ht="24.75" customHeight="1">
      <c r="A13" s="4">
        <v>8</v>
      </c>
      <c r="B13" s="23" t="s">
        <v>68</v>
      </c>
      <c r="C13" s="4">
        <v>140</v>
      </c>
      <c r="D13" s="4">
        <v>145</v>
      </c>
      <c r="E13" s="37">
        <f t="shared" si="0"/>
        <v>103.57142857142857</v>
      </c>
      <c r="F13" s="4">
        <v>5</v>
      </c>
      <c r="G13" s="4">
        <v>60</v>
      </c>
      <c r="H13" s="4">
        <v>60</v>
      </c>
      <c r="I13" s="37">
        <f t="shared" si="1"/>
        <v>100</v>
      </c>
      <c r="J13" s="37">
        <v>63.9</v>
      </c>
      <c r="K13" s="115">
        <v>52.8</v>
      </c>
      <c r="L13" s="37">
        <f t="shared" si="2"/>
        <v>82.62910798122066</v>
      </c>
      <c r="M13" s="4">
        <v>30</v>
      </c>
      <c r="N13" s="4"/>
      <c r="O13" s="37"/>
      <c r="P13" s="4">
        <v>10</v>
      </c>
      <c r="Q13" s="4"/>
      <c r="R13" s="37"/>
      <c r="S13" s="4"/>
      <c r="T13" s="4"/>
      <c r="U13" s="37"/>
      <c r="AH13" s="94"/>
    </row>
    <row r="14" spans="1:34" s="21" customFormat="1" ht="24.75" customHeight="1">
      <c r="A14" s="4">
        <v>9</v>
      </c>
      <c r="B14" s="33" t="s">
        <v>88</v>
      </c>
      <c r="C14" s="4">
        <v>149</v>
      </c>
      <c r="D14" s="4">
        <v>196</v>
      </c>
      <c r="E14" s="37">
        <f t="shared" si="0"/>
        <v>131.54362416107384</v>
      </c>
      <c r="F14" s="4">
        <v>22</v>
      </c>
      <c r="G14" s="4">
        <v>60</v>
      </c>
      <c r="H14" s="4">
        <v>78</v>
      </c>
      <c r="I14" s="37">
        <f t="shared" si="1"/>
        <v>130</v>
      </c>
      <c r="J14" s="37">
        <v>49.6</v>
      </c>
      <c r="K14" s="115">
        <v>65</v>
      </c>
      <c r="L14" s="37">
        <f t="shared" si="2"/>
        <v>131.04838709677418</v>
      </c>
      <c r="M14" s="4"/>
      <c r="N14" s="4"/>
      <c r="O14" s="37"/>
      <c r="P14" s="4"/>
      <c r="Q14" s="4"/>
      <c r="R14" s="37"/>
      <c r="S14" s="4"/>
      <c r="T14" s="4"/>
      <c r="U14" s="37"/>
      <c r="AH14" s="94"/>
    </row>
    <row r="15" spans="1:34" s="21" customFormat="1" ht="24.75" customHeight="1">
      <c r="A15" s="4">
        <v>10</v>
      </c>
      <c r="B15" s="23" t="s">
        <v>69</v>
      </c>
      <c r="C15" s="4">
        <v>240</v>
      </c>
      <c r="D15" s="4">
        <v>241</v>
      </c>
      <c r="E15" s="37">
        <f t="shared" si="0"/>
        <v>100.41666666666667</v>
      </c>
      <c r="F15" s="4">
        <v>17</v>
      </c>
      <c r="G15" s="4">
        <v>100</v>
      </c>
      <c r="H15" s="4">
        <v>100</v>
      </c>
      <c r="I15" s="37">
        <f t="shared" si="1"/>
        <v>100</v>
      </c>
      <c r="J15" s="4">
        <v>100</v>
      </c>
      <c r="K15" s="115">
        <v>100</v>
      </c>
      <c r="L15" s="37">
        <f t="shared" si="2"/>
        <v>100</v>
      </c>
      <c r="M15" s="4"/>
      <c r="N15" s="4"/>
      <c r="O15" s="37"/>
      <c r="P15" s="4"/>
      <c r="Q15" s="4"/>
      <c r="R15" s="37"/>
      <c r="S15" s="4"/>
      <c r="T15" s="4"/>
      <c r="U15" s="37"/>
      <c r="AH15" s="94"/>
    </row>
    <row r="16" spans="1:34" s="21" customFormat="1" ht="24.75" customHeight="1">
      <c r="A16" s="4">
        <v>11</v>
      </c>
      <c r="B16" s="23" t="s">
        <v>70</v>
      </c>
      <c r="C16" s="4">
        <v>65</v>
      </c>
      <c r="D16" s="4">
        <v>74</v>
      </c>
      <c r="E16" s="37">
        <f t="shared" si="0"/>
        <v>113.84615384615384</v>
      </c>
      <c r="F16" s="4"/>
      <c r="G16" s="4">
        <v>42</v>
      </c>
      <c r="H16" s="4">
        <v>42</v>
      </c>
      <c r="I16" s="37">
        <f t="shared" si="1"/>
        <v>100</v>
      </c>
      <c r="J16" s="4">
        <v>42</v>
      </c>
      <c r="K16" s="115">
        <v>41</v>
      </c>
      <c r="L16" s="37">
        <f t="shared" si="2"/>
        <v>97.61904761904762</v>
      </c>
      <c r="M16" s="4"/>
      <c r="N16" s="4"/>
      <c r="O16" s="37"/>
      <c r="P16" s="4"/>
      <c r="Q16" s="4"/>
      <c r="R16" s="37"/>
      <c r="S16" s="4"/>
      <c r="T16" s="4"/>
      <c r="U16" s="37"/>
      <c r="AH16" s="94"/>
    </row>
    <row r="17" spans="1:34" s="21" customFormat="1" ht="24.75" customHeight="1">
      <c r="A17" s="4">
        <v>12</v>
      </c>
      <c r="B17" s="23" t="s">
        <v>71</v>
      </c>
      <c r="C17" s="4"/>
      <c r="D17" s="4"/>
      <c r="E17" s="37"/>
      <c r="F17" s="4"/>
      <c r="G17" s="4"/>
      <c r="H17" s="4"/>
      <c r="I17" s="37"/>
      <c r="J17" s="23"/>
      <c r="K17" s="115"/>
      <c r="L17" s="37"/>
      <c r="M17" s="4">
        <v>7733</v>
      </c>
      <c r="N17" s="4">
        <v>8918</v>
      </c>
      <c r="O17" s="37">
        <f>N17*100/M17</f>
        <v>115.32393637656796</v>
      </c>
      <c r="P17" s="4">
        <v>200</v>
      </c>
      <c r="Q17" s="4">
        <v>220</v>
      </c>
      <c r="R17" s="37">
        <f>Q17*100/P17</f>
        <v>110</v>
      </c>
      <c r="S17" s="4">
        <v>508</v>
      </c>
      <c r="T17" s="4">
        <v>410</v>
      </c>
      <c r="U17" s="37">
        <f>T17*100/S17</f>
        <v>80.70866141732283</v>
      </c>
      <c r="AH17" s="94"/>
    </row>
    <row r="18" spans="1:34" s="21" customFormat="1" ht="24.75" customHeight="1">
      <c r="A18" s="4">
        <v>13</v>
      </c>
      <c r="B18" s="33" t="s">
        <v>87</v>
      </c>
      <c r="C18" s="83"/>
      <c r="D18" s="4"/>
      <c r="E18" s="37"/>
      <c r="F18" s="4"/>
      <c r="G18" s="4"/>
      <c r="H18" s="4"/>
      <c r="I18" s="37"/>
      <c r="J18" s="23"/>
      <c r="K18" s="115"/>
      <c r="L18" s="37"/>
      <c r="M18" s="4"/>
      <c r="N18" s="4"/>
      <c r="O18" s="37"/>
      <c r="P18" s="4"/>
      <c r="Q18" s="4"/>
      <c r="R18" s="37"/>
      <c r="S18" s="4"/>
      <c r="T18" s="4"/>
      <c r="U18" s="37"/>
      <c r="AH18" s="94"/>
    </row>
    <row r="19" spans="1:34" s="21" customFormat="1" ht="24.75" customHeight="1">
      <c r="A19" s="4">
        <v>14</v>
      </c>
      <c r="B19" s="23" t="s">
        <v>112</v>
      </c>
      <c r="C19" s="83"/>
      <c r="D19" s="4"/>
      <c r="E19" s="37"/>
      <c r="F19" s="4"/>
      <c r="G19" s="4"/>
      <c r="H19" s="4"/>
      <c r="I19" s="37"/>
      <c r="J19" s="23"/>
      <c r="K19" s="115"/>
      <c r="L19" s="37"/>
      <c r="M19" s="4"/>
      <c r="N19" s="4">
        <v>90</v>
      </c>
      <c r="O19" s="37"/>
      <c r="P19" s="4"/>
      <c r="Q19" s="4">
        <v>11</v>
      </c>
      <c r="R19" s="37"/>
      <c r="S19" s="4"/>
      <c r="T19" s="4">
        <v>10</v>
      </c>
      <c r="U19" s="37"/>
      <c r="AH19" s="94"/>
    </row>
    <row r="20" spans="1:21" s="21" customFormat="1" ht="33" customHeight="1">
      <c r="A20" s="132" t="s">
        <v>109</v>
      </c>
      <c r="B20" s="133"/>
      <c r="C20" s="4">
        <f>SUM(C7:C19)</f>
        <v>2980</v>
      </c>
      <c r="D20" s="4">
        <f>SUM(D7:D19)</f>
        <v>3146</v>
      </c>
      <c r="E20" s="37">
        <f>D20*100/C20</f>
        <v>105.57046979865771</v>
      </c>
      <c r="F20" s="4">
        <f>SUM(F6:F17)</f>
        <v>101</v>
      </c>
      <c r="G20" s="4">
        <f>SUM(G7:G19)</f>
        <v>1274</v>
      </c>
      <c r="H20" s="4">
        <f>SUM(H7:H19)</f>
        <v>1298</v>
      </c>
      <c r="I20" s="37">
        <f>H20*100/G20</f>
        <v>101.88383045525903</v>
      </c>
      <c r="J20" s="4">
        <v>1295</v>
      </c>
      <c r="K20" s="4">
        <v>1245</v>
      </c>
      <c r="L20" s="37">
        <f>K20*100/J20</f>
        <v>96.13899613899613</v>
      </c>
      <c r="M20" s="4">
        <f>SUM(M10:M19)</f>
        <v>8606</v>
      </c>
      <c r="N20" s="4">
        <f>SUM(N10:N19)</f>
        <v>9943</v>
      </c>
      <c r="O20" s="37">
        <f>N20*100/M20</f>
        <v>115.53567278642808</v>
      </c>
      <c r="P20" s="4">
        <f>SUM(P10:P19)</f>
        <v>309</v>
      </c>
      <c r="Q20" s="4">
        <f>SUM(Q10:Q19)</f>
        <v>338</v>
      </c>
      <c r="R20" s="37">
        <f>Q20*100/P20</f>
        <v>109.38511326860842</v>
      </c>
      <c r="S20" s="4">
        <f>SUM(S10:S19)</f>
        <v>547</v>
      </c>
      <c r="T20" s="4">
        <f>SUM(T10:T19)</f>
        <v>494</v>
      </c>
      <c r="U20" s="37">
        <f>T20*100/S20</f>
        <v>90.31078610603291</v>
      </c>
    </row>
  </sheetData>
  <mergeCells count="10">
    <mergeCell ref="M3:U3"/>
    <mergeCell ref="J3:L3"/>
    <mergeCell ref="J4:J5"/>
    <mergeCell ref="K4:K5"/>
    <mergeCell ref="L4:L5"/>
    <mergeCell ref="A20:B20"/>
    <mergeCell ref="G3:I3"/>
    <mergeCell ref="F3:F5"/>
    <mergeCell ref="C3:E3"/>
    <mergeCell ref="B3:B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zoomScale="75" zoomScaleNormal="75" zoomScaleSheetLayoutView="75" workbookViewId="0" topLeftCell="A1">
      <selection activeCell="B17" sqref="B17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1"/>
      <c r="B2" s="21"/>
      <c r="C2" s="21"/>
      <c r="D2" s="1" t="s">
        <v>104</v>
      </c>
      <c r="E2" s="1"/>
      <c r="F2" s="1"/>
      <c r="G2" s="1"/>
      <c r="H2" s="1"/>
      <c r="I2" s="1"/>
      <c r="J2" s="1"/>
      <c r="K2" s="1"/>
      <c r="L2" s="21"/>
      <c r="M2" s="21"/>
      <c r="N2" s="21"/>
    </row>
    <row r="3" spans="1:14" ht="15">
      <c r="A3" s="164" t="s">
        <v>60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12.75">
      <c r="A4" s="155" t="s">
        <v>2</v>
      </c>
      <c r="B4" s="152" t="s">
        <v>3</v>
      </c>
      <c r="C4" s="173" t="s">
        <v>97</v>
      </c>
      <c r="D4" s="174"/>
      <c r="E4" s="170"/>
      <c r="F4" s="165" t="s">
        <v>72</v>
      </c>
      <c r="G4" s="166"/>
      <c r="H4" s="165" t="s">
        <v>96</v>
      </c>
      <c r="I4" s="169"/>
      <c r="J4" s="170"/>
      <c r="K4" s="165" t="s">
        <v>94</v>
      </c>
      <c r="L4" s="166"/>
      <c r="M4" s="165" t="s">
        <v>95</v>
      </c>
      <c r="N4" s="166"/>
    </row>
    <row r="5" spans="1:14" ht="31.5" customHeight="1">
      <c r="A5" s="156"/>
      <c r="B5" s="153"/>
      <c r="C5" s="175"/>
      <c r="D5" s="176"/>
      <c r="E5" s="177"/>
      <c r="F5" s="167"/>
      <c r="G5" s="168"/>
      <c r="H5" s="167"/>
      <c r="I5" s="171"/>
      <c r="J5" s="172"/>
      <c r="K5" s="167"/>
      <c r="L5" s="168"/>
      <c r="M5" s="167"/>
      <c r="N5" s="168"/>
    </row>
    <row r="6" spans="1:14" ht="30">
      <c r="A6" s="157"/>
      <c r="B6" s="154"/>
      <c r="C6" s="4">
        <v>2009</v>
      </c>
      <c r="D6" s="20">
        <v>2010</v>
      </c>
      <c r="E6" s="119" t="s">
        <v>93</v>
      </c>
      <c r="F6" s="19">
        <v>2009</v>
      </c>
      <c r="G6" s="20">
        <v>2010</v>
      </c>
      <c r="H6" s="19">
        <v>2009</v>
      </c>
      <c r="I6" s="19">
        <v>2010</v>
      </c>
      <c r="J6" s="118" t="s">
        <v>93</v>
      </c>
      <c r="K6" s="23" t="s">
        <v>1</v>
      </c>
      <c r="L6" s="25" t="s">
        <v>34</v>
      </c>
      <c r="M6" s="39" t="s">
        <v>47</v>
      </c>
      <c r="N6" s="52" t="s">
        <v>48</v>
      </c>
    </row>
    <row r="7" spans="1:14" ht="16.5" customHeight="1">
      <c r="A7" s="32">
        <v>1</v>
      </c>
      <c r="B7" s="32" t="s">
        <v>62</v>
      </c>
      <c r="C7" s="101"/>
      <c r="D7" s="32"/>
      <c r="E7" s="32"/>
      <c r="F7" s="32"/>
      <c r="G7" s="32"/>
      <c r="H7" s="32"/>
      <c r="I7" s="32"/>
      <c r="J7" s="32"/>
      <c r="K7" s="32"/>
      <c r="L7" s="32"/>
      <c r="M7" s="101"/>
      <c r="N7" s="32"/>
    </row>
    <row r="8" spans="1:14" ht="16.5" customHeight="1">
      <c r="A8" s="32">
        <v>2</v>
      </c>
      <c r="B8" s="32" t="s">
        <v>63</v>
      </c>
      <c r="C8" s="32"/>
      <c r="D8" s="32"/>
      <c r="E8" s="32"/>
      <c r="F8" s="32"/>
      <c r="G8" s="32"/>
      <c r="H8" s="32"/>
      <c r="I8" s="80"/>
      <c r="J8" s="80"/>
      <c r="K8" s="80"/>
      <c r="L8" s="80"/>
      <c r="M8" s="102"/>
      <c r="N8" s="102"/>
    </row>
    <row r="9" spans="1:14" ht="16.5" customHeight="1">
      <c r="A9" s="32">
        <v>3</v>
      </c>
      <c r="B9" s="32" t="s">
        <v>64</v>
      </c>
      <c r="C9" s="32"/>
      <c r="D9" s="32"/>
      <c r="E9" s="32"/>
      <c r="F9" s="32"/>
      <c r="G9" s="32"/>
      <c r="H9" s="32"/>
      <c r="I9" s="32"/>
      <c r="J9" s="32"/>
      <c r="K9" s="80"/>
      <c r="L9" s="80"/>
      <c r="M9" s="102"/>
      <c r="N9" s="102"/>
    </row>
    <row r="10" spans="1:14" ht="16.5" customHeight="1">
      <c r="A10" s="32">
        <v>4</v>
      </c>
      <c r="B10" s="32" t="s">
        <v>65</v>
      </c>
      <c r="C10" s="32"/>
      <c r="D10" s="32"/>
      <c r="E10" s="32"/>
      <c r="F10" s="32"/>
      <c r="G10" s="32"/>
      <c r="H10" s="32"/>
      <c r="I10" s="32"/>
      <c r="J10" s="32"/>
      <c r="K10" s="80"/>
      <c r="L10" s="80"/>
      <c r="M10" s="102"/>
      <c r="N10" s="102"/>
    </row>
    <row r="11" spans="1:14" ht="16.5" customHeight="1">
      <c r="A11" s="32">
        <v>5</v>
      </c>
      <c r="B11" s="23" t="s">
        <v>66</v>
      </c>
      <c r="C11" s="32">
        <v>658</v>
      </c>
      <c r="D11" s="32">
        <v>631</v>
      </c>
      <c r="E11" s="32">
        <f>D11-C11</f>
        <v>-27</v>
      </c>
      <c r="F11" s="32">
        <v>281</v>
      </c>
      <c r="G11" s="32">
        <v>353</v>
      </c>
      <c r="H11" s="80">
        <v>1479</v>
      </c>
      <c r="I11" s="81">
        <f>G11*100/27</f>
        <v>1307.4074074074074</v>
      </c>
      <c r="J11" s="80">
        <f>I11-H11</f>
        <v>-171.5925925925926</v>
      </c>
      <c r="K11" s="32">
        <v>68</v>
      </c>
      <c r="L11" s="32">
        <v>37</v>
      </c>
      <c r="M11" s="102">
        <f>G11/L11</f>
        <v>9.54054054054054</v>
      </c>
      <c r="N11" s="102">
        <f>(D11-G11)/(K11-L11)</f>
        <v>8.96774193548387</v>
      </c>
    </row>
    <row r="12" spans="1:15" ht="16.5" customHeight="1">
      <c r="A12" s="32">
        <v>6</v>
      </c>
      <c r="B12" s="32" t="s">
        <v>67</v>
      </c>
      <c r="C12" s="32">
        <v>618</v>
      </c>
      <c r="D12" s="32">
        <v>631</v>
      </c>
      <c r="E12" s="32">
        <f>D12-C12</f>
        <v>13</v>
      </c>
      <c r="F12" s="32">
        <v>460</v>
      </c>
      <c r="G12" s="32">
        <v>561</v>
      </c>
      <c r="H12" s="81">
        <v>575</v>
      </c>
      <c r="I12" s="81">
        <f>G12*100/80</f>
        <v>701.25</v>
      </c>
      <c r="J12" s="80">
        <f>I12-H12</f>
        <v>126.25</v>
      </c>
      <c r="K12" s="33">
        <v>71</v>
      </c>
      <c r="L12" s="33">
        <v>62</v>
      </c>
      <c r="M12" s="102">
        <f>G12/L12</f>
        <v>9.048387096774194</v>
      </c>
      <c r="N12" s="102">
        <f>(D12-G12)/(K12-L12)</f>
        <v>7.777777777777778</v>
      </c>
      <c r="O12" s="16"/>
    </row>
    <row r="13" spans="1:14" ht="16.5" customHeight="1">
      <c r="A13" s="32">
        <v>7</v>
      </c>
      <c r="B13" s="33" t="s">
        <v>89</v>
      </c>
      <c r="C13" s="32"/>
      <c r="D13" s="32"/>
      <c r="E13" s="32"/>
      <c r="F13" s="32"/>
      <c r="G13" s="32"/>
      <c r="H13" s="80"/>
      <c r="I13" s="81"/>
      <c r="J13" s="80"/>
      <c r="K13" s="33"/>
      <c r="L13" s="33"/>
      <c r="M13" s="102"/>
      <c r="N13" s="102"/>
    </row>
    <row r="14" spans="1:14" ht="16.5" customHeight="1">
      <c r="A14" s="32">
        <v>8</v>
      </c>
      <c r="B14" s="33" t="s">
        <v>68</v>
      </c>
      <c r="C14" s="32"/>
      <c r="D14" s="32"/>
      <c r="E14" s="32"/>
      <c r="F14" s="32"/>
      <c r="G14" s="32"/>
      <c r="H14" s="80"/>
      <c r="I14" s="81"/>
      <c r="J14" s="80"/>
      <c r="K14" s="33"/>
      <c r="L14" s="33"/>
      <c r="M14" s="102"/>
      <c r="N14" s="102"/>
    </row>
    <row r="15" spans="1:14" ht="16.5" customHeight="1">
      <c r="A15" s="32">
        <v>9</v>
      </c>
      <c r="B15" s="33" t="s">
        <v>88</v>
      </c>
      <c r="C15" s="32"/>
      <c r="D15" s="32"/>
      <c r="E15" s="32"/>
      <c r="F15" s="32"/>
      <c r="G15" s="32"/>
      <c r="H15" s="80"/>
      <c r="I15" s="81"/>
      <c r="J15" s="80"/>
      <c r="K15" s="33"/>
      <c r="L15" s="33"/>
      <c r="M15" s="102"/>
      <c r="N15" s="102"/>
    </row>
    <row r="16" spans="1:14" ht="16.5" customHeight="1">
      <c r="A16" s="32">
        <v>10</v>
      </c>
      <c r="B16" s="33" t="s">
        <v>69</v>
      </c>
      <c r="C16" s="32"/>
      <c r="D16" s="32"/>
      <c r="E16" s="32"/>
      <c r="F16" s="32"/>
      <c r="G16" s="32"/>
      <c r="H16" s="80"/>
      <c r="I16" s="81"/>
      <c r="J16" s="80"/>
      <c r="K16" s="81"/>
      <c r="L16" s="81"/>
      <c r="M16" s="102"/>
      <c r="N16" s="102"/>
    </row>
    <row r="17" spans="1:14" ht="16.5" customHeight="1">
      <c r="A17" s="32">
        <v>11</v>
      </c>
      <c r="B17" s="33" t="s">
        <v>70</v>
      </c>
      <c r="C17" s="32"/>
      <c r="D17" s="32"/>
      <c r="E17" s="32"/>
      <c r="F17" s="32"/>
      <c r="G17" s="32"/>
      <c r="H17" s="80"/>
      <c r="I17" s="81"/>
      <c r="J17" s="80"/>
      <c r="K17" s="33"/>
      <c r="L17" s="33"/>
      <c r="M17" s="102"/>
      <c r="N17" s="102"/>
    </row>
    <row r="18" spans="1:14" ht="16.5" customHeight="1">
      <c r="A18" s="32">
        <v>12</v>
      </c>
      <c r="B18" s="33" t="s">
        <v>71</v>
      </c>
      <c r="C18" s="32">
        <v>7506</v>
      </c>
      <c r="D18" s="32">
        <v>7495</v>
      </c>
      <c r="E18" s="32">
        <f>D18-C18</f>
        <v>-11</v>
      </c>
      <c r="F18" s="32">
        <v>4490</v>
      </c>
      <c r="G18" s="32">
        <v>4797</v>
      </c>
      <c r="H18" s="81">
        <v>2041</v>
      </c>
      <c r="I18" s="81">
        <f>G18*100/200</f>
        <v>2398.5</v>
      </c>
      <c r="J18" s="80">
        <f>I18-H18</f>
        <v>357.5</v>
      </c>
      <c r="K18" s="33">
        <v>915</v>
      </c>
      <c r="L18" s="33">
        <v>537</v>
      </c>
      <c r="M18" s="102">
        <f>G18/L18</f>
        <v>8.932960893854748</v>
      </c>
      <c r="N18" s="102">
        <f>(D18-G18)/(K18-L18)</f>
        <v>7.137566137566138</v>
      </c>
    </row>
    <row r="19" spans="1:14" ht="16.5" customHeight="1">
      <c r="A19" s="121">
        <v>13</v>
      </c>
      <c r="B19" s="23" t="s">
        <v>112</v>
      </c>
      <c r="C19" s="32"/>
      <c r="D19" s="32">
        <v>67</v>
      </c>
      <c r="E19" s="32"/>
      <c r="F19" s="32"/>
      <c r="G19" s="32">
        <v>67</v>
      </c>
      <c r="H19" s="81"/>
      <c r="I19" s="81">
        <f>G19*100/11</f>
        <v>609.0909090909091</v>
      </c>
      <c r="J19" s="80"/>
      <c r="K19" s="33">
        <v>11</v>
      </c>
      <c r="L19" s="33">
        <v>11</v>
      </c>
      <c r="M19" s="102">
        <f>G19/L19</f>
        <v>6.090909090909091</v>
      </c>
      <c r="N19" s="102"/>
    </row>
    <row r="20" spans="1:14" ht="33.75" customHeight="1">
      <c r="A20" s="132" t="s">
        <v>109</v>
      </c>
      <c r="B20" s="133"/>
      <c r="C20" s="32">
        <f>SUM(C11:C19)</f>
        <v>8782</v>
      </c>
      <c r="D20" s="32">
        <f>SUM(D11:D19)</f>
        <v>8824</v>
      </c>
      <c r="E20" s="32">
        <f>D20-C20</f>
        <v>42</v>
      </c>
      <c r="F20" s="32">
        <f>SUM(F11:F19)</f>
        <v>5231</v>
      </c>
      <c r="G20" s="32">
        <f>SUM(G11:G19)</f>
        <v>5778</v>
      </c>
      <c r="H20" s="80">
        <v>1571</v>
      </c>
      <c r="I20" s="81">
        <f>G20*100/307</f>
        <v>1882.084690553746</v>
      </c>
      <c r="J20" s="80">
        <f>I20-H20</f>
        <v>311.084690553746</v>
      </c>
      <c r="K20" s="80">
        <f>SUM(K11:K19)</f>
        <v>1065</v>
      </c>
      <c r="L20" s="80">
        <f>SUM(L11:L19)</f>
        <v>647</v>
      </c>
      <c r="M20" s="102">
        <f>G20/L20</f>
        <v>8.930448222565687</v>
      </c>
      <c r="N20" s="102">
        <f>(D20-G20)/(K20-L20)</f>
        <v>7.287081339712919</v>
      </c>
    </row>
  </sheetData>
  <mergeCells count="9">
    <mergeCell ref="A20:B20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65" zoomScaleNormal="75" zoomScaleSheetLayoutView="65" workbookViewId="0" topLeftCell="A1">
      <selection activeCell="B14" sqref="B14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1"/>
      <c r="B2" s="21"/>
      <c r="C2" s="1" t="s">
        <v>103</v>
      </c>
      <c r="D2" s="1"/>
      <c r="E2" s="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55" t="s">
        <v>2</v>
      </c>
      <c r="B3" s="155" t="s">
        <v>3</v>
      </c>
      <c r="C3" s="25" t="s">
        <v>36</v>
      </c>
      <c r="D3" s="26"/>
      <c r="E3" s="28"/>
      <c r="F3" s="50" t="s">
        <v>37</v>
      </c>
      <c r="G3" s="26"/>
      <c r="H3" s="28"/>
      <c r="I3" s="25" t="s">
        <v>38</v>
      </c>
      <c r="J3" s="26"/>
      <c r="K3" s="28"/>
      <c r="L3" s="25" t="s">
        <v>39</v>
      </c>
      <c r="M3" s="26"/>
      <c r="N3" s="28"/>
    </row>
    <row r="4" spans="1:14" ht="15">
      <c r="A4" s="156"/>
      <c r="B4" s="156"/>
      <c r="C4" s="19">
        <v>2009</v>
      </c>
      <c r="D4" s="20">
        <v>2010</v>
      </c>
      <c r="E4" s="10" t="s">
        <v>35</v>
      </c>
      <c r="F4" s="19">
        <v>2009</v>
      </c>
      <c r="G4" s="20">
        <v>2010</v>
      </c>
      <c r="H4" s="22" t="s">
        <v>35</v>
      </c>
      <c r="I4" s="19">
        <v>2009</v>
      </c>
      <c r="J4" s="20">
        <v>2010</v>
      </c>
      <c r="K4" s="22" t="s">
        <v>35</v>
      </c>
      <c r="L4" s="19">
        <v>2009</v>
      </c>
      <c r="M4" s="20">
        <v>2010</v>
      </c>
      <c r="N4" s="10" t="s">
        <v>35</v>
      </c>
    </row>
    <row r="5" spans="1:14" ht="15">
      <c r="A5" s="157"/>
      <c r="B5" s="157"/>
      <c r="C5" s="30"/>
      <c r="D5" s="30"/>
      <c r="E5" s="46" t="s">
        <v>79</v>
      </c>
      <c r="F5" s="30"/>
      <c r="G5" s="30"/>
      <c r="H5" s="46" t="s">
        <v>79</v>
      </c>
      <c r="I5" s="30"/>
      <c r="J5" s="30"/>
      <c r="K5" s="46" t="s">
        <v>79</v>
      </c>
      <c r="L5" s="30"/>
      <c r="M5" s="30"/>
      <c r="N5" s="46" t="s">
        <v>79</v>
      </c>
    </row>
    <row r="6" spans="1:14" ht="16.5" customHeight="1">
      <c r="A6" s="32">
        <v>1</v>
      </c>
      <c r="B6" s="32" t="s">
        <v>62</v>
      </c>
      <c r="C6" s="13">
        <v>21</v>
      </c>
      <c r="D6" s="13"/>
      <c r="E6" s="17">
        <f>D6-C6</f>
        <v>-21</v>
      </c>
      <c r="F6" s="13">
        <v>15</v>
      </c>
      <c r="G6" s="13"/>
      <c r="H6" s="17">
        <f>G6-F6</f>
        <v>-15</v>
      </c>
      <c r="I6" s="13"/>
      <c r="J6" s="13"/>
      <c r="K6" s="13"/>
      <c r="L6" s="13"/>
      <c r="M6" s="13"/>
      <c r="N6" s="13"/>
    </row>
    <row r="7" spans="1:14" ht="16.5" customHeight="1">
      <c r="A7" s="32">
        <v>2</v>
      </c>
      <c r="B7" s="32" t="s">
        <v>63</v>
      </c>
      <c r="C7" s="13">
        <v>145</v>
      </c>
      <c r="D7" s="13">
        <v>141</v>
      </c>
      <c r="E7" s="17">
        <f aca="true" t="shared" si="0" ref="E7:E16">D7-C7</f>
        <v>-4</v>
      </c>
      <c r="F7" s="13">
        <v>32</v>
      </c>
      <c r="G7" s="13">
        <v>25</v>
      </c>
      <c r="H7" s="17">
        <f aca="true" t="shared" si="1" ref="H7:H16">G7-F7</f>
        <v>-7</v>
      </c>
      <c r="I7" s="13"/>
      <c r="J7" s="13"/>
      <c r="K7" s="13"/>
      <c r="L7" s="13"/>
      <c r="M7" s="13"/>
      <c r="N7" s="13"/>
    </row>
    <row r="8" spans="1:14" ht="16.5" customHeight="1">
      <c r="A8" s="32">
        <v>3</v>
      </c>
      <c r="B8" s="32" t="s">
        <v>64</v>
      </c>
      <c r="C8" s="13">
        <v>134</v>
      </c>
      <c r="D8" s="13">
        <v>143</v>
      </c>
      <c r="E8" s="17">
        <f t="shared" si="0"/>
        <v>9</v>
      </c>
      <c r="F8" s="13">
        <v>3</v>
      </c>
      <c r="G8" s="13">
        <v>27</v>
      </c>
      <c r="H8" s="17">
        <f t="shared" si="1"/>
        <v>24</v>
      </c>
      <c r="I8" s="13"/>
      <c r="J8" s="13"/>
      <c r="K8" s="13"/>
      <c r="L8" s="13"/>
      <c r="M8" s="13"/>
      <c r="N8" s="13"/>
    </row>
    <row r="9" spans="1:14" ht="16.5" customHeight="1">
      <c r="A9" s="32">
        <v>4</v>
      </c>
      <c r="B9" s="32" t="s">
        <v>65</v>
      </c>
      <c r="C9" s="13">
        <v>31</v>
      </c>
      <c r="D9" s="13">
        <v>40</v>
      </c>
      <c r="E9" s="17">
        <f t="shared" si="0"/>
        <v>9</v>
      </c>
      <c r="F9" s="13"/>
      <c r="G9" s="13">
        <v>2</v>
      </c>
      <c r="H9" s="17">
        <f t="shared" si="1"/>
        <v>2</v>
      </c>
      <c r="I9" s="13"/>
      <c r="J9" s="13"/>
      <c r="K9" s="13"/>
      <c r="L9" s="13"/>
      <c r="M9" s="13"/>
      <c r="N9" s="13"/>
    </row>
    <row r="10" spans="1:14" ht="16.5" customHeight="1">
      <c r="A10" s="32">
        <v>5</v>
      </c>
      <c r="B10" s="23" t="s">
        <v>66</v>
      </c>
      <c r="C10" s="13">
        <v>303</v>
      </c>
      <c r="D10" s="13">
        <v>232</v>
      </c>
      <c r="E10" s="17">
        <f t="shared" si="0"/>
        <v>-71</v>
      </c>
      <c r="F10" s="13">
        <v>50</v>
      </c>
      <c r="G10" s="13">
        <v>16</v>
      </c>
      <c r="H10" s="17">
        <f t="shared" si="1"/>
        <v>-34</v>
      </c>
      <c r="I10" s="13">
        <v>47</v>
      </c>
      <c r="J10" s="13">
        <v>83</v>
      </c>
      <c r="K10" s="13">
        <f>J10-I10</f>
        <v>36</v>
      </c>
      <c r="L10" s="13">
        <v>23</v>
      </c>
      <c r="M10" s="13">
        <v>23</v>
      </c>
      <c r="N10" s="13">
        <f>M10-L10</f>
        <v>0</v>
      </c>
    </row>
    <row r="11" spans="1:14" ht="16.5" customHeight="1">
      <c r="A11" s="32">
        <v>6</v>
      </c>
      <c r="B11" s="32" t="s">
        <v>67</v>
      </c>
      <c r="C11" s="13">
        <v>226</v>
      </c>
      <c r="D11" s="13">
        <v>219</v>
      </c>
      <c r="E11" s="17">
        <f t="shared" si="0"/>
        <v>-7</v>
      </c>
      <c r="F11" s="13">
        <v>30</v>
      </c>
      <c r="G11" s="13">
        <v>40</v>
      </c>
      <c r="H11" s="17">
        <f t="shared" si="1"/>
        <v>10</v>
      </c>
      <c r="I11" s="13">
        <v>196</v>
      </c>
      <c r="J11" s="13">
        <v>218</v>
      </c>
      <c r="K11" s="13">
        <f>J11-I11</f>
        <v>22</v>
      </c>
      <c r="L11" s="13">
        <v>19</v>
      </c>
      <c r="M11" s="13">
        <v>21</v>
      </c>
      <c r="N11" s="13">
        <f>M11-L11</f>
        <v>2</v>
      </c>
    </row>
    <row r="12" spans="1:14" ht="16.5" customHeight="1">
      <c r="A12" s="32">
        <v>7</v>
      </c>
      <c r="B12" s="33" t="s">
        <v>89</v>
      </c>
      <c r="C12" s="13">
        <v>127</v>
      </c>
      <c r="D12" s="13">
        <v>91</v>
      </c>
      <c r="E12" s="17">
        <f t="shared" si="0"/>
        <v>-36</v>
      </c>
      <c r="F12" s="13">
        <v>27</v>
      </c>
      <c r="G12" s="13">
        <v>13</v>
      </c>
      <c r="H12" s="17">
        <f t="shared" si="1"/>
        <v>-14</v>
      </c>
      <c r="I12" s="13"/>
      <c r="J12" s="13"/>
      <c r="K12" s="13"/>
      <c r="L12" s="13"/>
      <c r="M12" s="13"/>
      <c r="N12" s="13"/>
    </row>
    <row r="13" spans="1:14" ht="16.5" customHeight="1">
      <c r="A13" s="32">
        <v>8</v>
      </c>
      <c r="B13" s="33" t="s">
        <v>68</v>
      </c>
      <c r="C13" s="13">
        <v>65</v>
      </c>
      <c r="D13" s="13">
        <v>54</v>
      </c>
      <c r="E13" s="17">
        <f t="shared" si="0"/>
        <v>-11</v>
      </c>
      <c r="F13" s="13">
        <v>10</v>
      </c>
      <c r="G13" s="13">
        <v>12</v>
      </c>
      <c r="H13" s="17">
        <f t="shared" si="1"/>
        <v>2</v>
      </c>
      <c r="I13" s="13"/>
      <c r="J13" s="13"/>
      <c r="K13" s="13"/>
      <c r="L13" s="13"/>
      <c r="M13" s="13"/>
      <c r="N13" s="13"/>
    </row>
    <row r="14" spans="1:14" ht="16.5" customHeight="1">
      <c r="A14" s="32">
        <v>9</v>
      </c>
      <c r="B14" s="33" t="s">
        <v>88</v>
      </c>
      <c r="C14" s="13">
        <v>62</v>
      </c>
      <c r="D14" s="13">
        <v>89</v>
      </c>
      <c r="E14" s="17">
        <f t="shared" si="0"/>
        <v>27</v>
      </c>
      <c r="F14" s="13">
        <v>18</v>
      </c>
      <c r="G14" s="13">
        <v>21</v>
      </c>
      <c r="H14" s="17">
        <f t="shared" si="1"/>
        <v>3</v>
      </c>
      <c r="I14" s="13"/>
      <c r="J14" s="13"/>
      <c r="K14" s="13"/>
      <c r="L14" s="13"/>
      <c r="M14" s="13"/>
      <c r="N14" s="13"/>
    </row>
    <row r="15" spans="1:14" ht="16.5" customHeight="1">
      <c r="A15" s="32">
        <v>10</v>
      </c>
      <c r="B15" s="33" t="s">
        <v>69</v>
      </c>
      <c r="C15" s="13">
        <v>120</v>
      </c>
      <c r="D15" s="13">
        <v>107</v>
      </c>
      <c r="E15" s="17">
        <f t="shared" si="0"/>
        <v>-13</v>
      </c>
      <c r="F15" s="13">
        <v>17</v>
      </c>
      <c r="G15" s="13">
        <v>33</v>
      </c>
      <c r="H15" s="17">
        <f t="shared" si="1"/>
        <v>16</v>
      </c>
      <c r="I15" s="13"/>
      <c r="J15" s="13"/>
      <c r="K15" s="13"/>
      <c r="L15" s="13"/>
      <c r="M15" s="13"/>
      <c r="N15" s="13"/>
    </row>
    <row r="16" spans="1:14" ht="16.5" customHeight="1">
      <c r="A16" s="32">
        <v>11</v>
      </c>
      <c r="B16" s="33" t="s">
        <v>70</v>
      </c>
      <c r="C16" s="13">
        <v>42</v>
      </c>
      <c r="D16" s="13">
        <v>40</v>
      </c>
      <c r="E16" s="17">
        <f t="shared" si="0"/>
        <v>-2</v>
      </c>
      <c r="F16" s="13">
        <v>2</v>
      </c>
      <c r="G16" s="13"/>
      <c r="H16" s="17">
        <f t="shared" si="1"/>
        <v>-2</v>
      </c>
      <c r="I16" s="13"/>
      <c r="J16" s="13"/>
      <c r="K16" s="13"/>
      <c r="L16" s="13"/>
      <c r="M16" s="13"/>
      <c r="N16" s="13"/>
    </row>
    <row r="17" spans="1:14" ht="16.5" customHeight="1">
      <c r="A17" s="32">
        <v>12</v>
      </c>
      <c r="B17" s="33" t="s">
        <v>71</v>
      </c>
      <c r="C17" s="100"/>
      <c r="D17" s="17"/>
      <c r="E17" s="17"/>
      <c r="F17" s="17"/>
      <c r="G17" s="17"/>
      <c r="H17" s="17"/>
      <c r="I17" s="13">
        <v>1478</v>
      </c>
      <c r="J17" s="13">
        <v>1335</v>
      </c>
      <c r="K17" s="13">
        <f>J17-I17</f>
        <v>-143</v>
      </c>
      <c r="L17" s="13">
        <v>662</v>
      </c>
      <c r="M17" s="13">
        <v>728</v>
      </c>
      <c r="N17" s="13">
        <f>M17-L17</f>
        <v>66</v>
      </c>
    </row>
    <row r="18" spans="1:14" ht="18">
      <c r="A18" s="33">
        <v>13</v>
      </c>
      <c r="B18" s="2" t="s">
        <v>113</v>
      </c>
      <c r="C18" s="2"/>
      <c r="D18" s="2"/>
      <c r="E18" s="2"/>
      <c r="F18" s="2"/>
      <c r="G18" s="2"/>
      <c r="H18" s="2"/>
      <c r="I18" s="2"/>
      <c r="J18" s="13">
        <v>13</v>
      </c>
      <c r="K18" s="13"/>
      <c r="L18" s="13"/>
      <c r="M18" s="13">
        <v>4</v>
      </c>
      <c r="N18" s="2"/>
    </row>
    <row r="19" spans="1:18" ht="32.25" customHeight="1">
      <c r="A19" s="147" t="s">
        <v>109</v>
      </c>
      <c r="B19" s="148"/>
      <c r="C19" s="123">
        <f>SUM(C6:C18)</f>
        <v>1276</v>
      </c>
      <c r="D19" s="123">
        <f>SUM(D6:D18)</f>
        <v>1156</v>
      </c>
      <c r="E19" s="17">
        <f>D19-C19</f>
        <v>-120</v>
      </c>
      <c r="F19" s="123">
        <f>SUM(F6:F18)</f>
        <v>204</v>
      </c>
      <c r="G19" s="123">
        <f>SUM(G6:G18)</f>
        <v>189</v>
      </c>
      <c r="H19" s="17">
        <f>G19-F19</f>
        <v>-15</v>
      </c>
      <c r="I19" s="123">
        <f>SUM(I10:I18)</f>
        <v>1721</v>
      </c>
      <c r="J19" s="123">
        <f>SUM(J10:J18)</f>
        <v>1649</v>
      </c>
      <c r="K19" s="13">
        <f>J19-I19</f>
        <v>-72</v>
      </c>
      <c r="L19" s="123">
        <f>SUM(L10:L18)</f>
        <v>704</v>
      </c>
      <c r="M19" s="123">
        <f>SUM(M10:M18)</f>
        <v>776</v>
      </c>
      <c r="N19" s="13">
        <f>M19-L19</f>
        <v>72</v>
      </c>
      <c r="O19" s="76"/>
      <c r="P19" s="76"/>
      <c r="Q19" s="76"/>
      <c r="R19" s="76"/>
    </row>
  </sheetData>
  <mergeCells count="3">
    <mergeCell ref="A19:B19"/>
    <mergeCell ref="B3:B5"/>
    <mergeCell ref="A3:A5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workbookViewId="0" topLeftCell="A1">
      <selection activeCell="B10" sqref="B10:B11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8" t="s">
        <v>102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">
      <c r="A2" s="164" t="s">
        <v>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179" t="s">
        <v>2</v>
      </c>
      <c r="B4" s="179" t="s">
        <v>3</v>
      </c>
      <c r="C4" s="25" t="s">
        <v>26</v>
      </c>
      <c r="D4" s="26"/>
      <c r="E4" s="28"/>
      <c r="F4" s="6" t="s">
        <v>27</v>
      </c>
      <c r="G4" s="8"/>
      <c r="H4" s="24" t="s">
        <v>29</v>
      </c>
      <c r="I4" s="35" t="s">
        <v>30</v>
      </c>
      <c r="J4" s="22"/>
      <c r="K4" s="24" t="s">
        <v>29</v>
      </c>
      <c r="L4" s="51" t="s">
        <v>32</v>
      </c>
      <c r="M4" s="22"/>
      <c r="N4" s="24" t="s">
        <v>29</v>
      </c>
    </row>
    <row r="5" spans="1:14" ht="15">
      <c r="A5" s="180"/>
      <c r="B5" s="180"/>
      <c r="C5" s="19">
        <v>2009</v>
      </c>
      <c r="D5" s="20">
        <v>2010</v>
      </c>
      <c r="E5" s="20" t="s">
        <v>76</v>
      </c>
      <c r="F5" s="19">
        <v>2009</v>
      </c>
      <c r="G5" s="20">
        <v>2010</v>
      </c>
      <c r="H5" s="45" t="s">
        <v>28</v>
      </c>
      <c r="I5" s="31" t="s">
        <v>31</v>
      </c>
      <c r="J5" s="29"/>
      <c r="K5" s="45" t="s">
        <v>28</v>
      </c>
      <c r="L5" s="53" t="s">
        <v>33</v>
      </c>
      <c r="M5" s="29"/>
      <c r="N5" s="45" t="s">
        <v>28</v>
      </c>
    </row>
    <row r="6" spans="1:14" ht="15">
      <c r="A6" s="180"/>
      <c r="B6" s="180"/>
      <c r="C6" s="41"/>
      <c r="D6" s="12"/>
      <c r="E6" s="12" t="s">
        <v>77</v>
      </c>
      <c r="F6" s="30"/>
      <c r="G6" s="29"/>
      <c r="H6" s="30" t="s">
        <v>80</v>
      </c>
      <c r="I6" s="19">
        <v>2009</v>
      </c>
      <c r="J6" s="20">
        <v>2010</v>
      </c>
      <c r="K6" s="12" t="s">
        <v>80</v>
      </c>
      <c r="L6" s="19">
        <v>2009</v>
      </c>
      <c r="M6" s="20">
        <v>2010</v>
      </c>
      <c r="N6" s="12" t="s">
        <v>80</v>
      </c>
    </row>
    <row r="7" spans="1:14" ht="16.5" customHeight="1">
      <c r="A7" s="32">
        <v>1</v>
      </c>
      <c r="B7" s="32" t="s">
        <v>62</v>
      </c>
      <c r="C7" s="37">
        <v>12</v>
      </c>
      <c r="D7" s="37"/>
      <c r="E7" s="37"/>
      <c r="F7" s="37">
        <v>6</v>
      </c>
      <c r="G7" s="37"/>
      <c r="H7" s="37">
        <f aca="true" t="shared" si="0" ref="H7:H18">G7-F7</f>
        <v>-6</v>
      </c>
      <c r="I7" s="37">
        <v>30</v>
      </c>
      <c r="J7" s="37"/>
      <c r="K7" s="37">
        <f aca="true" t="shared" si="1" ref="K7:K18">J7-I7</f>
        <v>-30</v>
      </c>
      <c r="L7" s="37">
        <v>30</v>
      </c>
      <c r="M7" s="37"/>
      <c r="N7" s="37">
        <f>M7-L7</f>
        <v>-30</v>
      </c>
    </row>
    <row r="8" spans="1:14" ht="16.5" customHeight="1">
      <c r="A8" s="32">
        <v>2</v>
      </c>
      <c r="B8" s="32" t="s">
        <v>63</v>
      </c>
      <c r="C8" s="37">
        <v>109</v>
      </c>
      <c r="D8" s="37">
        <v>142</v>
      </c>
      <c r="E8" s="37">
        <f aca="true" t="shared" si="2" ref="E8:E17">D8*100/C7</f>
        <v>1183.3333333333333</v>
      </c>
      <c r="F8" s="37">
        <v>101</v>
      </c>
      <c r="G8" s="37">
        <v>135</v>
      </c>
      <c r="H8" s="37">
        <f t="shared" si="0"/>
        <v>34</v>
      </c>
      <c r="I8" s="37">
        <v>51</v>
      </c>
      <c r="J8" s="37">
        <f>G8*100/180</f>
        <v>75</v>
      </c>
      <c r="K8" s="37">
        <f t="shared" si="1"/>
        <v>24</v>
      </c>
      <c r="L8" s="37">
        <v>4</v>
      </c>
      <c r="M8" s="37">
        <f>(D8-G8)*100/180</f>
        <v>3.888888888888889</v>
      </c>
      <c r="N8" s="37">
        <f>M8-L8</f>
        <v>-0.11111111111111116</v>
      </c>
    </row>
    <row r="9" spans="1:14" ht="16.5" customHeight="1">
      <c r="A9" s="32">
        <v>3</v>
      </c>
      <c r="B9" s="32" t="s">
        <v>64</v>
      </c>
      <c r="C9" s="37">
        <v>82</v>
      </c>
      <c r="D9" s="37">
        <v>96</v>
      </c>
      <c r="E9" s="37">
        <f t="shared" si="2"/>
        <v>88.07339449541284</v>
      </c>
      <c r="F9" s="37">
        <v>69</v>
      </c>
      <c r="G9" s="37">
        <v>92</v>
      </c>
      <c r="H9" s="37">
        <f t="shared" si="0"/>
        <v>23</v>
      </c>
      <c r="I9" s="37">
        <v>66</v>
      </c>
      <c r="J9" s="37">
        <f>G9*100/105</f>
        <v>87.61904761904762</v>
      </c>
      <c r="K9" s="37">
        <f>J9-I9</f>
        <v>21.61904761904762</v>
      </c>
      <c r="L9" s="37">
        <v>12</v>
      </c>
      <c r="M9" s="37">
        <f>(D9-G9)*100/105</f>
        <v>3.8095238095238093</v>
      </c>
      <c r="N9" s="37">
        <f>M9-L9</f>
        <v>-8.19047619047619</v>
      </c>
    </row>
    <row r="10" spans="1:14" ht="16.5" customHeight="1">
      <c r="A10" s="32">
        <v>4</v>
      </c>
      <c r="B10" s="32" t="s">
        <v>65</v>
      </c>
      <c r="C10" s="37">
        <v>41</v>
      </c>
      <c r="D10" s="37">
        <v>41</v>
      </c>
      <c r="E10" s="37">
        <f t="shared" si="2"/>
        <v>50</v>
      </c>
      <c r="F10" s="37">
        <v>41</v>
      </c>
      <c r="G10" s="37">
        <v>39</v>
      </c>
      <c r="H10" s="37">
        <f t="shared" si="0"/>
        <v>-2</v>
      </c>
      <c r="I10" s="37">
        <v>76</v>
      </c>
      <c r="J10" s="37">
        <f>G10*100/54</f>
        <v>72.22222222222223</v>
      </c>
      <c r="K10" s="37">
        <f>J10-I10</f>
        <v>-3.7777777777777715</v>
      </c>
      <c r="L10" s="37">
        <v>0</v>
      </c>
      <c r="M10" s="37">
        <f>(D10-G10)*100/54</f>
        <v>3.7037037037037037</v>
      </c>
      <c r="N10" s="37">
        <f>M10-L10</f>
        <v>3.7037037037037037</v>
      </c>
    </row>
    <row r="11" spans="1:14" ht="16.5" customHeight="1">
      <c r="A11" s="32">
        <v>5</v>
      </c>
      <c r="B11" s="23" t="s">
        <v>66</v>
      </c>
      <c r="C11" s="37">
        <v>169</v>
      </c>
      <c r="D11" s="37">
        <v>145</v>
      </c>
      <c r="E11" s="37">
        <f t="shared" si="2"/>
        <v>353.6585365853659</v>
      </c>
      <c r="F11" s="37">
        <v>155</v>
      </c>
      <c r="G11" s="37">
        <v>139</v>
      </c>
      <c r="H11" s="37">
        <f t="shared" si="0"/>
        <v>-16</v>
      </c>
      <c r="I11" s="37">
        <v>50</v>
      </c>
      <c r="J11" s="37">
        <f>G11*100/304</f>
        <v>45.723684210526315</v>
      </c>
      <c r="K11" s="37">
        <f t="shared" si="1"/>
        <v>-4.276315789473685</v>
      </c>
      <c r="L11" s="37">
        <v>5</v>
      </c>
      <c r="M11" s="37">
        <f>(D11-G11)*100/304</f>
        <v>1.9736842105263157</v>
      </c>
      <c r="N11" s="37">
        <f aca="true" t="shared" si="3" ref="N11:N18">M11-L11</f>
        <v>-3.026315789473684</v>
      </c>
    </row>
    <row r="12" spans="1:14" ht="16.5" customHeight="1">
      <c r="A12" s="32">
        <v>6</v>
      </c>
      <c r="B12" s="32" t="s">
        <v>67</v>
      </c>
      <c r="C12" s="97">
        <v>159</v>
      </c>
      <c r="D12" s="37">
        <v>181</v>
      </c>
      <c r="E12" s="37">
        <f t="shared" si="2"/>
        <v>107.10059171597634</v>
      </c>
      <c r="F12" s="37">
        <v>109</v>
      </c>
      <c r="G12" s="37">
        <v>157</v>
      </c>
      <c r="H12" s="37">
        <f t="shared" si="0"/>
        <v>48</v>
      </c>
      <c r="I12" s="37">
        <v>39</v>
      </c>
      <c r="J12" s="37">
        <f>G12*100/250</f>
        <v>62.8</v>
      </c>
      <c r="K12" s="37">
        <f t="shared" si="1"/>
        <v>23.799999999999997</v>
      </c>
      <c r="L12" s="37">
        <v>18</v>
      </c>
      <c r="M12" s="37">
        <f>(D12-G12)*100/250</f>
        <v>9.6</v>
      </c>
      <c r="N12" s="37">
        <f t="shared" si="3"/>
        <v>-8.4</v>
      </c>
    </row>
    <row r="13" spans="1:14" ht="16.5" customHeight="1">
      <c r="A13" s="32">
        <v>7</v>
      </c>
      <c r="B13" s="33" t="s">
        <v>89</v>
      </c>
      <c r="C13" s="97">
        <v>108</v>
      </c>
      <c r="D13" s="97">
        <v>88</v>
      </c>
      <c r="E13" s="37">
        <f t="shared" si="2"/>
        <v>55.34591194968554</v>
      </c>
      <c r="F13" s="97">
        <v>86</v>
      </c>
      <c r="G13" s="97">
        <v>78</v>
      </c>
      <c r="H13" s="37">
        <f t="shared" si="0"/>
        <v>-8</v>
      </c>
      <c r="I13" s="97">
        <v>101</v>
      </c>
      <c r="J13" s="97">
        <f>G13*100/85</f>
        <v>91.76470588235294</v>
      </c>
      <c r="K13" s="37">
        <f t="shared" si="1"/>
        <v>-9.235294117647058</v>
      </c>
      <c r="L13" s="37">
        <v>26</v>
      </c>
      <c r="M13" s="37">
        <f>(D13-G13)*100/85</f>
        <v>11.764705882352942</v>
      </c>
      <c r="N13" s="97">
        <f t="shared" si="3"/>
        <v>-14.235294117647058</v>
      </c>
    </row>
    <row r="14" spans="1:14" ht="16.5" customHeight="1">
      <c r="A14" s="32">
        <v>8</v>
      </c>
      <c r="B14" s="33" t="s">
        <v>68</v>
      </c>
      <c r="C14" s="97">
        <v>54</v>
      </c>
      <c r="D14" s="97">
        <v>43</v>
      </c>
      <c r="E14" s="37">
        <f t="shared" si="2"/>
        <v>39.81481481481482</v>
      </c>
      <c r="F14" s="97">
        <v>52</v>
      </c>
      <c r="G14" s="97">
        <v>35</v>
      </c>
      <c r="H14" s="37">
        <f t="shared" si="0"/>
        <v>-17</v>
      </c>
      <c r="I14" s="97">
        <v>75</v>
      </c>
      <c r="J14" s="97">
        <f>G14*100/52</f>
        <v>67.3076923076923</v>
      </c>
      <c r="K14" s="37">
        <f t="shared" si="1"/>
        <v>-7.692307692307693</v>
      </c>
      <c r="L14" s="37">
        <v>3</v>
      </c>
      <c r="M14" s="37">
        <f>(D14-G14)*100/52</f>
        <v>15.384615384615385</v>
      </c>
      <c r="N14" s="97">
        <f t="shared" si="3"/>
        <v>12.384615384615385</v>
      </c>
    </row>
    <row r="15" spans="1:14" ht="16.5" customHeight="1">
      <c r="A15" s="32">
        <v>9</v>
      </c>
      <c r="B15" s="33" t="s">
        <v>88</v>
      </c>
      <c r="C15" s="97">
        <v>53</v>
      </c>
      <c r="D15" s="97">
        <v>72</v>
      </c>
      <c r="E15" s="37">
        <f t="shared" si="2"/>
        <v>133.33333333333334</v>
      </c>
      <c r="F15" s="97">
        <v>49</v>
      </c>
      <c r="G15" s="97">
        <v>57</v>
      </c>
      <c r="H15" s="37">
        <f t="shared" si="0"/>
        <v>8</v>
      </c>
      <c r="I15" s="97">
        <v>102</v>
      </c>
      <c r="J15" s="97">
        <f>G15*100/60</f>
        <v>95</v>
      </c>
      <c r="K15" s="37">
        <f t="shared" si="1"/>
        <v>-7</v>
      </c>
      <c r="L15" s="37">
        <v>8</v>
      </c>
      <c r="M15" s="37">
        <f>(D15-G15)*100/60</f>
        <v>25</v>
      </c>
      <c r="N15" s="97">
        <f t="shared" si="3"/>
        <v>17</v>
      </c>
    </row>
    <row r="16" spans="1:14" ht="16.5" customHeight="1">
      <c r="A16" s="32">
        <v>10</v>
      </c>
      <c r="B16" s="33" t="s">
        <v>69</v>
      </c>
      <c r="C16" s="97">
        <v>96</v>
      </c>
      <c r="D16" s="97">
        <v>121</v>
      </c>
      <c r="E16" s="37">
        <f t="shared" si="2"/>
        <v>228.30188679245282</v>
      </c>
      <c r="F16" s="97">
        <v>83</v>
      </c>
      <c r="G16" s="97">
        <v>69</v>
      </c>
      <c r="H16" s="37">
        <f t="shared" si="0"/>
        <v>-14</v>
      </c>
      <c r="I16" s="97">
        <v>83</v>
      </c>
      <c r="J16" s="97">
        <f>G16*100/100</f>
        <v>69</v>
      </c>
      <c r="K16" s="37">
        <f t="shared" si="1"/>
        <v>-14</v>
      </c>
      <c r="L16" s="37">
        <v>13</v>
      </c>
      <c r="M16" s="37">
        <f>(D16-G16)*100/100</f>
        <v>52</v>
      </c>
      <c r="N16" s="97">
        <f t="shared" si="3"/>
        <v>39</v>
      </c>
    </row>
    <row r="17" spans="1:14" ht="16.5" customHeight="1">
      <c r="A17" s="32">
        <v>11</v>
      </c>
      <c r="B17" s="33" t="s">
        <v>70</v>
      </c>
      <c r="C17" s="4">
        <v>32</v>
      </c>
      <c r="D17" s="97">
        <v>25</v>
      </c>
      <c r="E17" s="37">
        <f t="shared" si="2"/>
        <v>26.041666666666668</v>
      </c>
      <c r="F17" s="97">
        <v>32</v>
      </c>
      <c r="G17" s="97">
        <v>25</v>
      </c>
      <c r="H17" s="37">
        <f t="shared" si="0"/>
        <v>-7</v>
      </c>
      <c r="I17" s="97">
        <v>76</v>
      </c>
      <c r="J17" s="97">
        <f>G17*100/42</f>
        <v>59.523809523809526</v>
      </c>
      <c r="K17" s="37">
        <f t="shared" si="1"/>
        <v>-16.476190476190474</v>
      </c>
      <c r="L17" s="37">
        <v>0</v>
      </c>
      <c r="M17" s="37">
        <f>(D17-G17)*100/42</f>
        <v>0</v>
      </c>
      <c r="N17" s="97">
        <f t="shared" si="3"/>
        <v>0</v>
      </c>
    </row>
    <row r="18" spans="1:14" ht="29.25" customHeight="1">
      <c r="A18" s="147" t="s">
        <v>109</v>
      </c>
      <c r="B18" s="148"/>
      <c r="C18" s="37">
        <f>SUM(C7:C17)</f>
        <v>915</v>
      </c>
      <c r="D18" s="4">
        <f>SUM(D7:D17)</f>
        <v>954</v>
      </c>
      <c r="E18" s="37">
        <f>D18*100/C18</f>
        <v>104.26229508196721</v>
      </c>
      <c r="F18" s="4">
        <f>SUM(F7:F17)</f>
        <v>783</v>
      </c>
      <c r="G18" s="4">
        <f>SUM(G7:G17)</f>
        <v>826</v>
      </c>
      <c r="H18" s="37">
        <f t="shared" si="0"/>
        <v>43</v>
      </c>
      <c r="I18" s="37">
        <v>60</v>
      </c>
      <c r="J18" s="37">
        <f>G18*100/1232</f>
        <v>67.04545454545455</v>
      </c>
      <c r="K18" s="37">
        <f t="shared" si="1"/>
        <v>7.045454545454547</v>
      </c>
      <c r="L18" s="37">
        <v>10</v>
      </c>
      <c r="M18" s="37">
        <f>(D18-G18)*100/1232</f>
        <v>10.38961038961039</v>
      </c>
      <c r="N18" s="37">
        <f t="shared" si="3"/>
        <v>0.3896103896103895</v>
      </c>
    </row>
  </sheetData>
  <mergeCells count="5">
    <mergeCell ref="A2:N2"/>
    <mergeCell ref="A1:N1"/>
    <mergeCell ref="A18:B18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B16" sqref="B16"/>
    </sheetView>
  </sheetViews>
  <sheetFormatPr defaultColWidth="9.00390625" defaultRowHeight="12.75"/>
  <cols>
    <col min="1" max="1" width="3.75390625" style="21" customWidth="1"/>
    <col min="2" max="2" width="29.75390625" style="21" customWidth="1"/>
    <col min="3" max="3" width="12.125" style="21" customWidth="1"/>
    <col min="4" max="4" width="14.625" style="21" customWidth="1"/>
    <col min="5" max="5" width="13.00390625" style="21" customWidth="1"/>
    <col min="6" max="6" width="13.25390625" style="21" customWidth="1"/>
    <col min="7" max="16384" width="9.125" style="21" customWidth="1"/>
  </cols>
  <sheetData>
    <row r="1" spans="1:9" ht="15.75" customHeight="1">
      <c r="A1" s="164" t="s">
        <v>11</v>
      </c>
      <c r="B1" s="164"/>
      <c r="C1" s="164"/>
      <c r="D1" s="164"/>
      <c r="E1" s="164"/>
      <c r="F1" s="164"/>
      <c r="G1" s="82"/>
      <c r="H1" s="82"/>
      <c r="I1" s="82"/>
    </row>
    <row r="2" spans="1:9" ht="15.75">
      <c r="A2" s="181" t="s">
        <v>101</v>
      </c>
      <c r="B2" s="181"/>
      <c r="C2" s="181"/>
      <c r="D2" s="181"/>
      <c r="E2" s="181"/>
      <c r="F2" s="181"/>
      <c r="G2" s="82"/>
      <c r="H2" s="82"/>
      <c r="I2" s="82"/>
    </row>
    <row r="3" spans="1:9" ht="15">
      <c r="A3" s="5" t="s">
        <v>2</v>
      </c>
      <c r="B3" s="5" t="s">
        <v>3</v>
      </c>
      <c r="C3" s="6" t="s">
        <v>45</v>
      </c>
      <c r="D3" s="7"/>
      <c r="E3" s="6" t="s">
        <v>46</v>
      </c>
      <c r="F3" s="8"/>
      <c r="G3" s="82"/>
      <c r="H3" s="82"/>
      <c r="I3" s="82"/>
    </row>
    <row r="4" spans="1:9" ht="15">
      <c r="A4" s="9"/>
      <c r="B4" s="9"/>
      <c r="C4" s="19">
        <v>2009</v>
      </c>
      <c r="D4" s="20">
        <v>2010</v>
      </c>
      <c r="E4" s="19">
        <v>2009</v>
      </c>
      <c r="F4" s="20">
        <v>2010</v>
      </c>
      <c r="G4" s="82"/>
      <c r="H4" s="82"/>
      <c r="I4" s="82"/>
    </row>
    <row r="5" spans="1:9" ht="15">
      <c r="A5" s="4">
        <v>1</v>
      </c>
      <c r="B5" s="23" t="s">
        <v>62</v>
      </c>
      <c r="C5" s="37">
        <v>8</v>
      </c>
      <c r="D5" s="37"/>
      <c r="E5" s="37">
        <v>12</v>
      </c>
      <c r="F5" s="37"/>
      <c r="H5" s="82"/>
      <c r="I5" s="82"/>
    </row>
    <row r="6" spans="1:9" ht="15">
      <c r="A6" s="4">
        <v>2</v>
      </c>
      <c r="B6" s="23" t="s">
        <v>63</v>
      </c>
      <c r="C6" s="37">
        <v>174</v>
      </c>
      <c r="D6" s="37">
        <f>(молоко!D7*1000)/1875</f>
        <v>187.73333333333332</v>
      </c>
      <c r="E6" s="37">
        <v>44</v>
      </c>
      <c r="F6" s="37">
        <f>(мясо!D8*1000)/1875</f>
        <v>12.906666666666666</v>
      </c>
      <c r="H6" s="82"/>
      <c r="I6" s="82"/>
    </row>
    <row r="7" spans="1:9" ht="15">
      <c r="A7" s="4">
        <v>3</v>
      </c>
      <c r="B7" s="23" t="s">
        <v>64</v>
      </c>
      <c r="C7" s="37">
        <v>264</v>
      </c>
      <c r="D7" s="37">
        <f>(молоко!D8*1000)/799</f>
        <v>321.30788485607013</v>
      </c>
      <c r="E7" s="37">
        <v>14</v>
      </c>
      <c r="F7" s="37">
        <f>(мясо!D9*1000)/799</f>
        <v>9.762202753441802</v>
      </c>
      <c r="H7" s="82"/>
      <c r="I7" s="82"/>
    </row>
    <row r="8" spans="1:9" ht="15">
      <c r="A8" s="4">
        <v>4</v>
      </c>
      <c r="B8" s="23" t="s">
        <v>65</v>
      </c>
      <c r="C8" s="37">
        <v>70</v>
      </c>
      <c r="D8" s="37">
        <f>(молоко!D9*1000)/2025</f>
        <v>77.03703703703704</v>
      </c>
      <c r="E8" s="37">
        <v>5</v>
      </c>
      <c r="F8" s="37">
        <f>(мясо!D10*1000)/2025</f>
        <v>0.5679012345679012</v>
      </c>
      <c r="H8" s="82"/>
      <c r="I8" s="82"/>
    </row>
    <row r="9" spans="1:9" ht="15">
      <c r="A9" s="4">
        <v>5</v>
      </c>
      <c r="B9" s="39" t="s">
        <v>66</v>
      </c>
      <c r="C9" s="37">
        <v>246</v>
      </c>
      <c r="D9" s="37">
        <f>(молоко!D10*1000)/2478</f>
        <v>288.7812752219532</v>
      </c>
      <c r="E9" s="37">
        <v>28</v>
      </c>
      <c r="F9" s="37">
        <f>(мясо!D11*1000)/2478</f>
        <v>28.00645682001614</v>
      </c>
      <c r="H9" s="82"/>
      <c r="I9" s="82"/>
    </row>
    <row r="10" spans="1:9" ht="15">
      <c r="A10" s="4">
        <v>6</v>
      </c>
      <c r="B10" s="23" t="s">
        <v>67</v>
      </c>
      <c r="C10" s="37">
        <v>188</v>
      </c>
      <c r="D10" s="37">
        <f>(молоко!D11*1000)/2157</f>
        <v>197.9601298099212</v>
      </c>
      <c r="E10" s="37">
        <v>43</v>
      </c>
      <c r="F10" s="37">
        <f>(мясо!D12*1000)/2157</f>
        <v>25.91562355122856</v>
      </c>
      <c r="H10" s="82"/>
      <c r="I10" s="82"/>
    </row>
    <row r="11" spans="1:9" ht="15">
      <c r="A11" s="4">
        <v>7</v>
      </c>
      <c r="B11" s="39" t="s">
        <v>89</v>
      </c>
      <c r="C11" s="37">
        <v>327</v>
      </c>
      <c r="D11" s="37">
        <f>(молоко!D12*1000)/859</f>
        <v>317.8114086146682</v>
      </c>
      <c r="E11" s="37">
        <v>39</v>
      </c>
      <c r="F11" s="37">
        <f>(мясо!D13*1000)/859</f>
        <v>20.256111757857976</v>
      </c>
      <c r="H11" s="82"/>
      <c r="I11" s="82"/>
    </row>
    <row r="12" spans="1:9" ht="15">
      <c r="A12" s="4">
        <v>8</v>
      </c>
      <c r="B12" s="39" t="s">
        <v>68</v>
      </c>
      <c r="C12" s="37">
        <v>110</v>
      </c>
      <c r="D12" s="37">
        <f>(молоко!D13*1000)/1482</f>
        <v>69.83805668016194</v>
      </c>
      <c r="E12" s="37">
        <v>22</v>
      </c>
      <c r="F12" s="37">
        <f>(мясо!D14*1000)/1482</f>
        <v>5.883940620782726</v>
      </c>
      <c r="H12" s="82"/>
      <c r="I12" s="82"/>
    </row>
    <row r="13" spans="1:9" ht="15.75" customHeight="1">
      <c r="A13" s="4">
        <v>9</v>
      </c>
      <c r="B13" s="33" t="s">
        <v>88</v>
      </c>
      <c r="C13" s="37">
        <v>152</v>
      </c>
      <c r="D13" s="37">
        <f>(молоко!D14*1000)/1077</f>
        <v>248.03899721448468</v>
      </c>
      <c r="E13" s="37">
        <v>8</v>
      </c>
      <c r="F13" s="37">
        <f>(мясо!D15*1000)/1077</f>
        <v>9.470752089136491</v>
      </c>
      <c r="H13" s="82"/>
      <c r="I13" s="82"/>
    </row>
    <row r="14" spans="1:9" ht="15">
      <c r="A14" s="4">
        <v>10</v>
      </c>
      <c r="B14" s="39" t="s">
        <v>69</v>
      </c>
      <c r="C14" s="37">
        <v>170</v>
      </c>
      <c r="D14" s="37">
        <f>(молоко!D15*1000)/1084</f>
        <v>125.46125461254613</v>
      </c>
      <c r="E14" s="37">
        <v>19</v>
      </c>
      <c r="F14" s="37">
        <f>(мясо!D16*1000)/1084</f>
        <v>16.14391143911439</v>
      </c>
      <c r="H14" s="82"/>
      <c r="I14" s="82"/>
    </row>
    <row r="15" spans="1:9" ht="15">
      <c r="A15" s="4">
        <v>11</v>
      </c>
      <c r="B15" s="39" t="s">
        <v>70</v>
      </c>
      <c r="C15" s="37">
        <v>165</v>
      </c>
      <c r="D15" s="37">
        <f>(молоко!D16*1000)/674</f>
        <v>145.9940652818991</v>
      </c>
      <c r="E15" s="37">
        <v>16</v>
      </c>
      <c r="F15" s="37">
        <f>(мясо!D17*1000)/674</f>
        <v>8.011869436201781</v>
      </c>
      <c r="H15" s="82"/>
      <c r="I15" s="82"/>
    </row>
    <row r="16" spans="1:9" ht="15">
      <c r="A16" s="4">
        <v>12</v>
      </c>
      <c r="B16" s="39" t="s">
        <v>71</v>
      </c>
      <c r="C16" s="4"/>
      <c r="D16" s="37"/>
      <c r="E16" s="37">
        <v>412</v>
      </c>
      <c r="F16" s="37">
        <f>(мясо!D18*1000)/983</f>
        <v>530.0101729399796</v>
      </c>
      <c r="H16" s="82"/>
      <c r="I16" s="82"/>
    </row>
    <row r="17" spans="1:6" ht="27.75" customHeight="1">
      <c r="A17" s="132" t="s">
        <v>109</v>
      </c>
      <c r="B17" s="133"/>
      <c r="C17" s="37">
        <f>(молоко!C18*1000)/29830</f>
        <v>89.94200469326182</v>
      </c>
      <c r="D17" s="37">
        <f>(молоко!D18*1000)/29830</f>
        <v>93.37455581629233</v>
      </c>
      <c r="E17" s="37">
        <f>(мясо!C20*1000)/29830</f>
        <v>29.784780422393563</v>
      </c>
      <c r="F17" s="37">
        <f>(мясо!D20*1000)/29830</f>
        <v>24.796178343949048</v>
      </c>
    </row>
  </sheetData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Normal="75" zoomScaleSheetLayoutView="70" workbookViewId="0" topLeftCell="A1">
      <selection activeCell="H14" sqref="H14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2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1"/>
      <c r="B1" s="15"/>
      <c r="C1" s="44" t="s">
        <v>100</v>
      </c>
      <c r="D1" s="44"/>
      <c r="E1" s="44"/>
      <c r="F1" s="15"/>
      <c r="G1" s="15"/>
      <c r="H1" s="15"/>
      <c r="I1" s="15"/>
      <c r="J1" s="15"/>
      <c r="K1" s="15"/>
    </row>
    <row r="2" spans="1:11" ht="18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55" t="s">
        <v>2</v>
      </c>
      <c r="B3" s="182" t="s">
        <v>3</v>
      </c>
      <c r="C3" s="55" t="s">
        <v>12</v>
      </c>
      <c r="D3" s="56"/>
      <c r="E3" s="57"/>
      <c r="F3" s="58" t="s">
        <v>13</v>
      </c>
      <c r="G3" s="59" t="s">
        <v>16</v>
      </c>
      <c r="H3" s="60" t="s">
        <v>18</v>
      </c>
      <c r="I3" s="61"/>
      <c r="J3" s="54"/>
      <c r="K3" s="54" t="s">
        <v>19</v>
      </c>
    </row>
    <row r="4" spans="1:11" ht="18">
      <c r="A4" s="156"/>
      <c r="B4" s="156"/>
      <c r="C4" s="62">
        <v>2009</v>
      </c>
      <c r="D4" s="58">
        <v>2010</v>
      </c>
      <c r="E4" s="58" t="s">
        <v>76</v>
      </c>
      <c r="F4" s="63" t="s">
        <v>14</v>
      </c>
      <c r="G4" s="64" t="s">
        <v>17</v>
      </c>
      <c r="H4" s="62">
        <v>2009</v>
      </c>
      <c r="I4" s="58">
        <v>2010</v>
      </c>
      <c r="J4" s="58" t="s">
        <v>76</v>
      </c>
      <c r="K4" s="65" t="s">
        <v>20</v>
      </c>
    </row>
    <row r="5" spans="1:11" ht="18">
      <c r="A5" s="157"/>
      <c r="B5" s="157"/>
      <c r="C5" s="66"/>
      <c r="D5" s="67"/>
      <c r="E5" s="67" t="s">
        <v>77</v>
      </c>
      <c r="F5" s="67" t="s">
        <v>15</v>
      </c>
      <c r="G5" s="68"/>
      <c r="H5" s="69"/>
      <c r="I5" s="70"/>
      <c r="J5" s="67" t="s">
        <v>77</v>
      </c>
      <c r="K5" s="71" t="s">
        <v>0</v>
      </c>
    </row>
    <row r="6" spans="1:11" ht="16.5" customHeight="1">
      <c r="A6" s="32">
        <v>1</v>
      </c>
      <c r="B6" s="72" t="s">
        <v>62</v>
      </c>
      <c r="C6" s="13">
        <v>12.47</v>
      </c>
      <c r="D6" s="13"/>
      <c r="E6" s="14"/>
      <c r="F6" s="13"/>
      <c r="G6" s="14"/>
      <c r="H6" s="14"/>
      <c r="I6" s="14"/>
      <c r="J6" s="14"/>
      <c r="K6" s="13"/>
    </row>
    <row r="7" spans="1:11" ht="16.5" customHeight="1">
      <c r="A7" s="32">
        <v>2</v>
      </c>
      <c r="B7" s="72" t="s">
        <v>63</v>
      </c>
      <c r="C7" s="13">
        <v>326</v>
      </c>
      <c r="D7" s="13">
        <v>352</v>
      </c>
      <c r="E7" s="14">
        <f aca="true" t="shared" si="0" ref="E7:E16">D7/C7*100</f>
        <v>107.97546012269939</v>
      </c>
      <c r="F7" s="13">
        <v>287</v>
      </c>
      <c r="G7" s="14">
        <f aca="true" t="shared" si="1" ref="G7:G16">F7/D7*100</f>
        <v>81.5340909090909</v>
      </c>
      <c r="H7" s="18">
        <f>C7/'численность 1'!J7*1000</f>
        <v>1663.265306122449</v>
      </c>
      <c r="I7" s="18">
        <f>D7/'численность 1'!K7*1000</f>
        <v>1955.5555555555554</v>
      </c>
      <c r="J7" s="14">
        <f aca="true" t="shared" si="2" ref="J7:J18">I7/H7*100</f>
        <v>117.57327880027266</v>
      </c>
      <c r="K7" s="13">
        <v>327</v>
      </c>
    </row>
    <row r="8" spans="1:11" ht="16.5" customHeight="1">
      <c r="A8" s="32">
        <v>3</v>
      </c>
      <c r="B8" s="72" t="s">
        <v>64</v>
      </c>
      <c r="C8" s="13">
        <v>211</v>
      </c>
      <c r="D8" s="13">
        <v>256.725</v>
      </c>
      <c r="E8" s="14">
        <f t="shared" si="0"/>
        <v>121.67061611374407</v>
      </c>
      <c r="F8" s="13">
        <v>229</v>
      </c>
      <c r="G8" s="14">
        <f t="shared" si="1"/>
        <v>89.20050637842049</v>
      </c>
      <c r="H8" s="18">
        <f>C8/'численность 1'!J8*1000</f>
        <v>2009.5238095238094</v>
      </c>
      <c r="I8" s="14">
        <f>D8/'численность 1'!K8*1000</f>
        <v>2445.0000000000005</v>
      </c>
      <c r="J8" s="14">
        <f t="shared" si="2"/>
        <v>121.6706161137441</v>
      </c>
      <c r="K8" s="13"/>
    </row>
    <row r="9" spans="1:11" ht="16.5" customHeight="1">
      <c r="A9" s="32">
        <v>4</v>
      </c>
      <c r="B9" s="72" t="s">
        <v>65</v>
      </c>
      <c r="C9" s="13">
        <v>125</v>
      </c>
      <c r="D9" s="13">
        <v>156</v>
      </c>
      <c r="E9" s="14">
        <f t="shared" si="0"/>
        <v>124.8</v>
      </c>
      <c r="F9" s="13">
        <v>117</v>
      </c>
      <c r="G9" s="14">
        <f t="shared" si="1"/>
        <v>75</v>
      </c>
      <c r="H9" s="18">
        <f>C9/'численность 1'!J9*1000</f>
        <v>2314.814814814815</v>
      </c>
      <c r="I9" s="14">
        <f>D9/'численность 1'!K9*1000</f>
        <v>2836.3636363636365</v>
      </c>
      <c r="J9" s="14">
        <f t="shared" si="2"/>
        <v>122.53090909090909</v>
      </c>
      <c r="K9" s="13"/>
    </row>
    <row r="10" spans="1:11" ht="16.5" customHeight="1">
      <c r="A10" s="32">
        <v>5</v>
      </c>
      <c r="B10" s="72" t="s">
        <v>66</v>
      </c>
      <c r="C10" s="13">
        <v>686.9</v>
      </c>
      <c r="D10" s="13">
        <v>715.6</v>
      </c>
      <c r="E10" s="14">
        <f t="shared" si="0"/>
        <v>104.17819187654682</v>
      </c>
      <c r="F10" s="13">
        <v>666.1</v>
      </c>
      <c r="G10" s="14">
        <f t="shared" si="1"/>
        <v>93.08272778088318</v>
      </c>
      <c r="H10" s="18">
        <f>C10/'численность 1'!J10*1000</f>
        <v>2230.194805194805</v>
      </c>
      <c r="I10" s="14">
        <f>D10/'численность 1'!K10*1000</f>
        <v>2350.8541392904076</v>
      </c>
      <c r="J10" s="14">
        <f t="shared" si="2"/>
        <v>105.4102598488056</v>
      </c>
      <c r="K10" s="13"/>
    </row>
    <row r="11" spans="1:11" ht="16.5" customHeight="1">
      <c r="A11" s="32">
        <v>6</v>
      </c>
      <c r="B11" s="73" t="s">
        <v>67</v>
      </c>
      <c r="C11" s="13">
        <v>411</v>
      </c>
      <c r="D11" s="13">
        <v>427</v>
      </c>
      <c r="E11" s="14">
        <f t="shared" si="0"/>
        <v>103.89294403892944</v>
      </c>
      <c r="F11" s="13">
        <v>354</v>
      </c>
      <c r="G11" s="14">
        <f t="shared" si="1"/>
        <v>82.90398126463701</v>
      </c>
      <c r="H11" s="18">
        <f>C11/'численность 1'!J11*1000</f>
        <v>1467.8571428571427</v>
      </c>
      <c r="I11" s="14">
        <f>D11/'численность 1'!K11*1000</f>
        <v>1667.96875</v>
      </c>
      <c r="J11" s="14">
        <f t="shared" si="2"/>
        <v>113.63290754257909</v>
      </c>
      <c r="K11" s="13"/>
    </row>
    <row r="12" spans="1:11" ht="16.5" customHeight="1">
      <c r="A12" s="32">
        <v>7</v>
      </c>
      <c r="B12" s="73" t="s">
        <v>89</v>
      </c>
      <c r="C12" s="17">
        <v>283.1</v>
      </c>
      <c r="D12" s="17">
        <v>273</v>
      </c>
      <c r="E12" s="14">
        <f t="shared" si="0"/>
        <v>96.43235605793006</v>
      </c>
      <c r="F12" s="17">
        <v>213</v>
      </c>
      <c r="G12" s="18">
        <f t="shared" si="1"/>
        <v>78.02197802197803</v>
      </c>
      <c r="H12" s="18">
        <f>C12/'численность 1'!J12*1000</f>
        <v>3330.588235294118</v>
      </c>
      <c r="I12" s="14">
        <f>D12/'численность 1'!K12*1000</f>
        <v>3211.764705882353</v>
      </c>
      <c r="J12" s="14">
        <f t="shared" si="2"/>
        <v>96.43235605793006</v>
      </c>
      <c r="K12" s="17">
        <v>251.6</v>
      </c>
    </row>
    <row r="13" spans="1:11" ht="16.5" customHeight="1">
      <c r="A13" s="32">
        <v>8</v>
      </c>
      <c r="B13" s="73" t="s">
        <v>68</v>
      </c>
      <c r="C13" s="17">
        <v>164.5</v>
      </c>
      <c r="D13" s="17">
        <v>103.5</v>
      </c>
      <c r="E13" s="14">
        <f t="shared" si="0"/>
        <v>62.91793313069909</v>
      </c>
      <c r="F13" s="17">
        <v>86.4</v>
      </c>
      <c r="G13" s="18">
        <f t="shared" si="1"/>
        <v>83.47826086956522</v>
      </c>
      <c r="H13" s="18">
        <f>C13/'численность 1'!J13*1000</f>
        <v>2574.33489827856</v>
      </c>
      <c r="I13" s="14">
        <f>D13/'численность 1'!K13*1000</f>
        <v>1960.227272727273</v>
      </c>
      <c r="J13" s="14">
        <f t="shared" si="2"/>
        <v>76.1449986184029</v>
      </c>
      <c r="K13" s="17"/>
    </row>
    <row r="14" spans="1:11" ht="16.5" customHeight="1">
      <c r="A14" s="32">
        <v>9</v>
      </c>
      <c r="B14" s="73" t="s">
        <v>88</v>
      </c>
      <c r="C14" s="17">
        <v>164.4</v>
      </c>
      <c r="D14" s="17">
        <v>267.138</v>
      </c>
      <c r="E14" s="14">
        <f t="shared" si="0"/>
        <v>162.49270072992698</v>
      </c>
      <c r="F14" s="17">
        <v>210</v>
      </c>
      <c r="G14" s="18">
        <f t="shared" si="1"/>
        <v>78.61105496035758</v>
      </c>
      <c r="H14" s="18">
        <f>C14/'численность 1'!J14*1000</f>
        <v>3314.516129032258</v>
      </c>
      <c r="I14" s="14">
        <f>D14/'численность 1'!K14*1000</f>
        <v>4109.815384615385</v>
      </c>
      <c r="J14" s="14">
        <f t="shared" si="2"/>
        <v>123.99443009545199</v>
      </c>
      <c r="K14" s="17">
        <v>61</v>
      </c>
    </row>
    <row r="15" spans="1:11" ht="16.5" customHeight="1">
      <c r="A15" s="32">
        <v>10</v>
      </c>
      <c r="B15" s="73" t="s">
        <v>69</v>
      </c>
      <c r="C15" s="17">
        <v>189</v>
      </c>
      <c r="D15" s="17">
        <v>136</v>
      </c>
      <c r="E15" s="14">
        <f t="shared" si="0"/>
        <v>71.95767195767195</v>
      </c>
      <c r="F15" s="17">
        <v>108</v>
      </c>
      <c r="G15" s="18">
        <f t="shared" si="1"/>
        <v>79.41176470588235</v>
      </c>
      <c r="H15" s="18">
        <f>C15/'численность 1'!J15*1000</f>
        <v>1890</v>
      </c>
      <c r="I15" s="14">
        <f>D15/'численность 1'!K15*1000</f>
        <v>1360</v>
      </c>
      <c r="J15" s="14">
        <f t="shared" si="2"/>
        <v>71.95767195767195</v>
      </c>
      <c r="K15" s="17"/>
    </row>
    <row r="16" spans="1:11" ht="16.5" customHeight="1">
      <c r="A16" s="32">
        <v>11</v>
      </c>
      <c r="B16" s="73" t="s">
        <v>70</v>
      </c>
      <c r="C16" s="17">
        <v>109.6</v>
      </c>
      <c r="D16" s="17">
        <v>98.4</v>
      </c>
      <c r="E16" s="14">
        <f t="shared" si="0"/>
        <v>89.78102189781023</v>
      </c>
      <c r="F16" s="17">
        <v>81.1</v>
      </c>
      <c r="G16" s="18">
        <f t="shared" si="1"/>
        <v>82.41869918699186</v>
      </c>
      <c r="H16" s="18">
        <f>C16/'численность 1'!J16*1000</f>
        <v>2609.5238095238096</v>
      </c>
      <c r="I16" s="14">
        <f>D16/'численность 1'!K16*1000</f>
        <v>2400.0000000000005</v>
      </c>
      <c r="J16" s="14">
        <f t="shared" si="2"/>
        <v>91.97080291970804</v>
      </c>
      <c r="K16" s="17">
        <v>95</v>
      </c>
    </row>
    <row r="17" spans="1:11" ht="16.5" customHeight="1">
      <c r="A17" s="32">
        <v>12</v>
      </c>
      <c r="B17" s="73" t="s">
        <v>71</v>
      </c>
      <c r="C17" s="100"/>
      <c r="D17" s="17"/>
      <c r="E17" s="18"/>
      <c r="F17" s="17"/>
      <c r="G17" s="18"/>
      <c r="H17" s="18"/>
      <c r="I17" s="14"/>
      <c r="J17" s="14"/>
      <c r="K17" s="17"/>
    </row>
    <row r="18" spans="1:11" ht="20.25" customHeight="1">
      <c r="A18" s="132" t="s">
        <v>109</v>
      </c>
      <c r="B18" s="133"/>
      <c r="C18" s="17">
        <f>SUM(C6:C17)</f>
        <v>2682.97</v>
      </c>
      <c r="D18" s="74">
        <f>SUM(D6:D17)</f>
        <v>2785.363</v>
      </c>
      <c r="E18" s="14">
        <f>D18/C18*100</f>
        <v>103.81640495421118</v>
      </c>
      <c r="F18" s="74">
        <f>SUM(F6:F17)</f>
        <v>2351.6</v>
      </c>
      <c r="G18" s="14">
        <f>F18/D18*100</f>
        <v>84.42705672474288</v>
      </c>
      <c r="H18" s="18">
        <f>C18/'численность 1'!J20*1000</f>
        <v>2071.7915057915056</v>
      </c>
      <c r="I18" s="14">
        <f>D18/'численность 1'!K20*1000</f>
        <v>2237.239357429719</v>
      </c>
      <c r="J18" s="14">
        <f t="shared" si="2"/>
        <v>107.98573848650884</v>
      </c>
      <c r="K18" s="74">
        <f>SUM(K7:K17)</f>
        <v>734.6</v>
      </c>
    </row>
  </sheetData>
  <mergeCells count="3">
    <mergeCell ref="A3:A5"/>
    <mergeCell ref="B3:B5"/>
    <mergeCell ref="A18:B18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agro1</cp:lastModifiedBy>
  <cp:lastPrinted>2010-06-09T05:15:16Z</cp:lastPrinted>
  <dcterms:created xsi:type="dcterms:W3CDTF">2002-11-05T10:10:22Z</dcterms:created>
  <dcterms:modified xsi:type="dcterms:W3CDTF">2011-01-21T12:49:22Z</dcterms:modified>
  <cp:category/>
  <cp:version/>
  <cp:contentType/>
  <cp:contentStatus/>
</cp:coreProperties>
</file>