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'молоко'!$A$1:$K$23</definedName>
    <definedName name="_xlnm.Print_Area" localSheetId="9">'мясо'!$A$1:$K$24</definedName>
    <definedName name="_xlnm.Print_Area" localSheetId="7">'на 100 га'!$A$1:$F$17</definedName>
    <definedName name="_xlnm.Print_Area" localSheetId="0">'пало1'!$A$1:$T$23</definedName>
    <definedName name="_xlnm.Print_Area" localSheetId="1">'привес'!$A$1:$T$23</definedName>
    <definedName name="_xlnm.Print_Area" localSheetId="4">'приплод 2'!$A$1:$N$13</definedName>
    <definedName name="_xlnm.Print_Area" localSheetId="3">'численность 1'!$A$1:$U$24</definedName>
    <definedName name="_xlnm.Print_Area" localSheetId="2">'численность 2'!$A$1:$L$24</definedName>
  </definedNames>
  <calcPr fullCalcOnLoad="1"/>
</workbook>
</file>

<file path=xl/sharedStrings.xml><?xml version="1.0" encoding="utf-8"?>
<sst xmlns="http://schemas.openxmlformats.org/spreadsheetml/2006/main" count="310" uniqueCount="121">
  <si>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</si>
  <si>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</si>
  <si>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</si>
  <si>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</si>
  <si>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</si>
  <si>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</si>
  <si>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</si>
  <si>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</si>
  <si>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</si>
  <si>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</si>
  <si>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</si>
  <si>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</si>
  <si>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</si>
  <si>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</si>
  <si>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</si>
  <si>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</si>
  <si>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</si>
  <si>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</si>
  <si>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</si>
  <si>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</si>
  <si>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</si>
  <si>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</si>
  <si>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</si>
  <si>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</si>
  <si>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</si>
  <si>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</si>
  <si>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</si>
  <si>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</si>
  <si>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</si>
  <si>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</si>
  <si>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</si>
  <si>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</si>
  <si>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</si>
  <si>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</si>
  <si>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</si>
  <si>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</si>
  <si>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</si>
  <si>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</si>
  <si>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</si>
  <si>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</si>
  <si>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</si>
  <si>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</si>
  <si>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</si>
  <si>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</si>
  <si>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</si>
  <si>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</si>
  <si>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</si>
  <si>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</si>
  <si>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</si>
  <si>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</si>
  <si>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</si>
  <si>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</si>
  <si>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</si>
  <si>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</si>
  <si>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</si>
  <si>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</si>
  <si>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</si>
  <si>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</si>
  <si>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</si>
  <si>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</si>
  <si>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</si>
  <si>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</si>
  <si>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</si>
  <si>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</si>
  <si>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</si>
  <si>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</si>
  <si>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</si>
  <si>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</si>
  <si>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</si>
  <si>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</si>
  <si>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п/п</t>
  </si>
  <si>
    <t>ООО "Агропромкомплект"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</si>
  <si>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</si>
  <si>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</si>
  <si>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</si>
  <si>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</si>
  <si>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</si>
  <si>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</si>
  <si>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</si>
  <si>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</si>
  <si>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лошади</t>
  </si>
  <si>
    <t>овцы и козы</t>
  </si>
  <si>
    <t>КФХ Ярчеев П.И.</t>
  </si>
  <si>
    <t>КРС</t>
  </si>
  <si>
    <t>свиней</t>
  </si>
  <si>
    <t>2011 к 2010 г. %</t>
  </si>
  <si>
    <t xml:space="preserve">КРС </t>
  </si>
  <si>
    <t>ООО "А-ф "Трудовик"</t>
  </si>
  <si>
    <t>КФХ Васильев О.И.</t>
  </si>
  <si>
    <t xml:space="preserve">Итого по сельскохозяйственным организациям </t>
  </si>
  <si>
    <t>Итого по К(Ф)Х</t>
  </si>
  <si>
    <t>Итого по Ибресинскому району</t>
  </si>
  <si>
    <t xml:space="preserve"> производство  молока, т</t>
  </si>
  <si>
    <t>Коровье молоко</t>
  </si>
  <si>
    <t>Козье молоко</t>
  </si>
  <si>
    <t>*</t>
  </si>
  <si>
    <t>Итого в сельскохозяйственных организациях по Ибресинскому району</t>
  </si>
  <si>
    <t>2012 в %</t>
  </si>
  <si>
    <t>к 2011 г.</t>
  </si>
  <si>
    <t>2011 г.</t>
  </si>
  <si>
    <t>Итого в сельскохозяйственных организациях района</t>
  </si>
  <si>
    <t>Итого по сельскохозяйственным оргаизациям по району</t>
  </si>
  <si>
    <t>в % к 2011 г.</t>
  </si>
  <si>
    <t>Итого по сельскохозяйственным организациям района</t>
  </si>
  <si>
    <t>2012 к 2011 г. %</t>
  </si>
  <si>
    <t>с 2011 г.</t>
  </si>
  <si>
    <t xml:space="preserve">                      </t>
  </si>
  <si>
    <t>с 20110 г.</t>
  </si>
  <si>
    <t xml:space="preserve">    Производство мяса и молока на 100 га с/х угодий</t>
  </si>
  <si>
    <t>разница с 2011 г.</t>
  </si>
  <si>
    <t xml:space="preserve">   Производство мяса за январь-сентябрь 2012 года по Ибресинскому району </t>
  </si>
  <si>
    <t>Производство молока за  январь-сентябрь 2012 года по Ибресинскому району</t>
  </si>
  <si>
    <t xml:space="preserve">по Ибресинскому району за январь-сентябрь 2012 год </t>
  </si>
  <si>
    <t>Поступление приплода (телят) за январь-сентябрь 2012 года по Ибресинскому  району</t>
  </si>
  <si>
    <t>Случено и осеменено за январь-сентябрь 2012 года по Ибресинскому району</t>
  </si>
  <si>
    <t>Поступление приплода (поросят) за январь-сентябрь 2012 года по Ибресинкому  району</t>
  </si>
  <si>
    <t xml:space="preserve"> Численность скота по Ибресинскому району на 1.10.2012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</si>
  <si>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1.10.2012 г., (голов)</t>
    </r>
  </si>
  <si>
    <t>Показатели получения привесов за январь-сентябрь 2012 года по Ибресинскому району</t>
  </si>
  <si>
    <t>Пало, погибло, куплено и продано  сельскохозяйственных животных за январь-сентябрь 2012 год по Ибресинскому.р-ну</t>
  </si>
  <si>
    <t>КФХ Николаев Н.С.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</si>
</sst>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5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43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Fill="1" applyBorder="1" applyAlignment="1">
      <alignment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72" fontId="1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1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23" sqref="U23"/>
    </sheetView>
  </sheetViews>
  <sheetFormatPr defaultColWidth="9.00390625" defaultRowHeight="12.75"/>
  <cols>
    <col min="1" max="1" width="4.00390625" style="70" customWidth="1"/>
    <col min="2" max="2" width="28.625" style="70" customWidth="1"/>
    <col min="3" max="4" width="8.75390625" style="70" customWidth="1"/>
    <col min="5" max="5" width="8.875" style="70" customWidth="1"/>
    <col min="6" max="7" width="8.75390625" style="70" customWidth="1"/>
    <col min="8" max="8" width="8.875" style="70" customWidth="1"/>
    <col min="9" max="14" width="8.75390625" style="70" customWidth="1"/>
    <col min="15" max="15" width="8.875" style="70" customWidth="1"/>
    <col min="16" max="18" width="8.75390625" style="70" customWidth="1"/>
    <col min="19" max="19" width="8.875" style="70" customWidth="1"/>
    <col min="20" max="20" width="8.75390625" style="70" customWidth="1"/>
    <col min="21" max="16384" width="9.125" style="70" customWidth="1"/>
  </cols>
  <sheetData>
    <row r="1" spans="3:18" ht="15.75">
      <c r="C1" s="135" t="s">
        <v>119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3:10" ht="15">
      <c r="C2" s="71"/>
      <c r="D2" s="71"/>
      <c r="E2" s="71"/>
      <c r="F2" s="71"/>
      <c r="G2" s="71"/>
      <c r="H2" s="71"/>
      <c r="I2" s="71"/>
      <c r="J2" s="71"/>
    </row>
    <row r="3" spans="1:20" s="20" customFormat="1" ht="18.75" customHeight="1">
      <c r="A3" s="34" t="s">
        <v>2</v>
      </c>
      <c r="B3" s="23" t="s">
        <v>3</v>
      </c>
      <c r="C3" s="136" t="s">
        <v>38</v>
      </c>
      <c r="D3" s="137"/>
      <c r="E3" s="138"/>
      <c r="F3" s="136" t="s">
        <v>52</v>
      </c>
      <c r="G3" s="137"/>
      <c r="H3" s="138"/>
      <c r="I3" s="97"/>
      <c r="J3" s="102" t="s">
        <v>40</v>
      </c>
      <c r="K3" s="102"/>
      <c r="L3" s="102"/>
      <c r="M3" s="104"/>
      <c r="N3" s="104"/>
      <c r="O3" s="104"/>
      <c r="P3" s="104"/>
      <c r="Q3" s="97"/>
      <c r="R3" s="102" t="s">
        <v>41</v>
      </c>
      <c r="S3" s="102"/>
      <c r="T3" s="101"/>
    </row>
    <row r="4" spans="1:20" s="20" customFormat="1" ht="18.75" customHeight="1">
      <c r="A4" s="39"/>
      <c r="B4" s="33"/>
      <c r="C4" s="139">
        <v>2011</v>
      </c>
      <c r="D4" s="139">
        <v>2012</v>
      </c>
      <c r="E4" s="106" t="s">
        <v>39</v>
      </c>
      <c r="F4" s="139">
        <v>2011</v>
      </c>
      <c r="G4" s="139">
        <v>2012</v>
      </c>
      <c r="H4" s="106" t="s">
        <v>39</v>
      </c>
      <c r="I4" s="141" t="s">
        <v>86</v>
      </c>
      <c r="J4" s="142"/>
      <c r="K4" s="141" t="s">
        <v>84</v>
      </c>
      <c r="L4" s="142"/>
      <c r="M4" s="141" t="s">
        <v>80</v>
      </c>
      <c r="N4" s="142"/>
      <c r="O4" s="141" t="s">
        <v>81</v>
      </c>
      <c r="P4" s="142"/>
      <c r="Q4" s="141" t="s">
        <v>83</v>
      </c>
      <c r="R4" s="142"/>
      <c r="S4" s="141" t="s">
        <v>84</v>
      </c>
      <c r="T4" s="142"/>
    </row>
    <row r="5" spans="1:20" s="20" customFormat="1" ht="18.75" customHeight="1">
      <c r="A5" s="30"/>
      <c r="B5" s="29"/>
      <c r="C5" s="140"/>
      <c r="D5" s="140"/>
      <c r="E5" s="107" t="s">
        <v>105</v>
      </c>
      <c r="F5" s="140"/>
      <c r="G5" s="140"/>
      <c r="H5" s="107" t="s">
        <v>105</v>
      </c>
      <c r="I5" s="108">
        <v>2011</v>
      </c>
      <c r="J5" s="109">
        <v>2012</v>
      </c>
      <c r="K5" s="108">
        <v>2011</v>
      </c>
      <c r="L5" s="109">
        <v>2012</v>
      </c>
      <c r="M5" s="108">
        <v>2011</v>
      </c>
      <c r="N5" s="109">
        <v>2012</v>
      </c>
      <c r="O5" s="108">
        <v>2011</v>
      </c>
      <c r="P5" s="109">
        <v>2012</v>
      </c>
      <c r="Q5" s="108">
        <v>2011</v>
      </c>
      <c r="R5" s="109">
        <v>2012</v>
      </c>
      <c r="S5" s="108">
        <v>2011</v>
      </c>
      <c r="T5" s="109">
        <v>2012</v>
      </c>
    </row>
    <row r="6" spans="1:20" s="20" customFormat="1" ht="15" customHeight="1">
      <c r="A6" s="31">
        <v>1</v>
      </c>
      <c r="B6" s="31" t="s">
        <v>55</v>
      </c>
      <c r="C6" s="3"/>
      <c r="D6" s="3"/>
      <c r="E6" s="11">
        <f aca="true" t="shared" si="0" ref="E6:E22">D6-C6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20" customFormat="1" ht="13.5" customHeight="1">
      <c r="A7" s="31">
        <v>2</v>
      </c>
      <c r="B7" s="31" t="s">
        <v>56</v>
      </c>
      <c r="C7" s="3">
        <v>9</v>
      </c>
      <c r="D7" s="3">
        <v>2</v>
      </c>
      <c r="E7" s="11">
        <f t="shared" si="0"/>
        <v>-7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40</v>
      </c>
      <c r="R7" s="3">
        <v>42</v>
      </c>
      <c r="S7" s="3"/>
      <c r="T7" s="3"/>
    </row>
    <row r="8" spans="1:20" s="20" customFormat="1" ht="13.5" customHeight="1">
      <c r="A8" s="31">
        <v>3</v>
      </c>
      <c r="B8" s="31" t="s">
        <v>57</v>
      </c>
      <c r="C8" s="3"/>
      <c r="D8" s="3"/>
      <c r="E8" s="11">
        <f t="shared" si="0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17</v>
      </c>
      <c r="R8" s="3">
        <v>20</v>
      </c>
      <c r="S8" s="3"/>
      <c r="T8" s="3"/>
    </row>
    <row r="9" spans="1:20" s="20" customFormat="1" ht="12.75" customHeight="1">
      <c r="A9" s="31">
        <v>4</v>
      </c>
      <c r="B9" s="22" t="s">
        <v>58</v>
      </c>
      <c r="C9" s="3">
        <v>6</v>
      </c>
      <c r="D9" s="3">
        <v>5</v>
      </c>
      <c r="E9" s="11">
        <f t="shared" si="0"/>
        <v>-1</v>
      </c>
      <c r="F9" s="3"/>
      <c r="G9" s="3"/>
      <c r="H9" s="3"/>
      <c r="I9" s="3"/>
      <c r="J9" s="3"/>
      <c r="K9" s="3">
        <v>2</v>
      </c>
      <c r="L9" s="3"/>
      <c r="M9" s="3"/>
      <c r="N9" s="3"/>
      <c r="O9" s="3"/>
      <c r="P9" s="3"/>
      <c r="Q9" s="3"/>
      <c r="R9" s="3"/>
      <c r="S9" s="3">
        <v>358</v>
      </c>
      <c r="T9" s="3">
        <v>530</v>
      </c>
    </row>
    <row r="10" spans="1:20" s="20" customFormat="1" ht="13.5" customHeight="1">
      <c r="A10" s="31">
        <v>5</v>
      </c>
      <c r="B10" s="92" t="s">
        <v>59</v>
      </c>
      <c r="C10" s="3"/>
      <c r="D10" s="3">
        <v>3</v>
      </c>
      <c r="E10" s="11">
        <f t="shared" si="0"/>
        <v>3</v>
      </c>
      <c r="F10" s="3">
        <v>24</v>
      </c>
      <c r="G10" s="3">
        <v>6</v>
      </c>
      <c r="H10" s="3">
        <f>G10-F10</f>
        <v>-18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>
        <v>240</v>
      </c>
      <c r="T10" s="3">
        <v>72</v>
      </c>
    </row>
    <row r="11" spans="1:20" s="20" customFormat="1" ht="12.75" customHeight="1">
      <c r="A11" s="31">
        <v>6</v>
      </c>
      <c r="B11" s="32" t="s">
        <v>73</v>
      </c>
      <c r="C11" s="3">
        <v>1</v>
      </c>
      <c r="D11" s="3">
        <v>2</v>
      </c>
      <c r="E11" s="11">
        <f t="shared" si="0"/>
        <v>1</v>
      </c>
      <c r="F11" s="3"/>
      <c r="G11" s="3"/>
      <c r="H11" s="3"/>
      <c r="I11" s="88"/>
      <c r="J11" s="88"/>
      <c r="K11" s="88"/>
      <c r="L11" s="88"/>
      <c r="M11" s="88"/>
      <c r="N11" s="88"/>
      <c r="O11" s="88"/>
      <c r="P11" s="88"/>
      <c r="Q11" s="88"/>
      <c r="R11" s="88">
        <v>22</v>
      </c>
      <c r="S11" s="88"/>
      <c r="T11" s="88"/>
    </row>
    <row r="12" spans="1:20" s="20" customFormat="1" ht="12.75" customHeight="1">
      <c r="A12" s="31">
        <v>7</v>
      </c>
      <c r="B12" s="31" t="s">
        <v>60</v>
      </c>
      <c r="C12" s="3"/>
      <c r="D12" s="3"/>
      <c r="E12" s="11">
        <f t="shared" si="0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148</v>
      </c>
      <c r="R12" s="3"/>
      <c r="S12" s="3"/>
      <c r="T12" s="3"/>
    </row>
    <row r="13" spans="1:20" s="20" customFormat="1" ht="12.75" customHeight="1">
      <c r="A13" s="31">
        <v>8</v>
      </c>
      <c r="B13" s="32" t="s">
        <v>87</v>
      </c>
      <c r="C13" s="3"/>
      <c r="D13" s="3"/>
      <c r="E13" s="11">
        <f t="shared" si="0"/>
        <v>0</v>
      </c>
      <c r="F13" s="3"/>
      <c r="G13" s="3"/>
      <c r="H13" s="3"/>
      <c r="I13" s="3">
        <v>148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20" customFormat="1" ht="13.5" customHeight="1">
      <c r="A14" s="31">
        <v>9</v>
      </c>
      <c r="B14" s="32" t="s">
        <v>72</v>
      </c>
      <c r="C14" s="3">
        <v>1</v>
      </c>
      <c r="D14" s="3"/>
      <c r="E14" s="11">
        <f t="shared" si="0"/>
        <v>-1</v>
      </c>
      <c r="F14" s="3"/>
      <c r="G14" s="3"/>
      <c r="H14" s="3"/>
      <c r="I14" s="3">
        <v>30</v>
      </c>
      <c r="J14" s="3">
        <v>1</v>
      </c>
      <c r="K14" s="3"/>
      <c r="L14" s="3"/>
      <c r="M14" s="3"/>
      <c r="N14" s="3"/>
      <c r="O14" s="3"/>
      <c r="P14" s="3"/>
      <c r="Q14" s="3">
        <v>8</v>
      </c>
      <c r="R14" s="3">
        <v>1</v>
      </c>
      <c r="S14" s="3"/>
      <c r="T14" s="3"/>
    </row>
    <row r="15" spans="1:20" s="20" customFormat="1" ht="12.75" customHeight="1">
      <c r="A15" s="31">
        <v>10</v>
      </c>
      <c r="B15" s="31" t="s">
        <v>61</v>
      </c>
      <c r="C15" s="3"/>
      <c r="D15" s="3"/>
      <c r="E15" s="11">
        <f t="shared" si="0"/>
        <v>0</v>
      </c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s="20" customFormat="1" ht="12.75" customHeight="1">
      <c r="A16" s="31">
        <v>11</v>
      </c>
      <c r="B16" s="31" t="s">
        <v>62</v>
      </c>
      <c r="C16" s="3">
        <v>1</v>
      </c>
      <c r="D16" s="3"/>
      <c r="E16" s="11">
        <f t="shared" si="0"/>
        <v>-1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5</v>
      </c>
      <c r="S16" s="3"/>
      <c r="T16" s="3"/>
    </row>
    <row r="17" spans="1:20" s="20" customFormat="1" ht="12.75" customHeight="1">
      <c r="A17" s="31">
        <v>12</v>
      </c>
      <c r="B17" s="31" t="s">
        <v>63</v>
      </c>
      <c r="C17" s="3"/>
      <c r="D17" s="3"/>
      <c r="E17" s="11"/>
      <c r="F17" s="3">
        <v>707</v>
      </c>
      <c r="G17" s="3">
        <v>426</v>
      </c>
      <c r="H17" s="3">
        <f aca="true" t="shared" si="1" ref="H17:H23">G17-F17</f>
        <v>-281</v>
      </c>
      <c r="I17" s="3"/>
      <c r="J17" s="3"/>
      <c r="K17" s="3">
        <v>9</v>
      </c>
      <c r="L17" s="3">
        <v>8</v>
      </c>
      <c r="M17" s="3"/>
      <c r="N17" s="3"/>
      <c r="O17" s="3"/>
      <c r="P17" s="3"/>
      <c r="Q17" s="3"/>
      <c r="R17" s="3"/>
      <c r="S17" s="3">
        <v>1356</v>
      </c>
      <c r="T17" s="3">
        <v>2068</v>
      </c>
    </row>
    <row r="18" spans="1:20" s="20" customFormat="1" ht="12.75" customHeight="1">
      <c r="A18" s="31">
        <v>13</v>
      </c>
      <c r="B18" s="32" t="s">
        <v>71</v>
      </c>
      <c r="C18" s="3"/>
      <c r="D18" s="3"/>
      <c r="E18" s="11"/>
      <c r="F18" s="3"/>
      <c r="G18" s="3"/>
      <c r="H18" s="3">
        <f t="shared" si="1"/>
        <v>0</v>
      </c>
      <c r="I18" s="3"/>
      <c r="J18" s="3"/>
      <c r="K18" s="3"/>
      <c r="L18" s="3"/>
      <c r="M18" s="3">
        <v>3</v>
      </c>
      <c r="N18" s="3"/>
      <c r="O18" s="3"/>
      <c r="P18" s="3"/>
      <c r="Q18" s="3"/>
      <c r="R18" s="3"/>
      <c r="S18" s="3"/>
      <c r="T18" s="3"/>
    </row>
    <row r="19" spans="1:20" s="20" customFormat="1" ht="44.25" customHeight="1">
      <c r="A19" s="145" t="s">
        <v>103</v>
      </c>
      <c r="B19" s="146"/>
      <c r="C19" s="3">
        <f>SUM(C6:C18)</f>
        <v>18</v>
      </c>
      <c r="D19" s="3">
        <f>SUM(D6:D18)</f>
        <v>12</v>
      </c>
      <c r="E19" s="11">
        <f t="shared" si="0"/>
        <v>-6</v>
      </c>
      <c r="F19" s="3">
        <f>SUM(F10:F18)</f>
        <v>731</v>
      </c>
      <c r="G19" s="3">
        <f>SUM(G10:G18)</f>
        <v>432</v>
      </c>
      <c r="H19" s="3">
        <f t="shared" si="1"/>
        <v>-299</v>
      </c>
      <c r="I19" s="3">
        <f>SUM(I6:I18)</f>
        <v>178</v>
      </c>
      <c r="J19" s="3">
        <f aca="true" t="shared" si="2" ref="J19:T19">SUM(J6:J18)</f>
        <v>2</v>
      </c>
      <c r="K19" s="3">
        <f t="shared" si="2"/>
        <v>11</v>
      </c>
      <c r="L19" s="3">
        <f t="shared" si="2"/>
        <v>8</v>
      </c>
      <c r="M19" s="3">
        <f t="shared" si="2"/>
        <v>3</v>
      </c>
      <c r="N19" s="3">
        <f t="shared" si="2"/>
        <v>0</v>
      </c>
      <c r="O19" s="3">
        <f t="shared" si="2"/>
        <v>0</v>
      </c>
      <c r="P19" s="3">
        <f t="shared" si="2"/>
        <v>0</v>
      </c>
      <c r="Q19" s="3">
        <f t="shared" si="2"/>
        <v>213</v>
      </c>
      <c r="R19" s="3">
        <f t="shared" si="2"/>
        <v>90</v>
      </c>
      <c r="S19" s="3">
        <f t="shared" si="2"/>
        <v>1954</v>
      </c>
      <c r="T19" s="3">
        <f t="shared" si="2"/>
        <v>2670</v>
      </c>
    </row>
    <row r="20" spans="1:20" s="20" customFormat="1" ht="12.75" customHeight="1">
      <c r="A20" s="31">
        <v>1</v>
      </c>
      <c r="B20" s="32" t="s">
        <v>82</v>
      </c>
      <c r="C20" s="3"/>
      <c r="D20" s="3"/>
      <c r="E20" s="11">
        <f t="shared" si="0"/>
        <v>0</v>
      </c>
      <c r="F20" s="3"/>
      <c r="G20" s="3"/>
      <c r="H20" s="3">
        <f t="shared" si="1"/>
        <v>0</v>
      </c>
      <c r="I20" s="3"/>
      <c r="J20" s="3"/>
      <c r="K20" s="3"/>
      <c r="L20" s="3"/>
      <c r="M20" s="88"/>
      <c r="N20" s="3"/>
      <c r="O20" s="3"/>
      <c r="P20" s="3"/>
      <c r="Q20" s="3"/>
      <c r="R20" s="3"/>
      <c r="S20" s="111"/>
      <c r="T20" s="22">
        <v>38</v>
      </c>
    </row>
    <row r="21" spans="1:20" s="20" customFormat="1" ht="12.75" customHeight="1">
      <c r="A21" s="31">
        <v>2</v>
      </c>
      <c r="B21" s="32" t="s">
        <v>88</v>
      </c>
      <c r="C21" s="3"/>
      <c r="D21" s="3"/>
      <c r="E21" s="11">
        <f t="shared" si="0"/>
        <v>0</v>
      </c>
      <c r="F21" s="3"/>
      <c r="G21" s="3"/>
      <c r="H21" s="3">
        <f t="shared" si="1"/>
        <v>0</v>
      </c>
      <c r="I21" s="3"/>
      <c r="J21" s="3"/>
      <c r="K21" s="3"/>
      <c r="L21" s="3"/>
      <c r="M21" s="88"/>
      <c r="N21" s="3"/>
      <c r="O21" s="3"/>
      <c r="P21" s="3"/>
      <c r="Q21" s="3"/>
      <c r="R21" s="3"/>
      <c r="S21" s="111"/>
      <c r="T21" s="22"/>
    </row>
    <row r="22" spans="1:20" s="20" customFormat="1" ht="30" customHeight="1">
      <c r="A22" s="147" t="s">
        <v>90</v>
      </c>
      <c r="B22" s="148"/>
      <c r="C22" s="3">
        <f>SUM(C20:C21)</f>
        <v>0</v>
      </c>
      <c r="D22" s="3">
        <f>SUM(D20:D21)</f>
        <v>0</v>
      </c>
      <c r="E22" s="11">
        <f t="shared" si="0"/>
        <v>0</v>
      </c>
      <c r="F22" s="3">
        <f aca="true" t="shared" si="3" ref="F22:T22">SUM(F20:F21)</f>
        <v>0</v>
      </c>
      <c r="G22" s="3">
        <f t="shared" si="3"/>
        <v>0</v>
      </c>
      <c r="H22" s="3">
        <f t="shared" si="1"/>
        <v>0</v>
      </c>
      <c r="I22" s="3">
        <f t="shared" si="3"/>
        <v>0</v>
      </c>
      <c r="J22" s="3">
        <f t="shared" si="3"/>
        <v>0</v>
      </c>
      <c r="K22" s="3">
        <f t="shared" si="3"/>
        <v>0</v>
      </c>
      <c r="L22" s="3">
        <f t="shared" si="3"/>
        <v>0</v>
      </c>
      <c r="M22" s="3">
        <f t="shared" si="3"/>
        <v>0</v>
      </c>
      <c r="N22" s="3">
        <f t="shared" si="3"/>
        <v>0</v>
      </c>
      <c r="O22" s="3">
        <f t="shared" si="3"/>
        <v>0</v>
      </c>
      <c r="P22" s="3">
        <f t="shared" si="3"/>
        <v>0</v>
      </c>
      <c r="Q22" s="3">
        <f t="shared" si="3"/>
        <v>0</v>
      </c>
      <c r="R22" s="3">
        <f t="shared" si="3"/>
        <v>0</v>
      </c>
      <c r="S22" s="3">
        <f t="shared" si="3"/>
        <v>0</v>
      </c>
      <c r="T22" s="3">
        <f t="shared" si="3"/>
        <v>38</v>
      </c>
    </row>
    <row r="23" spans="1:20" s="20" customFormat="1" ht="37.5" customHeight="1">
      <c r="A23" s="143" t="s">
        <v>91</v>
      </c>
      <c r="B23" s="144"/>
      <c r="C23" s="3">
        <f>C22+C19</f>
        <v>18</v>
      </c>
      <c r="D23" s="3">
        <f>D22+D19</f>
        <v>12</v>
      </c>
      <c r="E23" s="11">
        <f>D23-C23</f>
        <v>-6</v>
      </c>
      <c r="F23" s="3">
        <f>F22+F19</f>
        <v>731</v>
      </c>
      <c r="G23" s="3">
        <f>G22+G19</f>
        <v>432</v>
      </c>
      <c r="H23" s="3">
        <f t="shared" si="1"/>
        <v>-299</v>
      </c>
      <c r="I23" s="3">
        <f aca="true" t="shared" si="4" ref="I23:T23">I22+I19</f>
        <v>178</v>
      </c>
      <c r="J23" s="3">
        <f t="shared" si="4"/>
        <v>2</v>
      </c>
      <c r="K23" s="3">
        <f t="shared" si="4"/>
        <v>11</v>
      </c>
      <c r="L23" s="3">
        <f t="shared" si="4"/>
        <v>8</v>
      </c>
      <c r="M23" s="3">
        <f t="shared" si="4"/>
        <v>3</v>
      </c>
      <c r="N23" s="3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213</v>
      </c>
      <c r="R23" s="3">
        <f t="shared" si="4"/>
        <v>90</v>
      </c>
      <c r="S23" s="3">
        <f t="shared" si="4"/>
        <v>1954</v>
      </c>
      <c r="T23" s="3">
        <f t="shared" si="4"/>
        <v>2708</v>
      </c>
    </row>
    <row r="24" ht="14.25">
      <c r="B24" s="73"/>
    </row>
  </sheetData>
  <sheetProtection/>
  <mergeCells count="16">
    <mergeCell ref="Q4:R4"/>
    <mergeCell ref="S4:T4"/>
    <mergeCell ref="I4:J4"/>
    <mergeCell ref="K4:L4"/>
    <mergeCell ref="A23:B23"/>
    <mergeCell ref="A19:B19"/>
    <mergeCell ref="A22:B22"/>
    <mergeCell ref="C1:R1"/>
    <mergeCell ref="F3:H3"/>
    <mergeCell ref="C3:E3"/>
    <mergeCell ref="C4:C5"/>
    <mergeCell ref="D4:D5"/>
    <mergeCell ref="F4:F5"/>
    <mergeCell ref="G4:G5"/>
    <mergeCell ref="M4:N4"/>
    <mergeCell ref="O4:P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tabSelected="1" view="pageBreakPreview" zoomScale="75" zoomScaleNormal="65" zoomScaleSheetLayoutView="75" zoomScalePageLayoutView="0" workbookViewId="0" topLeftCell="A1">
      <selection activeCell="M21" sqref="M21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0"/>
      <c r="B1" s="20"/>
      <c r="C1" s="94" t="s">
        <v>110</v>
      </c>
      <c r="D1" s="94"/>
      <c r="E1" s="94"/>
      <c r="F1" s="94"/>
      <c r="G1" s="20"/>
      <c r="H1" s="20"/>
      <c r="I1" s="20"/>
      <c r="J1" s="20"/>
      <c r="K1" s="20"/>
      <c r="L1" s="20"/>
      <c r="M1" s="20"/>
    </row>
    <row r="2" spans="1:13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>
      <c r="A3" s="211" t="s">
        <v>2</v>
      </c>
      <c r="B3" s="211" t="s">
        <v>3</v>
      </c>
      <c r="C3" s="24" t="s">
        <v>19</v>
      </c>
      <c r="D3" s="25"/>
      <c r="E3" s="27"/>
      <c r="F3" s="24"/>
      <c r="G3" s="25"/>
      <c r="H3" s="25" t="s">
        <v>20</v>
      </c>
      <c r="I3" s="25"/>
      <c r="J3" s="25"/>
      <c r="K3" s="27"/>
      <c r="L3" s="20"/>
      <c r="M3" s="20"/>
    </row>
    <row r="4" spans="1:13" ht="15">
      <c r="A4" s="212"/>
      <c r="B4" s="212"/>
      <c r="C4" s="18">
        <v>2011</v>
      </c>
      <c r="D4" s="19">
        <v>2012</v>
      </c>
      <c r="E4" s="19" t="s">
        <v>97</v>
      </c>
      <c r="F4" s="24" t="s">
        <v>23</v>
      </c>
      <c r="G4" s="27"/>
      <c r="H4" s="24" t="s">
        <v>21</v>
      </c>
      <c r="I4" s="27"/>
      <c r="J4" s="24" t="s">
        <v>22</v>
      </c>
      <c r="K4" s="27"/>
      <c r="L4" s="20"/>
      <c r="M4" s="20"/>
    </row>
    <row r="5" spans="1:13" ht="15">
      <c r="A5" s="213"/>
      <c r="B5" s="213"/>
      <c r="C5" s="40"/>
      <c r="D5" s="11"/>
      <c r="E5" s="11" t="s">
        <v>98</v>
      </c>
      <c r="F5" s="18">
        <v>2011</v>
      </c>
      <c r="G5" s="19">
        <v>2012</v>
      </c>
      <c r="H5" s="18">
        <v>2011</v>
      </c>
      <c r="I5" s="19">
        <v>2012</v>
      </c>
      <c r="J5" s="18">
        <v>2011</v>
      </c>
      <c r="K5" s="19">
        <v>2012</v>
      </c>
      <c r="L5" s="20"/>
      <c r="M5" s="20"/>
    </row>
    <row r="6" spans="1:13" ht="16.5">
      <c r="A6" s="31">
        <v>1</v>
      </c>
      <c r="B6" s="31" t="s">
        <v>55</v>
      </c>
      <c r="C6" s="83">
        <v>31.7</v>
      </c>
      <c r="D6" s="83">
        <v>35</v>
      </c>
      <c r="E6" s="82">
        <f aca="true" t="shared" si="0" ref="E6:E24">D6*100/C6</f>
        <v>110.41009463722398</v>
      </c>
      <c r="F6" s="83">
        <v>28.8</v>
      </c>
      <c r="G6" s="83">
        <v>35</v>
      </c>
      <c r="H6" s="83"/>
      <c r="I6" s="83"/>
      <c r="J6" s="83">
        <v>2.9</v>
      </c>
      <c r="K6" s="83"/>
      <c r="L6" s="132"/>
      <c r="M6" s="132"/>
    </row>
    <row r="7" spans="1:13" ht="16.5">
      <c r="A7" s="31">
        <v>2</v>
      </c>
      <c r="B7" s="31" t="s">
        <v>56</v>
      </c>
      <c r="C7" s="83">
        <v>14</v>
      </c>
      <c r="D7" s="83">
        <v>7.285</v>
      </c>
      <c r="E7" s="82">
        <f t="shared" si="0"/>
        <v>52.035714285714285</v>
      </c>
      <c r="F7" s="83">
        <v>14</v>
      </c>
      <c r="G7" s="83">
        <v>7.285</v>
      </c>
      <c r="H7" s="83"/>
      <c r="I7" s="83"/>
      <c r="J7" s="83"/>
      <c r="K7" s="83"/>
      <c r="L7" s="132"/>
      <c r="M7" s="132"/>
    </row>
    <row r="8" spans="1:13" ht="16.5">
      <c r="A8" s="31">
        <v>3</v>
      </c>
      <c r="B8" s="31" t="s">
        <v>57</v>
      </c>
      <c r="C8" s="83">
        <v>6.1</v>
      </c>
      <c r="D8" s="83">
        <v>7.3</v>
      </c>
      <c r="E8" s="82">
        <f t="shared" si="0"/>
        <v>119.672131147541</v>
      </c>
      <c r="F8" s="83">
        <v>6.1</v>
      </c>
      <c r="G8" s="83">
        <v>7.3</v>
      </c>
      <c r="H8" s="83"/>
      <c r="I8" s="83"/>
      <c r="J8" s="83"/>
      <c r="K8" s="83"/>
      <c r="L8" s="132"/>
      <c r="M8" s="132"/>
    </row>
    <row r="9" spans="1:13" ht="16.5">
      <c r="A9" s="31">
        <v>4</v>
      </c>
      <c r="B9" s="41" t="s">
        <v>58</v>
      </c>
      <c r="C9" s="83">
        <v>94.3</v>
      </c>
      <c r="D9" s="83">
        <v>56</v>
      </c>
      <c r="E9" s="82">
        <f t="shared" si="0"/>
        <v>59.38494167550371</v>
      </c>
      <c r="F9" s="83">
        <v>73.1</v>
      </c>
      <c r="G9" s="83">
        <v>41.8</v>
      </c>
      <c r="H9" s="83">
        <v>18</v>
      </c>
      <c r="I9" s="83">
        <v>13</v>
      </c>
      <c r="J9" s="83">
        <v>3.2</v>
      </c>
      <c r="K9" s="83">
        <v>1.2</v>
      </c>
      <c r="L9" s="132"/>
      <c r="M9" s="132"/>
    </row>
    <row r="10" spans="1:13" ht="16.5">
      <c r="A10" s="31">
        <v>5</v>
      </c>
      <c r="B10" s="31" t="s">
        <v>59</v>
      </c>
      <c r="C10" s="83">
        <v>53.8</v>
      </c>
      <c r="D10" s="83">
        <v>50</v>
      </c>
      <c r="E10" s="82">
        <f t="shared" si="0"/>
        <v>92.9368029739777</v>
      </c>
      <c r="F10" s="83">
        <v>34</v>
      </c>
      <c r="G10" s="83">
        <v>38.6</v>
      </c>
      <c r="H10" s="83">
        <v>14</v>
      </c>
      <c r="I10" s="83">
        <v>8.6</v>
      </c>
      <c r="J10" s="83">
        <v>5.8</v>
      </c>
      <c r="K10" s="83">
        <v>2.8</v>
      </c>
      <c r="L10" s="132"/>
      <c r="M10" s="132"/>
    </row>
    <row r="11" spans="1:13" ht="16.5">
      <c r="A11" s="31">
        <v>6</v>
      </c>
      <c r="B11" s="32" t="s">
        <v>73</v>
      </c>
      <c r="C11" s="83">
        <v>23.4</v>
      </c>
      <c r="D11" s="119">
        <v>17.32</v>
      </c>
      <c r="E11" s="82">
        <f t="shared" si="0"/>
        <v>74.01709401709402</v>
      </c>
      <c r="F11" s="84">
        <v>22.3</v>
      </c>
      <c r="G11" s="84">
        <v>16.315</v>
      </c>
      <c r="H11" s="84"/>
      <c r="I11" s="84"/>
      <c r="J11" s="84">
        <v>1.1</v>
      </c>
      <c r="K11" s="84">
        <v>1.005</v>
      </c>
      <c r="L11" s="132"/>
      <c r="M11" s="132"/>
    </row>
    <row r="12" spans="1:13" ht="16.5">
      <c r="A12" s="31">
        <v>7</v>
      </c>
      <c r="B12" s="32" t="s">
        <v>60</v>
      </c>
      <c r="C12" s="83">
        <v>1</v>
      </c>
      <c r="D12" s="83"/>
      <c r="E12" s="82">
        <f t="shared" si="0"/>
        <v>0</v>
      </c>
      <c r="F12" s="84">
        <v>1</v>
      </c>
      <c r="G12" s="84"/>
      <c r="H12" s="84"/>
      <c r="I12" s="84"/>
      <c r="J12" s="84"/>
      <c r="K12" s="84"/>
      <c r="L12" s="132"/>
      <c r="M12" s="132"/>
    </row>
    <row r="13" spans="1:13" ht="16.5">
      <c r="A13" s="31">
        <v>8</v>
      </c>
      <c r="B13" s="32" t="s">
        <v>87</v>
      </c>
      <c r="C13" s="83">
        <v>1.64</v>
      </c>
      <c r="D13" s="83">
        <v>16.084</v>
      </c>
      <c r="E13" s="82">
        <f t="shared" si="0"/>
        <v>980.7317073170732</v>
      </c>
      <c r="F13" s="84">
        <v>1.64</v>
      </c>
      <c r="G13" s="84">
        <v>16.084</v>
      </c>
      <c r="H13" s="84"/>
      <c r="I13" s="84"/>
      <c r="J13" s="84"/>
      <c r="K13" s="84"/>
      <c r="L13" s="132"/>
      <c r="M13" s="132"/>
    </row>
    <row r="14" spans="1:13" ht="16.5">
      <c r="A14" s="31">
        <v>9</v>
      </c>
      <c r="B14" s="32" t="s">
        <v>72</v>
      </c>
      <c r="C14" s="83">
        <v>15.39</v>
      </c>
      <c r="D14" s="83">
        <v>14.75</v>
      </c>
      <c r="E14" s="82">
        <f t="shared" si="0"/>
        <v>95.8414554905783</v>
      </c>
      <c r="F14" s="84">
        <v>14.75</v>
      </c>
      <c r="G14" s="84">
        <v>12.52</v>
      </c>
      <c r="H14" s="84"/>
      <c r="I14" s="84"/>
      <c r="J14" s="84">
        <v>0.64</v>
      </c>
      <c r="K14" s="84">
        <v>2.23</v>
      </c>
      <c r="L14" s="132"/>
      <c r="M14" s="132"/>
    </row>
    <row r="15" spans="1:13" ht="16.5">
      <c r="A15" s="31">
        <v>10</v>
      </c>
      <c r="B15" s="32" t="s">
        <v>61</v>
      </c>
      <c r="C15" s="83">
        <v>14.7</v>
      </c>
      <c r="D15" s="83">
        <v>20.9</v>
      </c>
      <c r="E15" s="82">
        <f t="shared" si="0"/>
        <v>142.17687074829934</v>
      </c>
      <c r="F15" s="84">
        <v>14.7</v>
      </c>
      <c r="G15" s="84">
        <v>20.9</v>
      </c>
      <c r="H15" s="84"/>
      <c r="I15" s="84"/>
      <c r="J15" s="84"/>
      <c r="K15" s="84"/>
      <c r="L15" s="132"/>
      <c r="M15" s="132"/>
    </row>
    <row r="16" spans="1:13" ht="16.5">
      <c r="A16" s="31">
        <v>11</v>
      </c>
      <c r="B16" s="32" t="s">
        <v>62</v>
      </c>
      <c r="C16" s="83">
        <v>11.6</v>
      </c>
      <c r="D16" s="83">
        <v>4.3</v>
      </c>
      <c r="E16" s="82">
        <f t="shared" si="0"/>
        <v>37.06896551724138</v>
      </c>
      <c r="F16" s="84">
        <v>11.2</v>
      </c>
      <c r="G16" s="84">
        <v>4.3</v>
      </c>
      <c r="H16" s="84"/>
      <c r="I16" s="84"/>
      <c r="J16" s="84">
        <v>0.4</v>
      </c>
      <c r="K16" s="84"/>
      <c r="L16" s="132"/>
      <c r="M16" s="132"/>
    </row>
    <row r="17" spans="1:13" ht="16.5">
      <c r="A17" s="31">
        <v>12</v>
      </c>
      <c r="B17" s="32" t="s">
        <v>63</v>
      </c>
      <c r="C17" s="83">
        <v>680</v>
      </c>
      <c r="D17" s="83">
        <v>836</v>
      </c>
      <c r="E17" s="82">
        <f t="shared" si="0"/>
        <v>122.94117647058823</v>
      </c>
      <c r="F17" s="84"/>
      <c r="G17" s="84"/>
      <c r="H17" s="84">
        <v>680</v>
      </c>
      <c r="I17" s="84">
        <v>836</v>
      </c>
      <c r="J17" s="84"/>
      <c r="K17" s="84"/>
      <c r="L17" s="132"/>
      <c r="M17" s="132"/>
    </row>
    <row r="18" spans="1:13" ht="16.5">
      <c r="A18" s="31">
        <v>13</v>
      </c>
      <c r="B18" s="32" t="s">
        <v>71</v>
      </c>
      <c r="C18" s="83">
        <v>3.1</v>
      </c>
      <c r="D18" s="83">
        <v>3</v>
      </c>
      <c r="E18" s="82">
        <f t="shared" si="0"/>
        <v>96.77419354838709</v>
      </c>
      <c r="F18" s="84"/>
      <c r="G18" s="84"/>
      <c r="H18" s="84"/>
      <c r="I18" s="84"/>
      <c r="J18" s="84">
        <v>3.1</v>
      </c>
      <c r="K18" s="84">
        <v>3</v>
      </c>
      <c r="L18" s="132"/>
      <c r="M18" s="132"/>
    </row>
    <row r="19" spans="1:13" ht="46.5" customHeight="1">
      <c r="A19" s="214" t="s">
        <v>89</v>
      </c>
      <c r="B19" s="215"/>
      <c r="C19" s="83">
        <f>SUM(C6:C18)</f>
        <v>950.73</v>
      </c>
      <c r="D19" s="83">
        <f>SUM(D6:D18)</f>
        <v>1067.939</v>
      </c>
      <c r="E19" s="82">
        <f t="shared" si="0"/>
        <v>112.3283161360218</v>
      </c>
      <c r="F19" s="84">
        <f aca="true" t="shared" si="1" ref="F19:K19">SUM(F6:F18)</f>
        <v>221.58999999999997</v>
      </c>
      <c r="G19" s="84">
        <f t="shared" si="1"/>
        <v>200.104</v>
      </c>
      <c r="H19" s="84">
        <f t="shared" si="1"/>
        <v>712</v>
      </c>
      <c r="I19" s="84">
        <f t="shared" si="1"/>
        <v>857.6</v>
      </c>
      <c r="J19" s="84">
        <f t="shared" si="1"/>
        <v>17.14</v>
      </c>
      <c r="K19" s="84">
        <f t="shared" si="1"/>
        <v>10.235</v>
      </c>
      <c r="L19" s="132"/>
      <c r="M19" s="132"/>
    </row>
    <row r="20" spans="1:13" ht="16.5">
      <c r="A20" s="31">
        <v>1</v>
      </c>
      <c r="B20" s="32" t="s">
        <v>82</v>
      </c>
      <c r="C20" s="83">
        <v>0.5</v>
      </c>
      <c r="D20" s="83"/>
      <c r="E20" s="82"/>
      <c r="F20" s="84"/>
      <c r="G20" s="84"/>
      <c r="H20" s="84">
        <v>0.5</v>
      </c>
      <c r="I20" s="84"/>
      <c r="J20" s="84"/>
      <c r="K20" s="84"/>
      <c r="L20" s="132"/>
      <c r="M20" s="132"/>
    </row>
    <row r="21" spans="1:13" ht="16.5">
      <c r="A21" s="31">
        <v>2</v>
      </c>
      <c r="B21" s="32" t="s">
        <v>120</v>
      </c>
      <c r="C21" s="83"/>
      <c r="D21" s="83">
        <v>0.6</v>
      </c>
      <c r="E21" s="82"/>
      <c r="F21" s="84"/>
      <c r="G21" s="84">
        <v>0.4</v>
      </c>
      <c r="H21" s="84"/>
      <c r="I21" s="84"/>
      <c r="J21" s="84"/>
      <c r="K21" s="84">
        <v>0.2</v>
      </c>
      <c r="L21" s="132"/>
      <c r="M21" s="132"/>
    </row>
    <row r="22" spans="1:13" ht="18">
      <c r="A22" s="31">
        <v>3</v>
      </c>
      <c r="B22" s="32" t="s">
        <v>88</v>
      </c>
      <c r="C22" s="83"/>
      <c r="D22" s="83">
        <v>0.2</v>
      </c>
      <c r="E22" s="82"/>
      <c r="F22" s="16"/>
      <c r="G22" s="84"/>
      <c r="H22" s="16"/>
      <c r="I22" s="84"/>
      <c r="J22" s="84"/>
      <c r="K22" s="84">
        <v>0.2</v>
      </c>
      <c r="L22" s="132"/>
      <c r="M22" s="132"/>
    </row>
    <row r="23" spans="1:13" ht="18">
      <c r="A23" s="216" t="s">
        <v>90</v>
      </c>
      <c r="B23" s="217"/>
      <c r="C23" s="83">
        <f>SUM(C20:C22)</f>
        <v>0.5</v>
      </c>
      <c r="D23" s="83">
        <f>SUM(D20:D22)</f>
        <v>0.8</v>
      </c>
      <c r="E23" s="82">
        <f t="shared" si="0"/>
        <v>160</v>
      </c>
      <c r="F23" s="16">
        <f aca="true" t="shared" si="2" ref="F23:K23">SUM(F20:F22)</f>
        <v>0</v>
      </c>
      <c r="G23" s="84">
        <f t="shared" si="2"/>
        <v>0.4</v>
      </c>
      <c r="H23" s="16">
        <f t="shared" si="2"/>
        <v>0.5</v>
      </c>
      <c r="I23" s="84">
        <f t="shared" si="2"/>
        <v>0</v>
      </c>
      <c r="J23" s="84">
        <f t="shared" si="2"/>
        <v>0</v>
      </c>
      <c r="K23" s="84">
        <f t="shared" si="2"/>
        <v>0.4</v>
      </c>
      <c r="L23" s="132"/>
      <c r="M23" s="132"/>
    </row>
    <row r="24" spans="1:13" ht="16.5">
      <c r="A24" s="209" t="s">
        <v>91</v>
      </c>
      <c r="B24" s="210"/>
      <c r="C24" s="85">
        <f>C19+C23</f>
        <v>951.23</v>
      </c>
      <c r="D24" s="85">
        <f>D19+D23</f>
        <v>1068.739</v>
      </c>
      <c r="E24" s="82">
        <f t="shared" si="0"/>
        <v>112.3533740525425</v>
      </c>
      <c r="F24" s="85">
        <f aca="true" t="shared" si="3" ref="F24:K24">F19+F23</f>
        <v>221.58999999999997</v>
      </c>
      <c r="G24" s="85">
        <f t="shared" si="3"/>
        <v>200.50400000000002</v>
      </c>
      <c r="H24" s="85">
        <f t="shared" si="3"/>
        <v>712.5</v>
      </c>
      <c r="I24" s="85">
        <f t="shared" si="3"/>
        <v>857.6</v>
      </c>
      <c r="J24" s="85">
        <f t="shared" si="3"/>
        <v>17.14</v>
      </c>
      <c r="K24" s="85">
        <f t="shared" si="3"/>
        <v>10.635</v>
      </c>
      <c r="L24" s="132"/>
      <c r="M24" s="132"/>
    </row>
  </sheetData>
  <sheetProtection/>
  <mergeCells count="5">
    <mergeCell ref="A24:B24"/>
    <mergeCell ref="A3:A5"/>
    <mergeCell ref="B3:B5"/>
    <mergeCell ref="A19:B19"/>
    <mergeCell ref="A23:B23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75" zoomScaleNormal="75" zoomScaleSheetLayoutView="75" zoomScalePageLayoutView="0" workbookViewId="0" topLeftCell="A2">
      <pane xSplit="2" topLeftCell="C1" activePane="topRight" state="frozen"/>
      <selection pane="topLeft" activeCell="A1" sqref="A1"/>
      <selection pane="topRight" activeCell="Y22" sqref="Y22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3" width="9.625" style="0" customWidth="1"/>
    <col min="4" max="4" width="9.375" style="0" customWidth="1"/>
    <col min="5" max="5" width="8.25390625" style="0" customWidth="1"/>
    <col min="6" max="7" width="7.125" style="0" customWidth="1"/>
    <col min="8" max="8" width="8.7539062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8.62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20" ht="15.75">
      <c r="B2" s="20"/>
      <c r="C2" s="20"/>
      <c r="D2" s="20"/>
      <c r="E2" s="20"/>
      <c r="F2" s="20"/>
      <c r="G2" s="1" t="s">
        <v>118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2:20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>
      <c r="A4" s="78"/>
      <c r="B4" s="23" t="s">
        <v>3</v>
      </c>
      <c r="C4" s="26" t="s">
        <v>65</v>
      </c>
      <c r="D4" s="104"/>
      <c r="E4" s="104"/>
      <c r="F4" s="102"/>
      <c r="G4" s="102"/>
      <c r="H4" s="105"/>
      <c r="I4" s="97" t="s">
        <v>46</v>
      </c>
      <c r="J4" s="102"/>
      <c r="K4" s="104"/>
      <c r="L4" s="102"/>
      <c r="M4" s="102"/>
      <c r="N4" s="105"/>
      <c r="O4" s="97" t="s">
        <v>47</v>
      </c>
      <c r="P4" s="102"/>
      <c r="Q4" s="104"/>
      <c r="R4" s="102"/>
      <c r="S4" s="102"/>
      <c r="T4" s="105"/>
    </row>
    <row r="5" spans="1:20" ht="15" customHeight="1">
      <c r="A5" s="79" t="s">
        <v>2</v>
      </c>
      <c r="B5" s="33"/>
      <c r="C5" s="25" t="s">
        <v>48</v>
      </c>
      <c r="D5" s="102"/>
      <c r="E5" s="151" t="s">
        <v>104</v>
      </c>
      <c r="F5" s="97" t="s">
        <v>49</v>
      </c>
      <c r="G5" s="101"/>
      <c r="H5" s="151" t="s">
        <v>104</v>
      </c>
      <c r="I5" s="154" t="s">
        <v>48</v>
      </c>
      <c r="J5" s="154"/>
      <c r="K5" s="151" t="s">
        <v>104</v>
      </c>
      <c r="L5" s="154" t="s">
        <v>49</v>
      </c>
      <c r="M5" s="154"/>
      <c r="N5" s="151" t="s">
        <v>104</v>
      </c>
      <c r="O5" s="102" t="s">
        <v>48</v>
      </c>
      <c r="P5" s="102"/>
      <c r="Q5" s="151" t="s">
        <v>85</v>
      </c>
      <c r="R5" s="155" t="s">
        <v>49</v>
      </c>
      <c r="S5" s="156"/>
      <c r="T5" s="151" t="s">
        <v>104</v>
      </c>
    </row>
    <row r="6" spans="1:20" ht="15">
      <c r="A6" s="79" t="s">
        <v>70</v>
      </c>
      <c r="B6" s="33"/>
      <c r="C6" s="149">
        <v>2011</v>
      </c>
      <c r="D6" s="149">
        <v>2012</v>
      </c>
      <c r="E6" s="152"/>
      <c r="F6" s="149">
        <v>2011</v>
      </c>
      <c r="G6" s="149">
        <v>2012</v>
      </c>
      <c r="H6" s="152"/>
      <c r="I6" s="149">
        <v>2011</v>
      </c>
      <c r="J6" s="149">
        <v>2012</v>
      </c>
      <c r="K6" s="152"/>
      <c r="L6" s="149">
        <v>2011</v>
      </c>
      <c r="M6" s="149">
        <v>2012</v>
      </c>
      <c r="N6" s="152"/>
      <c r="O6" s="149">
        <v>2011</v>
      </c>
      <c r="P6" s="149">
        <v>2012</v>
      </c>
      <c r="Q6" s="152"/>
      <c r="R6" s="149">
        <v>2011</v>
      </c>
      <c r="S6" s="149">
        <v>2012</v>
      </c>
      <c r="T6" s="152"/>
    </row>
    <row r="7" spans="1:20" ht="15">
      <c r="A7" s="80"/>
      <c r="B7" s="29"/>
      <c r="C7" s="150"/>
      <c r="D7" s="150"/>
      <c r="E7" s="153"/>
      <c r="F7" s="150"/>
      <c r="G7" s="150"/>
      <c r="H7" s="153"/>
      <c r="I7" s="150"/>
      <c r="J7" s="150"/>
      <c r="K7" s="153"/>
      <c r="L7" s="150"/>
      <c r="M7" s="150"/>
      <c r="N7" s="153"/>
      <c r="O7" s="150"/>
      <c r="P7" s="150"/>
      <c r="Q7" s="153"/>
      <c r="R7" s="150"/>
      <c r="S7" s="150"/>
      <c r="T7" s="153"/>
    </row>
    <row r="8" spans="1:20" ht="15">
      <c r="A8" s="2">
        <v>1</v>
      </c>
      <c r="B8" s="22" t="s">
        <v>55</v>
      </c>
      <c r="C8" s="124">
        <v>192</v>
      </c>
      <c r="D8" s="3">
        <v>158</v>
      </c>
      <c r="E8" s="36">
        <f aca="true" t="shared" si="0" ref="E8:E18">D8/C8*100</f>
        <v>82.29166666666666</v>
      </c>
      <c r="F8" s="3"/>
      <c r="G8" s="3"/>
      <c r="H8" s="36"/>
      <c r="I8" s="3">
        <v>47618</v>
      </c>
      <c r="J8" s="3">
        <v>32227</v>
      </c>
      <c r="K8" s="36">
        <f>J8*100/I8</f>
        <v>67.67818892015624</v>
      </c>
      <c r="L8" s="3"/>
      <c r="M8" s="3"/>
      <c r="N8" s="36"/>
      <c r="O8" s="36">
        <f aca="true" t="shared" si="1" ref="O8:O18">C8/I8*100000</f>
        <v>403.20887059515314</v>
      </c>
      <c r="P8" s="36">
        <f aca="true" t="shared" si="2" ref="P8:P17">D8/J8*100000</f>
        <v>490.2721320631768</v>
      </c>
      <c r="Q8" s="36">
        <f aca="true" t="shared" si="3" ref="Q8:Q18">P8/O8*100</f>
        <v>121.59259575304348</v>
      </c>
      <c r="R8" s="36"/>
      <c r="S8" s="36"/>
      <c r="T8" s="36"/>
    </row>
    <row r="9" spans="1:20" ht="15">
      <c r="A9" s="2">
        <v>2</v>
      </c>
      <c r="B9" s="22" t="s">
        <v>56</v>
      </c>
      <c r="C9" s="124">
        <v>100.8</v>
      </c>
      <c r="D9" s="3">
        <v>102.03</v>
      </c>
      <c r="E9" s="36">
        <f t="shared" si="0"/>
        <v>101.2202380952381</v>
      </c>
      <c r="F9" s="3"/>
      <c r="G9" s="3"/>
      <c r="H9" s="36"/>
      <c r="I9" s="3">
        <v>37816</v>
      </c>
      <c r="J9" s="3">
        <v>33728</v>
      </c>
      <c r="K9" s="36">
        <f aca="true" t="shared" si="4" ref="K9:K23">J9*100/I9</f>
        <v>89.18976094774699</v>
      </c>
      <c r="L9" s="3"/>
      <c r="M9" s="3"/>
      <c r="N9" s="36"/>
      <c r="O9" s="36">
        <f t="shared" si="1"/>
        <v>266.55383964459486</v>
      </c>
      <c r="P9" s="36">
        <f t="shared" si="2"/>
        <v>302.5083017077799</v>
      </c>
      <c r="Q9" s="36">
        <f t="shared" si="3"/>
        <v>113.48863033116471</v>
      </c>
      <c r="R9" s="36"/>
      <c r="S9" s="36"/>
      <c r="T9" s="36"/>
    </row>
    <row r="10" spans="1:20" ht="15">
      <c r="A10" s="2">
        <v>3</v>
      </c>
      <c r="B10" s="37" t="s">
        <v>57</v>
      </c>
      <c r="C10" s="125">
        <v>85</v>
      </c>
      <c r="D10" s="19">
        <v>66</v>
      </c>
      <c r="E10" s="36">
        <f t="shared" si="0"/>
        <v>77.64705882352942</v>
      </c>
      <c r="F10" s="19"/>
      <c r="G10" s="19"/>
      <c r="H10" s="36"/>
      <c r="I10" s="3">
        <v>13024</v>
      </c>
      <c r="J10" s="3">
        <v>9892</v>
      </c>
      <c r="K10" s="36">
        <f t="shared" si="4"/>
        <v>75.95208845208845</v>
      </c>
      <c r="L10" s="19"/>
      <c r="M10" s="19"/>
      <c r="N10" s="87"/>
      <c r="O10" s="36">
        <f t="shared" si="1"/>
        <v>652.6412776412776</v>
      </c>
      <c r="P10" s="36">
        <f t="shared" si="2"/>
        <v>667.2058228871815</v>
      </c>
      <c r="Q10" s="36">
        <f t="shared" si="3"/>
        <v>102.23163102685473</v>
      </c>
      <c r="R10" s="87"/>
      <c r="S10" s="87"/>
      <c r="T10" s="87"/>
    </row>
    <row r="11" spans="1:20" ht="15">
      <c r="A11" s="2">
        <v>4</v>
      </c>
      <c r="B11" s="22" t="s">
        <v>58</v>
      </c>
      <c r="C11" s="124">
        <v>542.4</v>
      </c>
      <c r="D11" s="3">
        <v>468.6</v>
      </c>
      <c r="E11" s="36">
        <f t="shared" si="0"/>
        <v>86.39380530973452</v>
      </c>
      <c r="F11" s="3">
        <v>233.4</v>
      </c>
      <c r="G11" s="3">
        <v>200</v>
      </c>
      <c r="H11" s="36">
        <f>G11/F11*100</f>
        <v>85.68980291345329</v>
      </c>
      <c r="I11" s="3">
        <v>125598</v>
      </c>
      <c r="J11" s="3">
        <v>120201</v>
      </c>
      <c r="K11" s="36">
        <f t="shared" si="4"/>
        <v>95.70295705345626</v>
      </c>
      <c r="L11" s="3">
        <v>54982</v>
      </c>
      <c r="M11" s="3">
        <v>52298</v>
      </c>
      <c r="N11" s="36">
        <f>M11/L11*100</f>
        <v>95.11840238623549</v>
      </c>
      <c r="O11" s="36">
        <f t="shared" si="1"/>
        <v>431.85401041417856</v>
      </c>
      <c r="P11" s="36">
        <f t="shared" si="2"/>
        <v>389.84700626450694</v>
      </c>
      <c r="Q11" s="36">
        <f t="shared" si="3"/>
        <v>90.27286927140403</v>
      </c>
      <c r="R11" s="36">
        <f>F11/L11*100000</f>
        <v>424.5025644756466</v>
      </c>
      <c r="S11" s="36">
        <f>G11/M11*100000</f>
        <v>382.42380205744007</v>
      </c>
      <c r="T11" s="36">
        <f>S11/R11*100</f>
        <v>90.08751278801273</v>
      </c>
    </row>
    <row r="12" spans="1:20" ht="15">
      <c r="A12" s="2">
        <v>5</v>
      </c>
      <c r="B12" s="22" t="s">
        <v>59</v>
      </c>
      <c r="C12" s="126">
        <v>193</v>
      </c>
      <c r="D12" s="88">
        <v>134.7</v>
      </c>
      <c r="E12" s="89">
        <f t="shared" si="0"/>
        <v>69.79274611398964</v>
      </c>
      <c r="F12" s="88">
        <v>157</v>
      </c>
      <c r="G12" s="88">
        <v>12.9</v>
      </c>
      <c r="H12" s="36">
        <f>G12/F12*100</f>
        <v>8.21656050955414</v>
      </c>
      <c r="I12" s="3">
        <v>38746</v>
      </c>
      <c r="J12" s="3">
        <v>31171</v>
      </c>
      <c r="K12" s="36">
        <f t="shared" si="4"/>
        <v>80.44959479688225</v>
      </c>
      <c r="L12" s="3">
        <v>41362</v>
      </c>
      <c r="M12" s="3">
        <v>17193</v>
      </c>
      <c r="N12" s="36">
        <f>M12/L12*100</f>
        <v>41.56713891978144</v>
      </c>
      <c r="O12" s="36">
        <f t="shared" si="1"/>
        <v>498.11593454808235</v>
      </c>
      <c r="P12" s="36">
        <f t="shared" si="2"/>
        <v>432.1324307850245</v>
      </c>
      <c r="Q12" s="36">
        <f t="shared" si="3"/>
        <v>86.75338426526716</v>
      </c>
      <c r="R12" s="36">
        <f>F12/L12*100000</f>
        <v>379.5754557323147</v>
      </c>
      <c r="S12" s="36">
        <f>G12/M12*100000</f>
        <v>75.03053568312686</v>
      </c>
      <c r="T12" s="36">
        <f>S12/R12*100</f>
        <v>19.766961891245177</v>
      </c>
    </row>
    <row r="13" spans="1:20" ht="15">
      <c r="A13" s="2">
        <v>6</v>
      </c>
      <c r="B13" s="38" t="s">
        <v>73</v>
      </c>
      <c r="C13" s="126">
        <v>121.3</v>
      </c>
      <c r="D13" s="88">
        <v>151.69</v>
      </c>
      <c r="E13" s="89">
        <f t="shared" si="0"/>
        <v>125.05358615004123</v>
      </c>
      <c r="F13" s="88"/>
      <c r="G13" s="88"/>
      <c r="H13" s="89"/>
      <c r="I13" s="88">
        <v>34770</v>
      </c>
      <c r="J13" s="88">
        <v>29110</v>
      </c>
      <c r="K13" s="36">
        <f t="shared" si="4"/>
        <v>83.72159907966638</v>
      </c>
      <c r="L13" s="88"/>
      <c r="M13" s="88"/>
      <c r="N13" s="89"/>
      <c r="O13" s="36">
        <f t="shared" si="1"/>
        <v>348.86396318665516</v>
      </c>
      <c r="P13" s="36">
        <f t="shared" si="2"/>
        <v>521.0924081071796</v>
      </c>
      <c r="Q13" s="36">
        <f t="shared" si="3"/>
        <v>149.36836792981563</v>
      </c>
      <c r="R13" s="36"/>
      <c r="S13" s="36"/>
      <c r="T13" s="89"/>
    </row>
    <row r="14" spans="1:20" ht="15">
      <c r="A14" s="2">
        <v>7</v>
      </c>
      <c r="B14" s="38" t="s">
        <v>60</v>
      </c>
      <c r="C14" s="126">
        <v>52.7</v>
      </c>
      <c r="D14" s="88"/>
      <c r="E14" s="89">
        <f t="shared" si="0"/>
        <v>0</v>
      </c>
      <c r="F14" s="88"/>
      <c r="G14" s="88"/>
      <c r="H14" s="89"/>
      <c r="I14" s="88">
        <v>24150</v>
      </c>
      <c r="J14" s="88"/>
      <c r="K14" s="36">
        <f t="shared" si="4"/>
        <v>0</v>
      </c>
      <c r="L14" s="88"/>
      <c r="M14" s="88"/>
      <c r="N14" s="89"/>
      <c r="O14" s="36">
        <f t="shared" si="1"/>
        <v>218.2194616977226</v>
      </c>
      <c r="P14" s="36"/>
      <c r="Q14" s="89"/>
      <c r="R14" s="36"/>
      <c r="S14" s="3"/>
      <c r="T14" s="89"/>
    </row>
    <row r="15" spans="1:20" ht="15">
      <c r="A15" s="2">
        <v>8</v>
      </c>
      <c r="B15" s="32" t="s">
        <v>87</v>
      </c>
      <c r="C15" s="126">
        <v>36.51</v>
      </c>
      <c r="D15" s="88">
        <v>142.12</v>
      </c>
      <c r="E15" s="89">
        <f t="shared" si="0"/>
        <v>389.2632155573816</v>
      </c>
      <c r="F15" s="88"/>
      <c r="G15" s="88"/>
      <c r="H15" s="89"/>
      <c r="I15" s="88">
        <v>13067</v>
      </c>
      <c r="J15" s="88">
        <v>46078</v>
      </c>
      <c r="K15" s="36">
        <f t="shared" si="4"/>
        <v>352.6287594704217</v>
      </c>
      <c r="L15" s="88"/>
      <c r="M15" s="88"/>
      <c r="N15" s="89"/>
      <c r="O15" s="36">
        <f t="shared" si="1"/>
        <v>279.4061375985306</v>
      </c>
      <c r="P15" s="36">
        <f t="shared" si="2"/>
        <v>308.4335257606667</v>
      </c>
      <c r="Q15" s="89"/>
      <c r="R15" s="36"/>
      <c r="S15" s="3"/>
      <c r="T15" s="89"/>
    </row>
    <row r="16" spans="1:20" s="69" customFormat="1" ht="15">
      <c r="A16" s="2">
        <v>9</v>
      </c>
      <c r="B16" s="32" t="s">
        <v>72</v>
      </c>
      <c r="C16" s="127">
        <v>109.2</v>
      </c>
      <c r="D16" s="90">
        <v>209.13</v>
      </c>
      <c r="E16" s="91">
        <f t="shared" si="0"/>
        <v>191.510989010989</v>
      </c>
      <c r="F16" s="90"/>
      <c r="G16" s="90"/>
      <c r="H16" s="91"/>
      <c r="I16" s="90">
        <v>26389</v>
      </c>
      <c r="J16" s="90">
        <v>42791</v>
      </c>
      <c r="K16" s="36">
        <f t="shared" si="4"/>
        <v>162.1546856644814</v>
      </c>
      <c r="L16" s="90"/>
      <c r="M16" s="90"/>
      <c r="N16" s="91"/>
      <c r="O16" s="36">
        <f t="shared" si="1"/>
        <v>413.8087839630149</v>
      </c>
      <c r="P16" s="36">
        <f t="shared" si="2"/>
        <v>488.72426444813163</v>
      </c>
      <c r="Q16" s="91">
        <f t="shared" si="3"/>
        <v>118.10388841137129</v>
      </c>
      <c r="R16" s="36"/>
      <c r="S16" s="36"/>
      <c r="T16" s="36"/>
    </row>
    <row r="17" spans="1:20" ht="15">
      <c r="A17" s="2">
        <v>10</v>
      </c>
      <c r="B17" s="38" t="s">
        <v>61</v>
      </c>
      <c r="C17" s="126">
        <v>133</v>
      </c>
      <c r="D17" s="88">
        <v>163</v>
      </c>
      <c r="E17" s="89">
        <f t="shared" si="0"/>
        <v>122.55639097744361</v>
      </c>
      <c r="F17" s="88"/>
      <c r="G17" s="88"/>
      <c r="H17" s="89"/>
      <c r="I17" s="88">
        <v>34261</v>
      </c>
      <c r="J17" s="88">
        <v>33559</v>
      </c>
      <c r="K17" s="36">
        <f t="shared" si="4"/>
        <v>97.95102302910014</v>
      </c>
      <c r="L17" s="88"/>
      <c r="M17" s="88"/>
      <c r="N17" s="89"/>
      <c r="O17" s="36">
        <f t="shared" si="1"/>
        <v>388.1964916377222</v>
      </c>
      <c r="P17" s="36">
        <f t="shared" si="2"/>
        <v>485.71173157722217</v>
      </c>
      <c r="Q17" s="89">
        <f t="shared" si="3"/>
        <v>125.12007244787375</v>
      </c>
      <c r="R17" s="36"/>
      <c r="S17" s="36"/>
      <c r="T17" s="89"/>
    </row>
    <row r="18" spans="1:20" ht="15">
      <c r="A18" s="2">
        <v>11</v>
      </c>
      <c r="B18" s="38" t="s">
        <v>62</v>
      </c>
      <c r="C18" s="126">
        <v>63.5</v>
      </c>
      <c r="D18" s="88">
        <v>19.1</v>
      </c>
      <c r="E18" s="89">
        <f t="shared" si="0"/>
        <v>30.078740157480315</v>
      </c>
      <c r="F18" s="88"/>
      <c r="G18" s="88"/>
      <c r="H18" s="89"/>
      <c r="I18" s="88">
        <v>11711</v>
      </c>
      <c r="J18" s="88">
        <v>2825</v>
      </c>
      <c r="K18" s="36">
        <f t="shared" si="4"/>
        <v>24.122619759200752</v>
      </c>
      <c r="L18" s="88"/>
      <c r="M18" s="88"/>
      <c r="N18" s="89"/>
      <c r="O18" s="36">
        <f t="shared" si="1"/>
        <v>542.2252583041584</v>
      </c>
      <c r="P18" s="36">
        <f>D18/J18*100000</f>
        <v>676.1061946902656</v>
      </c>
      <c r="Q18" s="89">
        <f t="shared" si="3"/>
        <v>124.69101804752287</v>
      </c>
      <c r="R18" s="36"/>
      <c r="S18" s="36"/>
      <c r="T18" s="89"/>
    </row>
    <row r="19" spans="1:20" ht="15">
      <c r="A19" s="2">
        <v>12</v>
      </c>
      <c r="B19" s="81" t="s">
        <v>63</v>
      </c>
      <c r="C19" s="126"/>
      <c r="D19" s="88"/>
      <c r="E19" s="89"/>
      <c r="F19" s="88">
        <v>6759</v>
      </c>
      <c r="G19" s="88">
        <v>8815</v>
      </c>
      <c r="H19" s="89">
        <f>G19/F19*100</f>
        <v>130.4187009912709</v>
      </c>
      <c r="I19" s="3"/>
      <c r="J19" s="88"/>
      <c r="K19" s="36"/>
      <c r="L19" s="88">
        <v>1772599</v>
      </c>
      <c r="M19" s="88">
        <v>2065544</v>
      </c>
      <c r="N19" s="89">
        <f>M19/L19*100</f>
        <v>116.52629839010402</v>
      </c>
      <c r="O19" s="36"/>
      <c r="P19" s="36"/>
      <c r="Q19" s="89"/>
      <c r="R19" s="36">
        <f aca="true" t="shared" si="5" ref="R19:S21">F19/L19*100000</f>
        <v>381.30451388046595</v>
      </c>
      <c r="S19" s="36">
        <f t="shared" si="5"/>
        <v>426.76408733002063</v>
      </c>
      <c r="T19" s="89">
        <f>S19/R19*100</f>
        <v>111.92211783357111</v>
      </c>
    </row>
    <row r="20" spans="1:20" ht="43.5" customHeight="1">
      <c r="A20" s="145" t="s">
        <v>103</v>
      </c>
      <c r="B20" s="146"/>
      <c r="C20" s="128">
        <f>SUM(C8:C19)</f>
        <v>1629.41</v>
      </c>
      <c r="D20" s="3">
        <f>SUM(D8:D19)</f>
        <v>1614.37</v>
      </c>
      <c r="E20" s="36">
        <f>D20/C20*100</f>
        <v>99.07696650935</v>
      </c>
      <c r="F20" s="36">
        <f>SUM(F11:F19)</f>
        <v>7149.4</v>
      </c>
      <c r="G20" s="3">
        <f>SUM(G11:G19)</f>
        <v>9027.9</v>
      </c>
      <c r="H20" s="36">
        <f>G20/F20*100</f>
        <v>126.27493216213948</v>
      </c>
      <c r="I20" s="3">
        <f>SUM(I8:I19)</f>
        <v>407150</v>
      </c>
      <c r="J20" s="3">
        <f>SUM(J8:J19)</f>
        <v>381582</v>
      </c>
      <c r="K20" s="36">
        <f t="shared" si="4"/>
        <v>93.72025052192066</v>
      </c>
      <c r="L20" s="3">
        <f>SUM(L11:L19)</f>
        <v>1868943</v>
      </c>
      <c r="M20" s="3">
        <f>SUM(M11:M19)</f>
        <v>2135035</v>
      </c>
      <c r="N20" s="36">
        <f>M20/L20*100</f>
        <v>114.23756636772764</v>
      </c>
      <c r="O20" s="36">
        <f aca="true" t="shared" si="6" ref="O20:P23">C20/I20*100000</f>
        <v>400.1989438781776</v>
      </c>
      <c r="P20" s="36">
        <f t="shared" si="6"/>
        <v>423.0728912789387</v>
      </c>
      <c r="Q20" s="36">
        <f>P20/O20*100</f>
        <v>105.7156441191719</v>
      </c>
      <c r="R20" s="36">
        <f t="shared" si="5"/>
        <v>382.5370811201839</v>
      </c>
      <c r="S20" s="36">
        <f t="shared" si="5"/>
        <v>422.84552712250616</v>
      </c>
      <c r="T20" s="36">
        <f>S20/R20*100</f>
        <v>110.53713430454557</v>
      </c>
    </row>
    <row r="21" spans="1:20" ht="15">
      <c r="A21" s="2">
        <v>13</v>
      </c>
      <c r="B21" s="32" t="s">
        <v>82</v>
      </c>
      <c r="C21" s="96"/>
      <c r="D21" s="88"/>
      <c r="E21" s="36"/>
      <c r="F21" s="88">
        <v>15</v>
      </c>
      <c r="G21" s="88">
        <v>34</v>
      </c>
      <c r="H21" s="36"/>
      <c r="I21" s="3"/>
      <c r="J21" s="88"/>
      <c r="K21" s="36"/>
      <c r="L21" s="88">
        <v>18704</v>
      </c>
      <c r="M21" s="88">
        <v>20774</v>
      </c>
      <c r="N21" s="89">
        <f>M21/L21*100</f>
        <v>111.06715141146279</v>
      </c>
      <c r="O21" s="36"/>
      <c r="P21" s="36"/>
      <c r="Q21" s="36"/>
      <c r="R21" s="36">
        <f t="shared" si="5"/>
        <v>80.196749358426</v>
      </c>
      <c r="S21" s="36">
        <f t="shared" si="5"/>
        <v>163.66612111292963</v>
      </c>
      <c r="T21" s="36"/>
    </row>
    <row r="22" spans="1:20" ht="18" customHeight="1">
      <c r="A22" s="147" t="s">
        <v>90</v>
      </c>
      <c r="B22" s="148"/>
      <c r="C22" s="88"/>
      <c r="D22" s="88"/>
      <c r="E22" s="36"/>
      <c r="F22" s="88">
        <f>SUM(F21)</f>
        <v>15</v>
      </c>
      <c r="G22" s="88">
        <f>SUM(G21)</f>
        <v>34</v>
      </c>
      <c r="H22" s="36"/>
      <c r="I22" s="3"/>
      <c r="J22" s="88"/>
      <c r="K22" s="36"/>
      <c r="L22" s="88">
        <f>SUM(L21)</f>
        <v>18704</v>
      </c>
      <c r="M22" s="88">
        <f>SUM(M21)</f>
        <v>20774</v>
      </c>
      <c r="N22" s="89">
        <f>M22/L22*100</f>
        <v>111.06715141146279</v>
      </c>
      <c r="O22" s="36"/>
      <c r="P22" s="36"/>
      <c r="Q22" s="36"/>
      <c r="R22" s="36">
        <f>F22/L22*100000</f>
        <v>80.196749358426</v>
      </c>
      <c r="S22" s="36">
        <f>G22/M22*100000</f>
        <v>163.66612111292963</v>
      </c>
      <c r="T22" s="36"/>
    </row>
    <row r="23" spans="1:20" ht="36.75" customHeight="1">
      <c r="A23" s="143" t="s">
        <v>91</v>
      </c>
      <c r="B23" s="144"/>
      <c r="C23" s="89">
        <f>C20+C22</f>
        <v>1629.41</v>
      </c>
      <c r="D23" s="89">
        <f>D20+D22</f>
        <v>1614.37</v>
      </c>
      <c r="E23" s="36">
        <f>D23/C23*100</f>
        <v>99.07696650935</v>
      </c>
      <c r="F23" s="89">
        <f>F20+F22</f>
        <v>7164.4</v>
      </c>
      <c r="G23" s="89">
        <f>G20+G22</f>
        <v>9061.9</v>
      </c>
      <c r="H23" s="36">
        <f>G23/F23*100</f>
        <v>126.48512087543968</v>
      </c>
      <c r="I23" s="89">
        <f>I20+I22</f>
        <v>407150</v>
      </c>
      <c r="J23" s="89">
        <f>J20+J22</f>
        <v>381582</v>
      </c>
      <c r="K23" s="36">
        <f t="shared" si="4"/>
        <v>93.72025052192066</v>
      </c>
      <c r="L23" s="89">
        <f>L20+L22</f>
        <v>1887647</v>
      </c>
      <c r="M23" s="89">
        <f>M20+M22</f>
        <v>2155809</v>
      </c>
      <c r="N23" s="89"/>
      <c r="O23" s="36">
        <f t="shared" si="6"/>
        <v>400.1989438781776</v>
      </c>
      <c r="P23" s="36">
        <f t="shared" si="6"/>
        <v>423.0728912789387</v>
      </c>
      <c r="Q23" s="36">
        <f>P23/O23*100</f>
        <v>105.7156441191719</v>
      </c>
      <c r="R23" s="36">
        <f>F23/L23*100000</f>
        <v>379.5413019489343</v>
      </c>
      <c r="S23" s="36">
        <f>G23/M23*100000</f>
        <v>420.34799928936195</v>
      </c>
      <c r="T23" s="36">
        <f>S23/R23*100</f>
        <v>110.75158280031351</v>
      </c>
    </row>
  </sheetData>
  <sheetProtection/>
  <mergeCells count="24">
    <mergeCell ref="R6:R7"/>
    <mergeCell ref="O6:O7"/>
    <mergeCell ref="G6:G7"/>
    <mergeCell ref="H5:H7"/>
    <mergeCell ref="J6:J7"/>
    <mergeCell ref="S6:S7"/>
    <mergeCell ref="F6:F7"/>
    <mergeCell ref="I6:I7"/>
    <mergeCell ref="K5:K7"/>
    <mergeCell ref="E5:E7"/>
    <mergeCell ref="Q5:Q7"/>
    <mergeCell ref="N5:N7"/>
    <mergeCell ref="I5:J5"/>
    <mergeCell ref="P6:P7"/>
    <mergeCell ref="C6:C7"/>
    <mergeCell ref="D6:D7"/>
    <mergeCell ref="A23:B23"/>
    <mergeCell ref="T5:T7"/>
    <mergeCell ref="L5:M5"/>
    <mergeCell ref="R5:S5"/>
    <mergeCell ref="L6:L7"/>
    <mergeCell ref="M6:M7"/>
    <mergeCell ref="A20:B20"/>
    <mergeCell ref="A22:B22"/>
  </mergeCells>
  <printOptions/>
  <pageMargins left="0.75" right="0.75" top="1" bottom="1" header="0.5" footer="0.5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75" zoomScaleNormal="50" zoomScaleSheetLayoutView="75" zoomScalePageLayoutView="0" workbookViewId="0" topLeftCell="A1">
      <selection activeCell="M44" sqref="M4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7.375" style="0" customWidth="1"/>
    <col min="8" max="8" width="8.75390625" style="0" customWidth="1"/>
    <col min="9" max="9" width="8.375" style="0" customWidth="1"/>
    <col min="10" max="10" width="9.625" style="0" customWidth="1"/>
    <col min="11" max="11" width="13.75390625" style="0" customWidth="1"/>
    <col min="12" max="12" width="14.375" style="0" customWidth="1"/>
    <col min="13" max="13" width="9.125" style="72" customWidth="1"/>
  </cols>
  <sheetData>
    <row r="1" ht="15.75">
      <c r="C1" s="1" t="s">
        <v>117</v>
      </c>
    </row>
    <row r="2" spans="1:12" ht="15">
      <c r="A2" s="20"/>
      <c r="B2" s="20"/>
      <c r="C2" s="20"/>
      <c r="D2" s="20"/>
      <c r="E2" s="20"/>
      <c r="F2" s="20"/>
      <c r="G2" s="20"/>
      <c r="H2" s="10" t="s">
        <v>54</v>
      </c>
      <c r="I2" s="20"/>
      <c r="J2" s="20"/>
      <c r="K2" s="20"/>
      <c r="L2" s="20"/>
    </row>
    <row r="3" spans="1:13" ht="15" customHeight="1">
      <c r="A3" s="23" t="s">
        <v>2</v>
      </c>
      <c r="B3" s="23" t="s">
        <v>3</v>
      </c>
      <c r="C3" s="25"/>
      <c r="D3" s="25" t="s">
        <v>51</v>
      </c>
      <c r="E3" s="27"/>
      <c r="F3" s="161" t="s">
        <v>10</v>
      </c>
      <c r="G3" s="162"/>
      <c r="H3" s="163"/>
      <c r="I3" s="25" t="s">
        <v>6</v>
      </c>
      <c r="J3" s="21" t="s">
        <v>7</v>
      </c>
      <c r="K3" s="166" t="s">
        <v>68</v>
      </c>
      <c r="L3" s="167"/>
      <c r="M3" s="164"/>
    </row>
    <row r="4" spans="1:13" ht="15" customHeight="1">
      <c r="A4" s="33"/>
      <c r="B4" s="33"/>
      <c r="C4" s="9">
        <v>2011</v>
      </c>
      <c r="D4" s="42">
        <v>2012</v>
      </c>
      <c r="E4" s="19" t="s">
        <v>4</v>
      </c>
      <c r="F4" s="9">
        <v>2011</v>
      </c>
      <c r="G4" s="42">
        <v>2012</v>
      </c>
      <c r="H4" s="19" t="s">
        <v>4</v>
      </c>
      <c r="I4" s="9">
        <v>2011</v>
      </c>
      <c r="J4" s="42">
        <v>2012</v>
      </c>
      <c r="K4" s="168" t="s">
        <v>1</v>
      </c>
      <c r="L4" s="168" t="s">
        <v>69</v>
      </c>
      <c r="M4" s="165"/>
    </row>
    <row r="5" spans="1:13" ht="15">
      <c r="A5" s="29"/>
      <c r="B5" s="29"/>
      <c r="C5" s="28"/>
      <c r="D5" s="35"/>
      <c r="E5" s="11">
        <v>2011</v>
      </c>
      <c r="F5" s="28"/>
      <c r="G5" s="35"/>
      <c r="H5" s="11">
        <v>2011</v>
      </c>
      <c r="I5" s="35"/>
      <c r="J5" s="29"/>
      <c r="K5" s="169"/>
      <c r="L5" s="169"/>
      <c r="M5" s="165"/>
    </row>
    <row r="6" spans="1:13" ht="15">
      <c r="A6" s="3">
        <v>1</v>
      </c>
      <c r="B6" s="22" t="s">
        <v>55</v>
      </c>
      <c r="C6" s="3"/>
      <c r="D6" s="3"/>
      <c r="E6" s="36"/>
      <c r="F6" s="3">
        <v>19</v>
      </c>
      <c r="G6" s="3">
        <v>17</v>
      </c>
      <c r="H6" s="89">
        <f aca="true" t="shared" si="0" ref="H6:H19">G6*100/F6</f>
        <v>89.47368421052632</v>
      </c>
      <c r="I6" s="123">
        <f>F6+(C6*0.2)+('численность 1'!M6*0.3)+'численность 1'!G6+(('численность 1'!C6-'численность 1'!G6)*0.6)</f>
        <v>294.4</v>
      </c>
      <c r="J6" s="123">
        <f>G6+(D6*0.2)+('численность 1'!N6*0.3)+'численность 1'!H6+(('численность 1'!D6-'численность 1'!H6)*0.6)</f>
        <v>236</v>
      </c>
      <c r="K6" s="3">
        <v>5700</v>
      </c>
      <c r="L6" s="3">
        <v>1500</v>
      </c>
      <c r="M6" s="77"/>
    </row>
    <row r="7" spans="1:13" ht="15">
      <c r="A7" s="3">
        <v>2</v>
      </c>
      <c r="B7" s="22" t="s">
        <v>56</v>
      </c>
      <c r="C7" s="3"/>
      <c r="D7" s="3"/>
      <c r="E7" s="36"/>
      <c r="F7" s="3">
        <v>5</v>
      </c>
      <c r="G7" s="3">
        <v>4</v>
      </c>
      <c r="H7" s="89">
        <f t="shared" si="0"/>
        <v>80</v>
      </c>
      <c r="I7" s="123">
        <f>F7+(C7*0.2)+('численность 1'!M7*0.3)+'численность 1'!G7+(('численность 1'!C7-'численность 1'!G7)*0.6)</f>
        <v>177.8</v>
      </c>
      <c r="J7" s="123">
        <f>G7+(D7*0.2)+('численность 1'!N7*0.3)+'численность 1'!H7+(('численность 1'!D7-'численность 1'!H7)*0.6)</f>
        <v>177.39999999999998</v>
      </c>
      <c r="K7" s="3">
        <v>3912</v>
      </c>
      <c r="L7" s="3">
        <v>75</v>
      </c>
      <c r="M7" s="77"/>
    </row>
    <row r="8" spans="1:13" ht="15">
      <c r="A8" s="3">
        <v>3</v>
      </c>
      <c r="B8" s="22" t="s">
        <v>57</v>
      </c>
      <c r="C8" s="3"/>
      <c r="D8" s="3"/>
      <c r="E8" s="36"/>
      <c r="F8" s="3">
        <v>1</v>
      </c>
      <c r="G8" s="3">
        <v>1</v>
      </c>
      <c r="H8" s="89">
        <f t="shared" si="0"/>
        <v>100</v>
      </c>
      <c r="I8" s="123">
        <f>F8+(C8*0.2)+('численность 1'!M8*0.3)+'численность 1'!G8+(('численность 1'!C8-'численность 1'!G8)*0.6)</f>
        <v>100</v>
      </c>
      <c r="J8" s="123">
        <f>G8+(D8*0.2)+('численность 1'!N8*0.3)+'численность 1'!H8+(('численность 1'!D8-'численность 1'!H8)*0.6)</f>
        <v>94</v>
      </c>
      <c r="K8" s="3">
        <v>3310</v>
      </c>
      <c r="L8" s="3">
        <v>900</v>
      </c>
      <c r="M8" s="77"/>
    </row>
    <row r="9" spans="1:13" ht="15">
      <c r="A9" s="3">
        <v>4</v>
      </c>
      <c r="B9" s="22" t="s">
        <v>58</v>
      </c>
      <c r="C9" s="3"/>
      <c r="D9" s="3"/>
      <c r="E9" s="3"/>
      <c r="F9" s="3">
        <v>18</v>
      </c>
      <c r="G9" s="3">
        <v>20</v>
      </c>
      <c r="H9" s="89">
        <f t="shared" si="0"/>
        <v>111.11111111111111</v>
      </c>
      <c r="I9" s="123">
        <f>F9+(C9*0.2)+('численность 1'!M9*0.3)+'численность 1'!G9+(('численность 1'!C9-'численность 1'!G9)*0.6)</f>
        <v>763.4000000000001</v>
      </c>
      <c r="J9" s="123">
        <f>G9+(D9*0.2)+('численность 1'!N9*0.3)+'численность 1'!H9+(('численность 1'!D9-'численность 1'!H9)*0.6)</f>
        <v>778.3</v>
      </c>
      <c r="K9" s="88">
        <v>20530</v>
      </c>
      <c r="L9" s="88">
        <v>8750</v>
      </c>
      <c r="M9" s="77"/>
    </row>
    <row r="10" spans="1:13" ht="15">
      <c r="A10" s="3">
        <v>5</v>
      </c>
      <c r="B10" s="22" t="s">
        <v>59</v>
      </c>
      <c r="C10" s="86">
        <v>168</v>
      </c>
      <c r="D10" s="3">
        <v>115</v>
      </c>
      <c r="E10" s="89">
        <f>D10*100/C10</f>
        <v>68.45238095238095</v>
      </c>
      <c r="F10" s="3">
        <v>18</v>
      </c>
      <c r="G10" s="3">
        <v>14</v>
      </c>
      <c r="H10" s="89">
        <f t="shared" si="0"/>
        <v>77.77777777777777</v>
      </c>
      <c r="I10" s="123">
        <f>F10+(C10*0.2)+('численность 1'!M10*0.3)+'численность 1'!G10+(('численность 1'!C10-'численность 1'!G10)*0.6)</f>
        <v>531.4</v>
      </c>
      <c r="J10" s="123">
        <f>G10+(D10*0.2)+('численность 1'!N10*0.3)+'численность 1'!H10+(('численность 1'!D10-'численность 1'!H10)*0.6)</f>
        <v>351</v>
      </c>
      <c r="K10" s="3">
        <v>4370</v>
      </c>
      <c r="L10" s="3">
        <v>1000</v>
      </c>
      <c r="M10" s="77"/>
    </row>
    <row r="11" spans="1:13" ht="15">
      <c r="A11" s="3">
        <v>6</v>
      </c>
      <c r="B11" s="38" t="s">
        <v>73</v>
      </c>
      <c r="C11" s="88"/>
      <c r="D11" s="88"/>
      <c r="E11" s="89"/>
      <c r="F11" s="3">
        <v>9</v>
      </c>
      <c r="G11" s="3">
        <v>9</v>
      </c>
      <c r="H11" s="89">
        <f t="shared" si="0"/>
        <v>100</v>
      </c>
      <c r="I11" s="123">
        <f>F11+(C11*0.2)+('численность 1'!M11*0.3)+'численность 1'!G11+(('численность 1'!C11-'численность 1'!G11)*0.6)</f>
        <v>209.2</v>
      </c>
      <c r="J11" s="123">
        <f>G11+(D11*0.2)+('численность 1'!N11*0.3)+'численность 1'!H11+(('численность 1'!D11-'численность 1'!H11)*0.6)</f>
        <v>191.8</v>
      </c>
      <c r="K11" s="88">
        <v>10520</v>
      </c>
      <c r="L11" s="88">
        <v>2400</v>
      </c>
      <c r="M11" s="77"/>
    </row>
    <row r="12" spans="1:13" ht="15">
      <c r="A12" s="3">
        <v>7</v>
      </c>
      <c r="B12" s="22" t="s">
        <v>60</v>
      </c>
      <c r="C12" s="88"/>
      <c r="D12" s="88"/>
      <c r="E12" s="89"/>
      <c r="F12" s="88">
        <v>3</v>
      </c>
      <c r="G12" s="88"/>
      <c r="H12" s="89">
        <f t="shared" si="0"/>
        <v>0</v>
      </c>
      <c r="I12" s="123">
        <f>F12+(C12*0.2)+('численность 1'!M12*0.3)+'численность 1'!G12+(('численность 1'!C12-'численность 1'!G12)*0.6)</f>
        <v>63</v>
      </c>
      <c r="J12" s="123">
        <f>G12+(D12*0.2)+('численность 1'!N12*0.3)+'численность 1'!H12+(('численность 1'!D12-'численность 1'!H12)*0.6)</f>
        <v>0</v>
      </c>
      <c r="K12" s="88"/>
      <c r="L12" s="88"/>
      <c r="M12" s="77"/>
    </row>
    <row r="13" spans="1:13" ht="15">
      <c r="A13" s="3">
        <v>8</v>
      </c>
      <c r="B13" s="32" t="s">
        <v>87</v>
      </c>
      <c r="C13" s="88"/>
      <c r="D13" s="88"/>
      <c r="E13" s="89"/>
      <c r="F13" s="88"/>
      <c r="G13" s="88">
        <v>3</v>
      </c>
      <c r="H13" s="89"/>
      <c r="I13" s="123">
        <f>F13+(C13*0.2)+('численность 1'!M13*0.3)+'численность 1'!G13+(('численность 1'!C13-'численность 1'!G13)*0.6)</f>
        <v>89.6</v>
      </c>
      <c r="J13" s="123">
        <f>G13+(D13*0.2)+('численность 1'!N13*0.3)+'численность 1'!H13+(('численность 1'!D13-'численность 1'!H13)*0.6)</f>
        <v>173</v>
      </c>
      <c r="K13" s="88">
        <v>1630</v>
      </c>
      <c r="L13" s="120">
        <v>589</v>
      </c>
      <c r="M13" s="77"/>
    </row>
    <row r="14" spans="1:13" ht="15">
      <c r="A14" s="3">
        <v>9</v>
      </c>
      <c r="B14" s="32" t="s">
        <v>72</v>
      </c>
      <c r="C14" s="88">
        <v>134</v>
      </c>
      <c r="D14" s="88">
        <v>191</v>
      </c>
      <c r="E14" s="89">
        <f>D14*100/C14</f>
        <v>142.53731343283582</v>
      </c>
      <c r="F14" s="3">
        <v>6</v>
      </c>
      <c r="G14" s="3">
        <v>3</v>
      </c>
      <c r="H14" s="89">
        <f t="shared" si="0"/>
        <v>50</v>
      </c>
      <c r="I14" s="123">
        <f>F14+(C14*0.2)+('численность 1'!M14*0.3)+'численность 1'!G14+(('численность 1'!C14-'численность 1'!G14)*0.6)</f>
        <v>205</v>
      </c>
      <c r="J14" s="123">
        <f>G14+(D14*0.2)+('численность 1'!N14*0.3)+'численность 1'!H14+(('численность 1'!D14-'численность 1'!H14)*0.6)</f>
        <v>223.6</v>
      </c>
      <c r="K14" s="88">
        <v>5738</v>
      </c>
      <c r="L14" s="88">
        <v>2400</v>
      </c>
      <c r="M14" s="77"/>
    </row>
    <row r="15" spans="1:13" ht="15">
      <c r="A15" s="3">
        <v>10</v>
      </c>
      <c r="B15" s="22" t="s">
        <v>61</v>
      </c>
      <c r="C15" s="88"/>
      <c r="D15" s="88"/>
      <c r="E15" s="89"/>
      <c r="F15" s="3">
        <v>5</v>
      </c>
      <c r="G15" s="3">
        <v>4</v>
      </c>
      <c r="H15" s="89">
        <f t="shared" si="0"/>
        <v>80</v>
      </c>
      <c r="I15" s="123">
        <f>F15+(C15*0.2)+('численность 1'!M15*0.3)+'численность 1'!G15+(('численность 1'!C15-'численность 1'!G15)*0.6)</f>
        <v>190.2</v>
      </c>
      <c r="J15" s="123">
        <f>G15+(D15*0.2)+('численность 1'!N15*0.3)+'численность 1'!H15+(('численность 1'!D15-'численность 1'!H15)*0.6)</f>
        <v>188.6</v>
      </c>
      <c r="K15" s="88">
        <v>6108</v>
      </c>
      <c r="L15" s="88">
        <v>1470</v>
      </c>
      <c r="M15" s="77"/>
    </row>
    <row r="16" spans="1:13" ht="15">
      <c r="A16" s="3">
        <v>11</v>
      </c>
      <c r="B16" s="22" t="s">
        <v>62</v>
      </c>
      <c r="C16" s="88"/>
      <c r="D16" s="88"/>
      <c r="E16" s="89"/>
      <c r="F16" s="3">
        <v>1</v>
      </c>
      <c r="G16" s="3">
        <v>1</v>
      </c>
      <c r="H16" s="89">
        <f t="shared" si="0"/>
        <v>100</v>
      </c>
      <c r="I16" s="123">
        <f>F16+(C16*0.2)+('численность 1'!M16*0.3)+'численность 1'!G16+(('численность 1'!C16-'численность 1'!G16)*0.6)</f>
        <v>51.4</v>
      </c>
      <c r="J16" s="123">
        <f>G16+(D16*0.2)+('численность 1'!N16*0.3)+'численность 1'!H16+(('численность 1'!D16-'численность 1'!H16)*0.6)</f>
        <v>42.2</v>
      </c>
      <c r="K16" s="88">
        <v>2331</v>
      </c>
      <c r="L16" s="88">
        <v>500</v>
      </c>
      <c r="M16" s="77"/>
    </row>
    <row r="17" spans="1:13" ht="15">
      <c r="A17" s="3">
        <v>12</v>
      </c>
      <c r="B17" s="22" t="s">
        <v>63</v>
      </c>
      <c r="C17" s="88"/>
      <c r="D17" s="88"/>
      <c r="E17" s="89"/>
      <c r="F17" s="3">
        <v>1</v>
      </c>
      <c r="G17" s="3">
        <v>1</v>
      </c>
      <c r="H17" s="89">
        <f t="shared" si="0"/>
        <v>100</v>
      </c>
      <c r="I17" s="123">
        <f>F17+(C17*0.2)+('численность 1'!M17*0.3)+'численность 1'!G17+(('численность 1'!C17-'численность 1'!G17)*0.6)</f>
        <v>2788</v>
      </c>
      <c r="J17" s="123">
        <f>G17+(D17*0.2)+('численность 1'!N17*0.3)+'численность 1'!H17+(('численность 1'!D17-'численность 1'!H17)*0.6)</f>
        <v>3013.2999999999997</v>
      </c>
      <c r="K17" s="88">
        <v>14474</v>
      </c>
      <c r="L17" s="88">
        <v>14474</v>
      </c>
      <c r="M17" s="77"/>
    </row>
    <row r="18" spans="1:13" ht="15">
      <c r="A18" s="3">
        <v>13</v>
      </c>
      <c r="B18" s="32" t="s">
        <v>71</v>
      </c>
      <c r="C18" s="88"/>
      <c r="D18" s="88"/>
      <c r="E18" s="89"/>
      <c r="F18" s="3">
        <v>139</v>
      </c>
      <c r="G18" s="3">
        <v>169</v>
      </c>
      <c r="H18" s="89">
        <f t="shared" si="0"/>
        <v>121.58273381294964</v>
      </c>
      <c r="I18" s="123">
        <f>F18+(C18*0.2)+('численность 1'!M18*0.3)+'численность 1'!G18+(('численность 1'!C18-'численность 1'!G18)*0.6)</f>
        <v>139</v>
      </c>
      <c r="J18" s="123">
        <f>G18+(D18*0.2)+('численность 1'!N18*0.3)+'численность 1'!H18+(('численность 1'!D18-'численность 1'!H18)*0.6)</f>
        <v>169</v>
      </c>
      <c r="K18" s="88">
        <v>4040</v>
      </c>
      <c r="L18" s="88"/>
      <c r="M18" s="77"/>
    </row>
    <row r="19" spans="1:13" ht="60" customHeight="1">
      <c r="A19" s="157" t="s">
        <v>103</v>
      </c>
      <c r="B19" s="158"/>
      <c r="C19" s="88">
        <f>SUM(C10:C18)</f>
        <v>302</v>
      </c>
      <c r="D19" s="88">
        <f>SUM(D10:D18)</f>
        <v>306</v>
      </c>
      <c r="E19" s="89">
        <f>D19*100/C19</f>
        <v>101.32450331125828</v>
      </c>
      <c r="F19" s="3">
        <f>SUM(F6:F18)</f>
        <v>225</v>
      </c>
      <c r="G19" s="3">
        <f>SUM(G6:G18)</f>
        <v>246</v>
      </c>
      <c r="H19" s="89">
        <f t="shared" si="0"/>
        <v>109.33333333333333</v>
      </c>
      <c r="I19" s="123">
        <f>SUM(I6:I18)</f>
        <v>5602.4</v>
      </c>
      <c r="J19" s="123">
        <f>SUM(J6:J18)</f>
        <v>5638.199999999999</v>
      </c>
      <c r="K19" s="88">
        <f>SUM(K6:K18)</f>
        <v>82663</v>
      </c>
      <c r="L19" s="88">
        <f>SUM(L6:L18)</f>
        <v>34058</v>
      </c>
      <c r="M19" s="77"/>
    </row>
    <row r="20" spans="1:13" ht="15">
      <c r="A20" s="3">
        <v>1</v>
      </c>
      <c r="B20" s="32" t="s">
        <v>82</v>
      </c>
      <c r="C20" s="88"/>
      <c r="D20" s="88"/>
      <c r="E20" s="89"/>
      <c r="F20" s="3"/>
      <c r="G20" s="3"/>
      <c r="H20" s="89"/>
      <c r="I20" s="123">
        <f>F20+(C20*0.2)+('численность 1'!M20*0.3)+'численность 1'!G20+(('численность 1'!C20-'численность 1'!G20)*0.6)</f>
        <v>28.5</v>
      </c>
      <c r="J20" s="123">
        <f>G20+(D20*0.2)+('численность 1'!N20*0.3)+'численность 1'!H20+(('численность 1'!D20-'численность 1'!H20)*0.6)</f>
        <v>23.7</v>
      </c>
      <c r="K20" s="120"/>
      <c r="L20" s="88"/>
      <c r="M20" s="77"/>
    </row>
    <row r="21" spans="1:13" ht="18">
      <c r="A21" s="3">
        <v>2</v>
      </c>
      <c r="B21" s="67" t="s">
        <v>120</v>
      </c>
      <c r="C21" s="88"/>
      <c r="D21" s="88">
        <v>4</v>
      </c>
      <c r="E21" s="89"/>
      <c r="F21" s="3"/>
      <c r="G21" s="3"/>
      <c r="H21" s="89"/>
      <c r="I21" s="123">
        <f>F21+(C21*0.2)+('численность 1'!M21*0.3)+'численность 1'!G21+(('численность 1'!C21-'численность 1'!G21)*0.6)</f>
        <v>0</v>
      </c>
      <c r="J21" s="123">
        <f>G21+(D21*0.2)+('численность 1'!N21*0.3)+'численность 1'!H21+(('численность 1'!D21-'численность 1'!H21)*0.6)</f>
        <v>16.400000000000002</v>
      </c>
      <c r="K21" s="120">
        <v>322</v>
      </c>
      <c r="L21" s="88">
        <v>80</v>
      </c>
      <c r="M21" s="77"/>
    </row>
    <row r="22" spans="1:13" ht="15">
      <c r="A22" s="3">
        <v>3</v>
      </c>
      <c r="B22" s="32" t="s">
        <v>88</v>
      </c>
      <c r="C22" s="3"/>
      <c r="D22" s="3">
        <v>68</v>
      </c>
      <c r="E22" s="36"/>
      <c r="F22" s="3"/>
      <c r="G22" s="3">
        <v>8</v>
      </c>
      <c r="H22" s="89"/>
      <c r="I22" s="123">
        <f>F22+(C22*0.2)+('численность 1'!M22*0.3)+'численность 1'!G22+(('численность 1'!C22-'численность 1'!G22)*0.6)</f>
        <v>0</v>
      </c>
      <c r="J22" s="123">
        <f>G22+(D22*0.2)+('численность 1'!N22*0.3)+'численность 1'!H22+(('численность 1'!D22-'численность 1'!H22)*0.6)</f>
        <v>21.6</v>
      </c>
      <c r="K22" s="3">
        <v>230</v>
      </c>
      <c r="L22" s="3">
        <v>15</v>
      </c>
      <c r="M22" s="77"/>
    </row>
    <row r="23" spans="1:12" ht="25.5" customHeight="1">
      <c r="A23" s="157" t="s">
        <v>90</v>
      </c>
      <c r="B23" s="158"/>
      <c r="C23" s="88">
        <f>SUM(C22)</f>
        <v>0</v>
      </c>
      <c r="D23" s="88">
        <f>SUM(D20:D22)</f>
        <v>72</v>
      </c>
      <c r="E23" s="36"/>
      <c r="F23" s="88">
        <f>SUM(F20:F22)</f>
        <v>0</v>
      </c>
      <c r="G23" s="88">
        <f>SUM(G20:G22)</f>
        <v>8</v>
      </c>
      <c r="H23" s="89"/>
      <c r="I23" s="123">
        <f>SUM(I20:I22)</f>
        <v>28.5</v>
      </c>
      <c r="J23" s="123">
        <f>SUM(J20:J22)</f>
        <v>61.7</v>
      </c>
      <c r="K23" s="88">
        <f>SUM(K20:K22)</f>
        <v>552</v>
      </c>
      <c r="L23" s="88">
        <f>SUM(L20:L22)</f>
        <v>95</v>
      </c>
    </row>
    <row r="24" spans="1:12" ht="41.25" customHeight="1">
      <c r="A24" s="159" t="s">
        <v>91</v>
      </c>
      <c r="B24" s="160"/>
      <c r="C24" s="88">
        <f>C19+C23</f>
        <v>302</v>
      </c>
      <c r="D24" s="88">
        <f>D19+D23</f>
        <v>378</v>
      </c>
      <c r="E24" s="36">
        <f>D24/C24*100</f>
        <v>125.16556291390728</v>
      </c>
      <c r="F24" s="88">
        <f>F19+F23</f>
        <v>225</v>
      </c>
      <c r="G24" s="88">
        <f>G19+G23</f>
        <v>254</v>
      </c>
      <c r="H24" s="89">
        <f>G24*100/F24</f>
        <v>112.88888888888889</v>
      </c>
      <c r="I24" s="120">
        <f>I19+I23</f>
        <v>5630.9</v>
      </c>
      <c r="J24" s="120">
        <f>J19+J23</f>
        <v>5699.899999999999</v>
      </c>
      <c r="K24" s="88">
        <f>K19+K23</f>
        <v>83215</v>
      </c>
      <c r="L24" s="88">
        <f>L19+L23</f>
        <v>34153</v>
      </c>
    </row>
  </sheetData>
  <sheetProtection/>
  <mergeCells count="8">
    <mergeCell ref="A23:B23"/>
    <mergeCell ref="A24:B24"/>
    <mergeCell ref="F3:H3"/>
    <mergeCell ref="M3:M5"/>
    <mergeCell ref="K3:L3"/>
    <mergeCell ref="K4:K5"/>
    <mergeCell ref="L4:L5"/>
    <mergeCell ref="A19:B19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view="pageBreakPreview" zoomScale="60" zoomScaleNormal="50" zoomScalePageLayoutView="0" workbookViewId="0" topLeftCell="A1">
      <selection activeCell="X19" sqref="X19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7" t="s">
        <v>116</v>
      </c>
      <c r="F1" s="47"/>
      <c r="G1" s="47"/>
      <c r="H1" s="46"/>
      <c r="I1" s="46"/>
      <c r="J1" s="46"/>
      <c r="K1" s="46"/>
      <c r="L1" s="46"/>
      <c r="M1" s="46"/>
      <c r="N1" s="46"/>
      <c r="O1" s="46"/>
      <c r="P1" s="14"/>
      <c r="Q1" s="43"/>
      <c r="R1" s="1"/>
    </row>
    <row r="2" spans="5:17" ht="20.25">
      <c r="E2" s="46"/>
      <c r="F2" s="46"/>
      <c r="G2" s="46"/>
      <c r="H2" s="48" t="s">
        <v>53</v>
      </c>
      <c r="I2" s="48"/>
      <c r="J2" s="48"/>
      <c r="K2" s="48"/>
      <c r="L2" s="48"/>
      <c r="M2" s="48"/>
      <c r="N2" s="46"/>
      <c r="O2" s="46"/>
      <c r="P2" s="14"/>
      <c r="Q2" s="14"/>
    </row>
    <row r="3" spans="1:21" s="20" customFormat="1" ht="44.25" customHeight="1">
      <c r="A3" s="23" t="s">
        <v>2</v>
      </c>
      <c r="B3" s="149" t="s">
        <v>3</v>
      </c>
      <c r="C3" s="136" t="s">
        <v>75</v>
      </c>
      <c r="D3" s="170"/>
      <c r="E3" s="171"/>
      <c r="F3" s="151" t="s">
        <v>74</v>
      </c>
      <c r="G3" s="136" t="s">
        <v>8</v>
      </c>
      <c r="H3" s="170"/>
      <c r="I3" s="171"/>
      <c r="J3" s="172" t="s">
        <v>67</v>
      </c>
      <c r="K3" s="173"/>
      <c r="L3" s="174"/>
      <c r="M3" s="136" t="s">
        <v>9</v>
      </c>
      <c r="N3" s="170"/>
      <c r="O3" s="170"/>
      <c r="P3" s="170"/>
      <c r="Q3" s="170"/>
      <c r="R3" s="170"/>
      <c r="S3" s="170"/>
      <c r="T3" s="170"/>
      <c r="U3" s="171"/>
    </row>
    <row r="4" spans="1:21" s="20" customFormat="1" ht="23.25" customHeight="1">
      <c r="A4" s="33"/>
      <c r="B4" s="177"/>
      <c r="C4" s="149">
        <v>2011</v>
      </c>
      <c r="D4" s="149">
        <v>2012</v>
      </c>
      <c r="E4" s="100" t="s">
        <v>4</v>
      </c>
      <c r="F4" s="152"/>
      <c r="G4" s="149">
        <v>2011</v>
      </c>
      <c r="H4" s="149">
        <v>2012</v>
      </c>
      <c r="I4" s="100" t="s">
        <v>4</v>
      </c>
      <c r="J4" s="149">
        <v>2011</v>
      </c>
      <c r="K4" s="149">
        <v>2012</v>
      </c>
      <c r="L4" s="100" t="s">
        <v>4</v>
      </c>
      <c r="M4" s="149">
        <v>2011</v>
      </c>
      <c r="N4" s="149">
        <v>2012</v>
      </c>
      <c r="O4" s="100" t="s">
        <v>4</v>
      </c>
      <c r="P4" s="97" t="s">
        <v>5</v>
      </c>
      <c r="Q4" s="101" t="s">
        <v>66</v>
      </c>
      <c r="R4" s="151" t="s">
        <v>102</v>
      </c>
      <c r="S4" s="97" t="s">
        <v>50</v>
      </c>
      <c r="T4" s="102"/>
      <c r="U4" s="151" t="s">
        <v>102</v>
      </c>
    </row>
    <row r="5" spans="1:21" s="20" customFormat="1" ht="23.25" customHeight="1">
      <c r="A5" s="29"/>
      <c r="B5" s="150"/>
      <c r="C5" s="175"/>
      <c r="D5" s="175"/>
      <c r="E5" s="103">
        <v>2011</v>
      </c>
      <c r="F5" s="153"/>
      <c r="G5" s="175"/>
      <c r="H5" s="175"/>
      <c r="I5" s="103">
        <v>2011</v>
      </c>
      <c r="J5" s="175"/>
      <c r="K5" s="175"/>
      <c r="L5" s="103">
        <v>2011</v>
      </c>
      <c r="M5" s="175"/>
      <c r="N5" s="175"/>
      <c r="O5" s="103">
        <v>2011</v>
      </c>
      <c r="P5" s="98">
        <v>2011</v>
      </c>
      <c r="Q5" s="98">
        <v>2012</v>
      </c>
      <c r="R5" s="176"/>
      <c r="S5" s="98">
        <v>2011</v>
      </c>
      <c r="T5" s="98">
        <v>2012</v>
      </c>
      <c r="U5" s="176"/>
    </row>
    <row r="6" spans="1:34" s="20" customFormat="1" ht="24.75" customHeight="1">
      <c r="A6" s="3">
        <v>1</v>
      </c>
      <c r="B6" s="22" t="s">
        <v>55</v>
      </c>
      <c r="C6" s="3">
        <v>339</v>
      </c>
      <c r="D6" s="3">
        <v>245</v>
      </c>
      <c r="E6" s="36">
        <f aca="true" t="shared" si="0" ref="E6:E16">D6*100/C6</f>
        <v>72.27138643067846</v>
      </c>
      <c r="F6" s="3"/>
      <c r="G6" s="3">
        <v>180</v>
      </c>
      <c r="H6" s="3">
        <v>180</v>
      </c>
      <c r="I6" s="36">
        <f aca="true" t="shared" si="1" ref="I6:I16">H6*100/G6</f>
        <v>100</v>
      </c>
      <c r="J6" s="3">
        <v>180</v>
      </c>
      <c r="K6" s="3">
        <v>180</v>
      </c>
      <c r="L6" s="36">
        <f aca="true" t="shared" si="2" ref="L6:L24">K6*100/J6</f>
        <v>100</v>
      </c>
      <c r="M6" s="66"/>
      <c r="N6" s="3"/>
      <c r="O6" s="36"/>
      <c r="P6" s="66"/>
      <c r="Q6" s="3"/>
      <c r="R6" s="36"/>
      <c r="S6" s="110"/>
      <c r="T6" s="36"/>
      <c r="U6" s="36"/>
      <c r="AH6" s="86"/>
    </row>
    <row r="7" spans="1:34" s="20" customFormat="1" ht="24.75" customHeight="1">
      <c r="A7" s="3">
        <v>2</v>
      </c>
      <c r="B7" s="22" t="s">
        <v>56</v>
      </c>
      <c r="C7" s="3">
        <v>218</v>
      </c>
      <c r="D7" s="3">
        <v>219</v>
      </c>
      <c r="E7" s="36">
        <f t="shared" si="0"/>
        <v>100.45871559633028</v>
      </c>
      <c r="F7" s="3">
        <v>10</v>
      </c>
      <c r="G7" s="3">
        <v>105</v>
      </c>
      <c r="H7" s="3">
        <v>105</v>
      </c>
      <c r="I7" s="36">
        <f t="shared" si="1"/>
        <v>100</v>
      </c>
      <c r="J7" s="3">
        <v>105</v>
      </c>
      <c r="K7" s="3">
        <v>105</v>
      </c>
      <c r="L7" s="36">
        <f t="shared" si="2"/>
        <v>100</v>
      </c>
      <c r="M7" s="66"/>
      <c r="N7" s="3"/>
      <c r="O7" s="36"/>
      <c r="P7" s="66"/>
      <c r="Q7" s="3"/>
      <c r="R7" s="36"/>
      <c r="S7" s="110"/>
      <c r="T7" s="36"/>
      <c r="U7" s="36"/>
      <c r="AH7" s="86"/>
    </row>
    <row r="8" spans="1:34" s="20" customFormat="1" ht="24.75" customHeight="1">
      <c r="A8" s="3">
        <v>3</v>
      </c>
      <c r="B8" s="22" t="s">
        <v>57</v>
      </c>
      <c r="C8" s="3">
        <v>125</v>
      </c>
      <c r="D8" s="3">
        <v>115</v>
      </c>
      <c r="E8" s="36">
        <f t="shared" si="0"/>
        <v>92</v>
      </c>
      <c r="F8" s="88">
        <v>2</v>
      </c>
      <c r="G8" s="3">
        <v>60</v>
      </c>
      <c r="H8" s="3">
        <v>60</v>
      </c>
      <c r="I8" s="36">
        <f t="shared" si="1"/>
        <v>100</v>
      </c>
      <c r="J8" s="3">
        <v>60</v>
      </c>
      <c r="K8" s="3">
        <v>60</v>
      </c>
      <c r="L8" s="36">
        <f t="shared" si="2"/>
        <v>100</v>
      </c>
      <c r="M8" s="66"/>
      <c r="N8" s="3"/>
      <c r="O8" s="99"/>
      <c r="P8" s="66"/>
      <c r="Q8" s="3"/>
      <c r="R8" s="36"/>
      <c r="S8" s="110"/>
      <c r="T8" s="36"/>
      <c r="U8" s="36"/>
      <c r="AH8" s="86"/>
    </row>
    <row r="9" spans="1:34" s="20" customFormat="1" ht="24.75" customHeight="1">
      <c r="A9" s="3">
        <v>4</v>
      </c>
      <c r="B9" s="22" t="s">
        <v>58</v>
      </c>
      <c r="C9" s="3">
        <v>806</v>
      </c>
      <c r="D9" s="3">
        <v>840</v>
      </c>
      <c r="E9" s="36">
        <f t="shared" si="0"/>
        <v>104.21836228287842</v>
      </c>
      <c r="F9" s="3">
        <v>32</v>
      </c>
      <c r="G9" s="3">
        <v>308</v>
      </c>
      <c r="H9" s="3">
        <v>308</v>
      </c>
      <c r="I9" s="36">
        <f t="shared" si="1"/>
        <v>100</v>
      </c>
      <c r="J9" s="3">
        <v>308</v>
      </c>
      <c r="K9" s="3">
        <v>308</v>
      </c>
      <c r="L9" s="36">
        <f t="shared" si="2"/>
        <v>100</v>
      </c>
      <c r="M9" s="3">
        <v>462</v>
      </c>
      <c r="N9" s="3">
        <v>437</v>
      </c>
      <c r="O9" s="36">
        <f>N9*100/M9</f>
        <v>94.58874458874459</v>
      </c>
      <c r="P9" s="3">
        <v>20</v>
      </c>
      <c r="Q9" s="3">
        <v>28</v>
      </c>
      <c r="R9" s="36">
        <f>Q9*100/P9</f>
        <v>140</v>
      </c>
      <c r="S9" s="3">
        <v>24</v>
      </c>
      <c r="T9" s="3">
        <v>28</v>
      </c>
      <c r="U9" s="36">
        <f>T9*100/S9</f>
        <v>116.66666666666667</v>
      </c>
      <c r="AH9" s="86"/>
    </row>
    <row r="10" spans="1:34" s="20" customFormat="1" ht="24.75" customHeight="1">
      <c r="A10" s="3">
        <v>5</v>
      </c>
      <c r="B10" s="22" t="s">
        <v>59</v>
      </c>
      <c r="C10" s="3">
        <v>426</v>
      </c>
      <c r="D10" s="3">
        <v>307</v>
      </c>
      <c r="E10" s="36">
        <f t="shared" si="0"/>
        <v>72.06572769953051</v>
      </c>
      <c r="F10" s="120"/>
      <c r="G10" s="3">
        <v>280</v>
      </c>
      <c r="H10" s="3">
        <v>200</v>
      </c>
      <c r="I10" s="36">
        <f t="shared" si="1"/>
        <v>71.42857142857143</v>
      </c>
      <c r="J10" s="3">
        <v>280</v>
      </c>
      <c r="K10" s="3">
        <v>225</v>
      </c>
      <c r="L10" s="36">
        <f t="shared" si="2"/>
        <v>80.35714285714286</v>
      </c>
      <c r="M10" s="3">
        <v>374</v>
      </c>
      <c r="N10" s="3">
        <v>166</v>
      </c>
      <c r="O10" s="36">
        <f>N10*100/M10</f>
        <v>44.38502673796791</v>
      </c>
      <c r="P10" s="3">
        <v>80</v>
      </c>
      <c r="Q10" s="3">
        <v>57</v>
      </c>
      <c r="R10" s="36">
        <f>Q10*100/P10</f>
        <v>71.25</v>
      </c>
      <c r="S10" s="3">
        <v>8</v>
      </c>
      <c r="T10" s="3">
        <v>2</v>
      </c>
      <c r="U10" s="36">
        <f>T10*100/S10</f>
        <v>25</v>
      </c>
      <c r="AH10" s="86"/>
    </row>
    <row r="11" spans="1:34" s="20" customFormat="1" ht="24.75" customHeight="1">
      <c r="A11" s="3">
        <v>6</v>
      </c>
      <c r="B11" s="38" t="s">
        <v>73</v>
      </c>
      <c r="C11" s="3">
        <v>277</v>
      </c>
      <c r="D11" s="3">
        <v>248</v>
      </c>
      <c r="E11" s="36">
        <f t="shared" si="0"/>
        <v>89.53068592057761</v>
      </c>
      <c r="F11" s="120">
        <v>26</v>
      </c>
      <c r="G11" s="3">
        <v>85</v>
      </c>
      <c r="H11" s="3">
        <v>85</v>
      </c>
      <c r="I11" s="36">
        <f t="shared" si="1"/>
        <v>100</v>
      </c>
      <c r="J11" s="3">
        <v>85</v>
      </c>
      <c r="K11" s="3">
        <v>85</v>
      </c>
      <c r="L11" s="36">
        <f t="shared" si="2"/>
        <v>100</v>
      </c>
      <c r="M11" s="3"/>
      <c r="N11" s="3"/>
      <c r="O11" s="36"/>
      <c r="P11" s="3"/>
      <c r="Q11" s="3"/>
      <c r="R11" s="36"/>
      <c r="S11" s="3"/>
      <c r="T11" s="3"/>
      <c r="U11" s="36"/>
      <c r="AH11" s="86"/>
    </row>
    <row r="12" spans="1:34" s="20" customFormat="1" ht="24.75" customHeight="1">
      <c r="A12" s="3">
        <v>7</v>
      </c>
      <c r="B12" s="22" t="s">
        <v>60</v>
      </c>
      <c r="C12" s="3">
        <v>60</v>
      </c>
      <c r="D12" s="3"/>
      <c r="E12" s="36">
        <f t="shared" si="0"/>
        <v>0</v>
      </c>
      <c r="F12" s="3"/>
      <c r="G12" s="3">
        <v>60</v>
      </c>
      <c r="H12" s="3"/>
      <c r="I12" s="36">
        <f t="shared" si="1"/>
        <v>0</v>
      </c>
      <c r="J12" s="3">
        <v>60</v>
      </c>
      <c r="K12" s="3"/>
      <c r="L12" s="36">
        <f t="shared" si="2"/>
        <v>0</v>
      </c>
      <c r="M12" s="3"/>
      <c r="N12" s="3"/>
      <c r="O12" s="36"/>
      <c r="P12" s="3"/>
      <c r="Q12" s="3"/>
      <c r="R12" s="36"/>
      <c r="S12" s="3"/>
      <c r="T12" s="3"/>
      <c r="U12" s="36"/>
      <c r="AH12" s="86"/>
    </row>
    <row r="13" spans="1:34" s="20" customFormat="1" ht="24.75" customHeight="1">
      <c r="A13" s="3">
        <v>8</v>
      </c>
      <c r="B13" s="32" t="s">
        <v>87</v>
      </c>
      <c r="C13" s="3">
        <v>146</v>
      </c>
      <c r="D13" s="3">
        <v>240</v>
      </c>
      <c r="E13" s="36">
        <f t="shared" si="0"/>
        <v>164.3835616438356</v>
      </c>
      <c r="F13" s="3">
        <v>15</v>
      </c>
      <c r="G13" s="3">
        <v>5</v>
      </c>
      <c r="H13" s="3">
        <v>65</v>
      </c>
      <c r="I13" s="36">
        <f t="shared" si="1"/>
        <v>1300</v>
      </c>
      <c r="J13" s="3"/>
      <c r="K13" s="3">
        <v>65</v>
      </c>
      <c r="L13" s="36"/>
      <c r="M13" s="3"/>
      <c r="N13" s="3"/>
      <c r="O13" s="36"/>
      <c r="P13" s="3"/>
      <c r="Q13" s="3"/>
      <c r="R13" s="36"/>
      <c r="S13" s="3"/>
      <c r="T13" s="3"/>
      <c r="U13" s="36"/>
      <c r="AH13" s="86"/>
    </row>
    <row r="14" spans="1:34" s="20" customFormat="1" ht="24.75" customHeight="1">
      <c r="A14" s="3">
        <v>9</v>
      </c>
      <c r="B14" s="32" t="s">
        <v>72</v>
      </c>
      <c r="C14" s="3">
        <v>235</v>
      </c>
      <c r="D14" s="3">
        <v>252</v>
      </c>
      <c r="E14" s="36">
        <f t="shared" si="0"/>
        <v>107.23404255319149</v>
      </c>
      <c r="F14" s="3">
        <v>22</v>
      </c>
      <c r="G14" s="3">
        <v>78</v>
      </c>
      <c r="H14" s="3">
        <v>78</v>
      </c>
      <c r="I14" s="36">
        <f t="shared" si="1"/>
        <v>100</v>
      </c>
      <c r="J14" s="3">
        <v>78</v>
      </c>
      <c r="K14" s="3">
        <v>78</v>
      </c>
      <c r="L14" s="36">
        <f t="shared" si="2"/>
        <v>100</v>
      </c>
      <c r="M14" s="3"/>
      <c r="N14" s="3"/>
      <c r="O14" s="36"/>
      <c r="P14" s="3"/>
      <c r="Q14" s="3"/>
      <c r="R14" s="36"/>
      <c r="S14" s="3"/>
      <c r="T14" s="3"/>
      <c r="U14" s="36"/>
      <c r="AH14" s="86"/>
    </row>
    <row r="15" spans="1:34" s="20" customFormat="1" ht="24.75" customHeight="1">
      <c r="A15" s="3">
        <v>10</v>
      </c>
      <c r="B15" s="22" t="s">
        <v>61</v>
      </c>
      <c r="C15" s="3">
        <v>242</v>
      </c>
      <c r="D15" s="3">
        <v>241</v>
      </c>
      <c r="E15" s="36">
        <f t="shared" si="0"/>
        <v>99.58677685950413</v>
      </c>
      <c r="F15" s="3">
        <v>16</v>
      </c>
      <c r="G15" s="3">
        <v>100</v>
      </c>
      <c r="H15" s="3">
        <v>100</v>
      </c>
      <c r="I15" s="36">
        <f t="shared" si="1"/>
        <v>100</v>
      </c>
      <c r="J15" s="3">
        <v>100</v>
      </c>
      <c r="K15" s="3">
        <v>100</v>
      </c>
      <c r="L15" s="36">
        <f t="shared" si="2"/>
        <v>100</v>
      </c>
      <c r="M15" s="3"/>
      <c r="N15" s="3"/>
      <c r="O15" s="36"/>
      <c r="P15" s="3"/>
      <c r="Q15" s="3"/>
      <c r="R15" s="36"/>
      <c r="S15" s="3"/>
      <c r="T15" s="3"/>
      <c r="U15" s="36"/>
      <c r="AH15" s="86"/>
    </row>
    <row r="16" spans="1:34" s="20" customFormat="1" ht="24.75" customHeight="1">
      <c r="A16" s="3">
        <v>11</v>
      </c>
      <c r="B16" s="22" t="s">
        <v>62</v>
      </c>
      <c r="C16" s="3">
        <v>56</v>
      </c>
      <c r="D16" s="3">
        <v>42</v>
      </c>
      <c r="E16" s="36">
        <f t="shared" si="0"/>
        <v>75</v>
      </c>
      <c r="F16" s="3"/>
      <c r="G16" s="3">
        <v>42</v>
      </c>
      <c r="H16" s="3">
        <v>40</v>
      </c>
      <c r="I16" s="36">
        <f t="shared" si="1"/>
        <v>95.23809523809524</v>
      </c>
      <c r="J16" s="3">
        <v>42</v>
      </c>
      <c r="K16" s="3">
        <v>40</v>
      </c>
      <c r="L16" s="36">
        <f t="shared" si="2"/>
        <v>95.23809523809524</v>
      </c>
      <c r="M16" s="3"/>
      <c r="N16" s="3"/>
      <c r="O16" s="36"/>
      <c r="P16" s="3"/>
      <c r="Q16" s="3"/>
      <c r="R16" s="36"/>
      <c r="S16" s="3"/>
      <c r="T16" s="3"/>
      <c r="U16" s="36"/>
      <c r="AH16" s="86"/>
    </row>
    <row r="17" spans="1:34" s="20" customFormat="1" ht="24.75" customHeight="1">
      <c r="A17" s="3">
        <v>12</v>
      </c>
      <c r="B17" s="22" t="s">
        <v>63</v>
      </c>
      <c r="C17" s="3"/>
      <c r="D17" s="3"/>
      <c r="E17" s="36"/>
      <c r="F17" s="3"/>
      <c r="G17" s="3"/>
      <c r="H17" s="3"/>
      <c r="I17" s="36"/>
      <c r="J17" s="3"/>
      <c r="K17" s="3"/>
      <c r="L17" s="36"/>
      <c r="M17" s="3">
        <v>9290</v>
      </c>
      <c r="N17" s="3">
        <v>10041</v>
      </c>
      <c r="O17" s="36">
        <f>N17*100/M17</f>
        <v>108.08396124865446</v>
      </c>
      <c r="P17" s="3">
        <v>240</v>
      </c>
      <c r="Q17" s="3">
        <v>240</v>
      </c>
      <c r="R17" s="36">
        <f>Q17*100/P17</f>
        <v>100</v>
      </c>
      <c r="S17" s="3">
        <v>478</v>
      </c>
      <c r="T17" s="3">
        <v>471</v>
      </c>
      <c r="U17" s="36">
        <f>T17*100/S17</f>
        <v>98.53556485355648</v>
      </c>
      <c r="AH17" s="86"/>
    </row>
    <row r="18" spans="1:34" s="20" customFormat="1" ht="24.75" customHeight="1">
      <c r="A18" s="3">
        <v>13</v>
      </c>
      <c r="B18" s="32" t="s">
        <v>71</v>
      </c>
      <c r="C18" s="3"/>
      <c r="D18" s="3"/>
      <c r="E18" s="36"/>
      <c r="F18" s="3"/>
      <c r="G18" s="3"/>
      <c r="H18" s="3"/>
      <c r="I18" s="36"/>
      <c r="J18" s="3"/>
      <c r="K18" s="3"/>
      <c r="L18" s="36"/>
      <c r="M18" s="3"/>
      <c r="N18" s="3"/>
      <c r="O18" s="36"/>
      <c r="P18" s="3"/>
      <c r="Q18" s="3"/>
      <c r="R18" s="36"/>
      <c r="S18" s="3"/>
      <c r="T18" s="3"/>
      <c r="U18" s="36"/>
      <c r="AH18" s="86"/>
    </row>
    <row r="19" spans="1:21" s="20" customFormat="1" ht="57" customHeight="1">
      <c r="A19" s="157" t="s">
        <v>103</v>
      </c>
      <c r="B19" s="158"/>
      <c r="C19" s="3">
        <f>SUM(C6:C18)</f>
        <v>2930</v>
      </c>
      <c r="D19" s="3">
        <f>SUM(D6:D18)</f>
        <v>2749</v>
      </c>
      <c r="E19" s="36">
        <f>D19*100/C19</f>
        <v>93.82252559726962</v>
      </c>
      <c r="F19" s="3">
        <f>SUM(F6:F18)</f>
        <v>123</v>
      </c>
      <c r="G19" s="3">
        <f>SUM(G6:G18)</f>
        <v>1303</v>
      </c>
      <c r="H19" s="3">
        <f>SUM(H6:H18)</f>
        <v>1221</v>
      </c>
      <c r="I19" s="36">
        <f>H19*100/G19</f>
        <v>93.70683039140445</v>
      </c>
      <c r="J19" s="3">
        <f>SUM(J6:J18)</f>
        <v>1298</v>
      </c>
      <c r="K19" s="3">
        <f>SUM(K6:K18)</f>
        <v>1246</v>
      </c>
      <c r="L19" s="36">
        <f t="shared" si="2"/>
        <v>95.99383667180277</v>
      </c>
      <c r="M19" s="3">
        <f>SUM(M9:M18)</f>
        <v>10126</v>
      </c>
      <c r="N19" s="3">
        <f>SUM(N9:N18)</f>
        <v>10644</v>
      </c>
      <c r="O19" s="36">
        <f>N19*100/M19</f>
        <v>105.11554414378827</v>
      </c>
      <c r="P19" s="3">
        <f>SUM(P9:P18)</f>
        <v>340</v>
      </c>
      <c r="Q19" s="3">
        <f>SUM(Q9:Q18)</f>
        <v>325</v>
      </c>
      <c r="R19" s="36">
        <f>Q19*100/P19</f>
        <v>95.58823529411765</v>
      </c>
      <c r="S19" s="3">
        <f>SUM(S9:S18)</f>
        <v>510</v>
      </c>
      <c r="T19" s="36">
        <f>SUM(T9:T18)</f>
        <v>501</v>
      </c>
      <c r="U19" s="36">
        <f>T19*100/S19</f>
        <v>98.23529411764706</v>
      </c>
    </row>
    <row r="20" spans="1:34" s="20" customFormat="1" ht="24.75" customHeight="1">
      <c r="A20" s="3">
        <v>1</v>
      </c>
      <c r="B20" s="32" t="s">
        <v>82</v>
      </c>
      <c r="C20" s="3"/>
      <c r="D20" s="3"/>
      <c r="E20" s="36"/>
      <c r="F20" s="3"/>
      <c r="G20" s="3"/>
      <c r="H20" s="3"/>
      <c r="I20" s="36"/>
      <c r="J20" s="3"/>
      <c r="K20" s="3"/>
      <c r="L20" s="36"/>
      <c r="M20" s="3">
        <v>95</v>
      </c>
      <c r="N20" s="3">
        <v>79</v>
      </c>
      <c r="O20" s="36">
        <f>N20*100/M20</f>
        <v>83.15789473684211</v>
      </c>
      <c r="P20" s="3">
        <v>10</v>
      </c>
      <c r="Q20" s="3">
        <v>10</v>
      </c>
      <c r="R20" s="36">
        <f>Q20*100/P20</f>
        <v>100</v>
      </c>
      <c r="S20" s="3">
        <v>2</v>
      </c>
      <c r="T20" s="3">
        <v>5</v>
      </c>
      <c r="U20" s="36">
        <f>T20*100/S20</f>
        <v>250</v>
      </c>
      <c r="AH20" s="86"/>
    </row>
    <row r="21" spans="1:34" s="20" customFormat="1" ht="24.75" customHeight="1">
      <c r="A21" s="3">
        <v>2</v>
      </c>
      <c r="B21" s="67" t="s">
        <v>120</v>
      </c>
      <c r="C21" s="3"/>
      <c r="D21" s="3">
        <v>16</v>
      </c>
      <c r="E21" s="36"/>
      <c r="F21" s="3"/>
      <c r="G21" s="3"/>
      <c r="H21" s="3">
        <v>15</v>
      </c>
      <c r="I21" s="36"/>
      <c r="J21" s="3"/>
      <c r="K21" s="3">
        <v>8</v>
      </c>
      <c r="L21" s="36"/>
      <c r="M21" s="3"/>
      <c r="N21" s="3"/>
      <c r="O21" s="36"/>
      <c r="P21" s="3"/>
      <c r="Q21" s="3"/>
      <c r="R21" s="36"/>
      <c r="S21" s="3"/>
      <c r="T21" s="3"/>
      <c r="U21" s="36"/>
      <c r="AH21" s="86"/>
    </row>
    <row r="22" spans="1:34" s="20" customFormat="1" ht="24.75" customHeight="1">
      <c r="A22" s="3">
        <v>3</v>
      </c>
      <c r="B22" s="32" t="s">
        <v>88</v>
      </c>
      <c r="C22" s="3"/>
      <c r="D22" s="3"/>
      <c r="E22" s="36"/>
      <c r="F22" s="3"/>
      <c r="G22" s="3"/>
      <c r="H22" s="3"/>
      <c r="I22" s="36"/>
      <c r="J22" s="3"/>
      <c r="K22" s="3"/>
      <c r="L22" s="36"/>
      <c r="M22" s="3"/>
      <c r="N22" s="3"/>
      <c r="O22" s="36"/>
      <c r="P22" s="3"/>
      <c r="Q22" s="3"/>
      <c r="R22" s="36"/>
      <c r="S22" s="3"/>
      <c r="T22" s="3"/>
      <c r="U22" s="36"/>
      <c r="AH22" s="86"/>
    </row>
    <row r="23" spans="1:34" s="20" customFormat="1" ht="24.75" customHeight="1">
      <c r="A23" s="157" t="s">
        <v>90</v>
      </c>
      <c r="B23" s="158"/>
      <c r="C23" s="3"/>
      <c r="D23" s="3">
        <f>SUM(D20:D22)</f>
        <v>16</v>
      </c>
      <c r="E23" s="36"/>
      <c r="F23" s="3"/>
      <c r="G23" s="3"/>
      <c r="H23" s="3">
        <f>SUM(H21:H22)</f>
        <v>15</v>
      </c>
      <c r="I23" s="36"/>
      <c r="J23" s="3"/>
      <c r="K23" s="3"/>
      <c r="L23" s="36"/>
      <c r="M23" s="3">
        <f>SUM(M20:M22)</f>
        <v>95</v>
      </c>
      <c r="N23" s="3">
        <f>SUM(N20:N22)</f>
        <v>79</v>
      </c>
      <c r="O23" s="36">
        <f>N23*100/M23</f>
        <v>83.15789473684211</v>
      </c>
      <c r="P23" s="3">
        <f>SUM(P20:P22)</f>
        <v>10</v>
      </c>
      <c r="Q23" s="3">
        <f>SUM(Q20:Q22)</f>
        <v>10</v>
      </c>
      <c r="R23" s="36">
        <f>Q23*100/P23</f>
        <v>100</v>
      </c>
      <c r="S23" s="3">
        <f>SUM(S20:S22)</f>
        <v>2</v>
      </c>
      <c r="T23" s="3">
        <f>SUM(T20:T22)</f>
        <v>5</v>
      </c>
      <c r="U23" s="36">
        <f>T23*100/S23</f>
        <v>250</v>
      </c>
      <c r="AH23" s="86"/>
    </row>
    <row r="24" spans="1:34" s="20" customFormat="1" ht="36" customHeight="1">
      <c r="A24" s="159" t="s">
        <v>91</v>
      </c>
      <c r="B24" s="160"/>
      <c r="C24" s="3">
        <f>C19+C23</f>
        <v>2930</v>
      </c>
      <c r="D24" s="3">
        <f>D19+D23</f>
        <v>2765</v>
      </c>
      <c r="E24" s="36">
        <f>D24*100/C24</f>
        <v>94.36860068259385</v>
      </c>
      <c r="F24" s="3">
        <f>F19+F23</f>
        <v>123</v>
      </c>
      <c r="G24" s="3">
        <f>G19+G23</f>
        <v>1303</v>
      </c>
      <c r="H24" s="3">
        <f>H19+H23</f>
        <v>1236</v>
      </c>
      <c r="I24" s="36">
        <f>H24*100/G24</f>
        <v>94.85801995395242</v>
      </c>
      <c r="J24" s="3">
        <f>J19+J23</f>
        <v>1298</v>
      </c>
      <c r="K24" s="3">
        <f>K19+K23</f>
        <v>1246</v>
      </c>
      <c r="L24" s="36">
        <f t="shared" si="2"/>
        <v>95.99383667180277</v>
      </c>
      <c r="M24" s="3">
        <f>M19+M23</f>
        <v>10221</v>
      </c>
      <c r="N24" s="3">
        <f>N19+N23</f>
        <v>10723</v>
      </c>
      <c r="O24" s="36">
        <f>N24*100/M24</f>
        <v>104.91145680461794</v>
      </c>
      <c r="P24" s="3">
        <f>P19+P23</f>
        <v>350</v>
      </c>
      <c r="Q24" s="3">
        <f>Q19+Q23</f>
        <v>335</v>
      </c>
      <c r="R24" s="36">
        <f>Q24*100/P24</f>
        <v>95.71428571428571</v>
      </c>
      <c r="S24" s="3">
        <f>S19+S23</f>
        <v>512</v>
      </c>
      <c r="T24" s="3">
        <f>T19+T23</f>
        <v>506</v>
      </c>
      <c r="U24" s="36">
        <f>T24*100/S24</f>
        <v>98.828125</v>
      </c>
      <c r="AH24" s="86"/>
    </row>
  </sheetData>
  <sheetProtection/>
  <mergeCells count="19">
    <mergeCell ref="A23:B23"/>
    <mergeCell ref="A24:B24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  <mergeCell ref="A19:B19"/>
    <mergeCell ref="J3:L3"/>
    <mergeCell ref="J4:J5"/>
    <mergeCell ref="K4:K5"/>
    <mergeCell ref="M3:U3"/>
    <mergeCell ref="N4:N5"/>
    <mergeCell ref="R4:R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6"/>
  <sheetViews>
    <sheetView view="pageBreakPreview" zoomScale="75" zoomScaleNormal="75" zoomScaleSheetLayoutView="75" zoomScalePageLayoutView="0" workbookViewId="0" topLeftCell="A1">
      <selection activeCell="Q25" sqref="Q25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0"/>
      <c r="B2" s="20"/>
      <c r="C2" s="20"/>
      <c r="D2" s="1" t="s">
        <v>115</v>
      </c>
      <c r="E2" s="1"/>
      <c r="F2" s="1"/>
      <c r="G2" s="1"/>
      <c r="H2" s="1"/>
      <c r="I2" s="1"/>
      <c r="J2" s="1"/>
      <c r="K2" s="1"/>
      <c r="L2" s="20"/>
      <c r="M2" s="20"/>
      <c r="N2" s="20"/>
    </row>
    <row r="3" spans="1:14" ht="15">
      <c r="A3" s="181" t="s">
        <v>106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2.75">
      <c r="A4" s="149" t="s">
        <v>2</v>
      </c>
      <c r="B4" s="151" t="s">
        <v>3</v>
      </c>
      <c r="C4" s="155" t="s">
        <v>79</v>
      </c>
      <c r="D4" s="190"/>
      <c r="E4" s="187"/>
      <c r="F4" s="182" t="s">
        <v>64</v>
      </c>
      <c r="G4" s="183"/>
      <c r="H4" s="182" t="s">
        <v>78</v>
      </c>
      <c r="I4" s="186"/>
      <c r="J4" s="187"/>
      <c r="K4" s="182" t="s">
        <v>76</v>
      </c>
      <c r="L4" s="183"/>
      <c r="M4" s="182" t="s">
        <v>77</v>
      </c>
      <c r="N4" s="183"/>
    </row>
    <row r="5" spans="1:14" ht="31.5" customHeight="1">
      <c r="A5" s="177"/>
      <c r="B5" s="152"/>
      <c r="C5" s="191"/>
      <c r="D5" s="192"/>
      <c r="E5" s="193"/>
      <c r="F5" s="184"/>
      <c r="G5" s="185"/>
      <c r="H5" s="184"/>
      <c r="I5" s="188"/>
      <c r="J5" s="189"/>
      <c r="K5" s="184"/>
      <c r="L5" s="185"/>
      <c r="M5" s="184"/>
      <c r="N5" s="185"/>
    </row>
    <row r="6" spans="1:14" ht="30">
      <c r="A6" s="150"/>
      <c r="B6" s="153"/>
      <c r="C6" s="3">
        <v>2011</v>
      </c>
      <c r="D6" s="19">
        <v>2012</v>
      </c>
      <c r="E6" s="95" t="s">
        <v>109</v>
      </c>
      <c r="F6" s="3">
        <v>2011</v>
      </c>
      <c r="G6" s="19">
        <v>2012</v>
      </c>
      <c r="H6" s="3">
        <v>2011</v>
      </c>
      <c r="I6" s="19">
        <v>2012</v>
      </c>
      <c r="J6" s="95" t="s">
        <v>109</v>
      </c>
      <c r="K6" s="22" t="s">
        <v>1</v>
      </c>
      <c r="L6" s="24" t="s">
        <v>32</v>
      </c>
      <c r="M6" s="38" t="s">
        <v>44</v>
      </c>
      <c r="N6" s="51" t="s">
        <v>45</v>
      </c>
    </row>
    <row r="7" spans="1:14" ht="16.5" customHeight="1">
      <c r="A7" s="31">
        <v>1</v>
      </c>
      <c r="B7" s="22" t="s">
        <v>58</v>
      </c>
      <c r="C7" s="31">
        <v>556</v>
      </c>
      <c r="D7" s="31">
        <v>687</v>
      </c>
      <c r="E7" s="31">
        <f aca="true" t="shared" si="0" ref="E7:E13">D7-C7</f>
        <v>131</v>
      </c>
      <c r="F7" s="31">
        <v>289</v>
      </c>
      <c r="G7" s="31">
        <v>350</v>
      </c>
      <c r="H7" s="75">
        <f>F7*100/20</f>
        <v>1445</v>
      </c>
      <c r="I7" s="75">
        <f>G7*100/28</f>
        <v>1250</v>
      </c>
      <c r="J7" s="74">
        <f aca="true" t="shared" si="1" ref="J7:J13">I7-H7</f>
        <v>-195</v>
      </c>
      <c r="K7" s="31">
        <v>82</v>
      </c>
      <c r="L7" s="31">
        <v>39</v>
      </c>
      <c r="M7" s="93">
        <f aca="true" t="shared" si="2" ref="M7:M13">G7/L7</f>
        <v>8.974358974358974</v>
      </c>
      <c r="N7" s="93">
        <f aca="true" t="shared" si="3" ref="N7:N13">(D7-G7)/(K7-L7)</f>
        <v>7.837209302325581</v>
      </c>
    </row>
    <row r="8" spans="1:15" ht="16.5" customHeight="1">
      <c r="A8" s="31">
        <v>2</v>
      </c>
      <c r="B8" s="31" t="s">
        <v>59</v>
      </c>
      <c r="C8" s="31">
        <v>398</v>
      </c>
      <c r="D8" s="31">
        <v>163</v>
      </c>
      <c r="E8" s="31">
        <f t="shared" si="0"/>
        <v>-235</v>
      </c>
      <c r="F8" s="31">
        <v>386</v>
      </c>
      <c r="G8" s="31">
        <v>145</v>
      </c>
      <c r="H8" s="75">
        <f>F8*100/80</f>
        <v>482.5</v>
      </c>
      <c r="I8" s="75">
        <f>G8*100/80</f>
        <v>181.25</v>
      </c>
      <c r="J8" s="74">
        <f t="shared" si="1"/>
        <v>-301.25</v>
      </c>
      <c r="K8" s="32">
        <v>26</v>
      </c>
      <c r="L8" s="32">
        <v>23</v>
      </c>
      <c r="M8" s="93">
        <f t="shared" si="2"/>
        <v>6.304347826086956</v>
      </c>
      <c r="N8" s="93">
        <f t="shared" si="3"/>
        <v>6</v>
      </c>
      <c r="O8" s="15"/>
    </row>
    <row r="9" spans="1:14" ht="16.5" customHeight="1">
      <c r="A9" s="31">
        <v>3</v>
      </c>
      <c r="B9" s="32" t="s">
        <v>63</v>
      </c>
      <c r="C9" s="31">
        <v>10150</v>
      </c>
      <c r="D9" s="31">
        <v>10303</v>
      </c>
      <c r="E9" s="31">
        <f t="shared" si="0"/>
        <v>153</v>
      </c>
      <c r="F9" s="31">
        <v>5707</v>
      </c>
      <c r="G9" s="31">
        <v>6350</v>
      </c>
      <c r="H9" s="75">
        <f>F9*100/226</f>
        <v>2525.221238938053</v>
      </c>
      <c r="I9" s="75">
        <f>G9*100/240</f>
        <v>2645.8333333333335</v>
      </c>
      <c r="J9" s="74">
        <f t="shared" si="1"/>
        <v>120.61209439528056</v>
      </c>
      <c r="K9" s="32">
        <v>1166</v>
      </c>
      <c r="L9" s="32">
        <v>657</v>
      </c>
      <c r="M9" s="117">
        <f t="shared" si="2"/>
        <v>9.665144596651446</v>
      </c>
      <c r="N9" s="117">
        <f t="shared" si="3"/>
        <v>7.766208251473477</v>
      </c>
    </row>
    <row r="10" spans="1:14" ht="42.75" customHeight="1">
      <c r="A10" s="179" t="s">
        <v>101</v>
      </c>
      <c r="B10" s="180"/>
      <c r="C10" s="31">
        <f>SUM(C7:C9)</f>
        <v>11104</v>
      </c>
      <c r="D10" s="31">
        <f>SUM(D7:D9)</f>
        <v>11153</v>
      </c>
      <c r="E10" s="31">
        <f t="shared" si="0"/>
        <v>49</v>
      </c>
      <c r="F10" s="31">
        <f>SUM(F7:F9)</f>
        <v>6382</v>
      </c>
      <c r="G10" s="31">
        <f>SUM(G7:G9)</f>
        <v>6845</v>
      </c>
      <c r="H10" s="75">
        <f>F10*100/326</f>
        <v>1957.6687116564417</v>
      </c>
      <c r="I10" s="75">
        <f>G10*100/348</f>
        <v>1966.9540229885058</v>
      </c>
      <c r="J10" s="74">
        <f t="shared" si="1"/>
        <v>9.285311332064111</v>
      </c>
      <c r="K10" s="74">
        <f>SUM(K7:K9)</f>
        <v>1274</v>
      </c>
      <c r="L10" s="74">
        <f>SUM(L7:L9)</f>
        <v>719</v>
      </c>
      <c r="M10" s="93">
        <f t="shared" si="2"/>
        <v>9.520166898470098</v>
      </c>
      <c r="N10" s="93">
        <f t="shared" si="3"/>
        <v>7.762162162162162</v>
      </c>
    </row>
    <row r="11" spans="1:14" ht="15">
      <c r="A11" s="31">
        <v>1</v>
      </c>
      <c r="B11" s="32" t="s">
        <v>82</v>
      </c>
      <c r="C11" s="31">
        <v>15</v>
      </c>
      <c r="D11" s="31">
        <v>38</v>
      </c>
      <c r="E11" s="31">
        <f t="shared" si="0"/>
        <v>23</v>
      </c>
      <c r="F11" s="31">
        <v>15</v>
      </c>
      <c r="G11" s="31">
        <v>38</v>
      </c>
      <c r="H11" s="74">
        <f>F11*100/11</f>
        <v>136.36363636363637</v>
      </c>
      <c r="I11" s="74">
        <f>G11*100/10</f>
        <v>380</v>
      </c>
      <c r="J11" s="74">
        <f t="shared" si="1"/>
        <v>243.63636363636363</v>
      </c>
      <c r="K11" s="74">
        <v>5</v>
      </c>
      <c r="L11" s="2">
        <v>5</v>
      </c>
      <c r="M11" s="93">
        <f t="shared" si="2"/>
        <v>7.6</v>
      </c>
      <c r="N11" s="93"/>
    </row>
    <row r="12" spans="1:14" ht="25.5" customHeight="1">
      <c r="A12" s="157" t="s">
        <v>90</v>
      </c>
      <c r="B12" s="158"/>
      <c r="C12" s="31">
        <f>SUM(C11)</f>
        <v>15</v>
      </c>
      <c r="D12" s="31">
        <f>SUM(D11)</f>
        <v>38</v>
      </c>
      <c r="E12" s="31">
        <f t="shared" si="0"/>
        <v>23</v>
      </c>
      <c r="F12" s="31">
        <f>SUM(F11)</f>
        <v>15</v>
      </c>
      <c r="G12" s="31">
        <f>SUM(G11)</f>
        <v>38</v>
      </c>
      <c r="H12" s="75">
        <f>F12*100/11</f>
        <v>136.36363636363637</v>
      </c>
      <c r="I12" s="75">
        <f>G12*100/10</f>
        <v>380</v>
      </c>
      <c r="J12" s="74">
        <f t="shared" si="1"/>
        <v>243.63636363636363</v>
      </c>
      <c r="K12" s="31">
        <f>SUM(K11)</f>
        <v>5</v>
      </c>
      <c r="L12" s="31">
        <f>SUM(L11)</f>
        <v>5</v>
      </c>
      <c r="M12" s="93">
        <f t="shared" si="2"/>
        <v>7.6</v>
      </c>
      <c r="N12" s="93"/>
    </row>
    <row r="13" spans="1:14" ht="28.5" customHeight="1">
      <c r="A13" s="178" t="s">
        <v>91</v>
      </c>
      <c r="B13" s="178"/>
      <c r="C13" s="31">
        <f>C10+C12</f>
        <v>11119</v>
      </c>
      <c r="D13" s="31">
        <f>SUM(D10:D11)</f>
        <v>11191</v>
      </c>
      <c r="E13" s="31">
        <f t="shared" si="0"/>
        <v>72</v>
      </c>
      <c r="F13" s="31">
        <f>F10+F12</f>
        <v>6397</v>
      </c>
      <c r="G13" s="31">
        <f>SUM(G10:G11)</f>
        <v>6883</v>
      </c>
      <c r="H13" s="75">
        <f>F13*100/337</f>
        <v>1898.219584569733</v>
      </c>
      <c r="I13" s="75">
        <f>G13*100/358</f>
        <v>1922.6256983240223</v>
      </c>
      <c r="J13" s="74">
        <f t="shared" si="1"/>
        <v>24.406113754289436</v>
      </c>
      <c r="K13" s="31">
        <f>K10+K12</f>
        <v>1279</v>
      </c>
      <c r="L13" s="31">
        <f>SUM(L10:L11)</f>
        <v>724</v>
      </c>
      <c r="M13" s="93">
        <f t="shared" si="2"/>
        <v>9.506906077348066</v>
      </c>
      <c r="N13" s="93">
        <f t="shared" si="3"/>
        <v>7.762162162162162</v>
      </c>
    </row>
    <row r="15" spans="2:1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15">
      <c r="B16" s="72"/>
      <c r="C16" s="112"/>
      <c r="D16" s="112"/>
      <c r="E16" s="112"/>
      <c r="F16" s="112"/>
      <c r="G16" s="112"/>
      <c r="H16" s="113"/>
      <c r="I16" s="114"/>
      <c r="J16" s="113"/>
      <c r="K16" s="112"/>
      <c r="L16" s="112"/>
      <c r="M16" s="115"/>
      <c r="N16" s="115"/>
      <c r="O16" s="72"/>
      <c r="P16" s="72"/>
      <c r="Q16" s="72"/>
    </row>
    <row r="17" spans="2:17" ht="15">
      <c r="B17" s="72"/>
      <c r="C17" s="112"/>
      <c r="D17" s="112"/>
      <c r="E17" s="112"/>
      <c r="F17" s="112"/>
      <c r="G17" s="112"/>
      <c r="H17" s="114"/>
      <c r="I17" s="114"/>
      <c r="J17" s="113"/>
      <c r="K17" s="116"/>
      <c r="L17" s="116"/>
      <c r="M17" s="115"/>
      <c r="N17" s="115"/>
      <c r="O17" s="72"/>
      <c r="P17" s="72"/>
      <c r="Q17" s="72"/>
    </row>
    <row r="18" spans="2:17" ht="15">
      <c r="B18" s="72"/>
      <c r="C18" s="112"/>
      <c r="D18" s="112"/>
      <c r="E18" s="112"/>
      <c r="F18" s="112"/>
      <c r="G18" s="112"/>
      <c r="H18" s="113"/>
      <c r="I18" s="114"/>
      <c r="J18" s="113"/>
      <c r="K18" s="116"/>
      <c r="L18" s="116"/>
      <c r="M18" s="115"/>
      <c r="N18" s="115"/>
      <c r="O18" s="72"/>
      <c r="P18" s="72"/>
      <c r="Q18" s="72"/>
    </row>
    <row r="19" spans="2:17" ht="15">
      <c r="B19" s="72"/>
      <c r="C19" s="112"/>
      <c r="D19" s="112"/>
      <c r="E19" s="112"/>
      <c r="F19" s="112"/>
      <c r="G19" s="112"/>
      <c r="H19" s="113"/>
      <c r="I19" s="114"/>
      <c r="J19" s="113"/>
      <c r="K19" s="116"/>
      <c r="L19" s="116"/>
      <c r="M19" s="115"/>
      <c r="N19" s="115"/>
      <c r="O19" s="72"/>
      <c r="P19" s="72"/>
      <c r="Q19" s="72"/>
    </row>
    <row r="20" spans="2:17" ht="15">
      <c r="B20" s="72"/>
      <c r="C20" s="112"/>
      <c r="D20" s="112"/>
      <c r="E20" s="112"/>
      <c r="F20" s="112"/>
      <c r="G20" s="112"/>
      <c r="H20" s="113"/>
      <c r="I20" s="114"/>
      <c r="J20" s="113"/>
      <c r="K20" s="116"/>
      <c r="L20" s="116"/>
      <c r="M20" s="115"/>
      <c r="N20" s="115"/>
      <c r="O20" s="72"/>
      <c r="P20" s="72"/>
      <c r="Q20" s="72"/>
    </row>
    <row r="21" spans="2:17" ht="15">
      <c r="B21" s="72"/>
      <c r="C21" s="112"/>
      <c r="D21" s="112"/>
      <c r="E21" s="112"/>
      <c r="F21" s="112"/>
      <c r="G21" s="112"/>
      <c r="H21" s="113"/>
      <c r="I21" s="114"/>
      <c r="J21" s="113"/>
      <c r="K21" s="114"/>
      <c r="L21" s="114"/>
      <c r="M21" s="115"/>
      <c r="N21" s="115"/>
      <c r="O21" s="72"/>
      <c r="P21" s="72"/>
      <c r="Q21" s="72"/>
    </row>
    <row r="22" spans="2:17" ht="15">
      <c r="B22" s="72"/>
      <c r="C22" s="112"/>
      <c r="D22" s="112"/>
      <c r="E22" s="112"/>
      <c r="F22" s="112"/>
      <c r="G22" s="112"/>
      <c r="H22" s="113"/>
      <c r="I22" s="114"/>
      <c r="J22" s="113"/>
      <c r="K22" s="116"/>
      <c r="L22" s="116"/>
      <c r="M22" s="115"/>
      <c r="N22" s="115"/>
      <c r="O22" s="72"/>
      <c r="P22" s="72"/>
      <c r="Q22" s="72"/>
    </row>
    <row r="23" spans="2:17" ht="15">
      <c r="B23" s="72"/>
      <c r="C23" s="112"/>
      <c r="D23" s="112"/>
      <c r="E23" s="112"/>
      <c r="F23" s="112"/>
      <c r="G23" s="112"/>
      <c r="H23" s="114"/>
      <c r="I23" s="114"/>
      <c r="J23" s="113"/>
      <c r="K23" s="116"/>
      <c r="L23" s="116"/>
      <c r="M23" s="115"/>
      <c r="N23" s="115"/>
      <c r="O23" s="72"/>
      <c r="P23" s="72"/>
      <c r="Q23" s="72"/>
    </row>
    <row r="24" spans="2:17" ht="12.75"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ht="12.75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2:17" ht="12.75"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</sheetData>
  <sheetProtection/>
  <mergeCells count="11">
    <mergeCell ref="C4:E5"/>
    <mergeCell ref="A12:B12"/>
    <mergeCell ref="A13:B13"/>
    <mergeCell ref="A10:B10"/>
    <mergeCell ref="A3:N3"/>
    <mergeCell ref="F4:G5"/>
    <mergeCell ref="K4:L5"/>
    <mergeCell ref="M4:N5"/>
    <mergeCell ref="B4:B6"/>
    <mergeCell ref="A4:A6"/>
    <mergeCell ref="H4:J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5" zoomScaleNormal="75" zoomScaleSheetLayoutView="65" zoomScalePageLayoutView="0" workbookViewId="0" topLeftCell="A1">
      <selection activeCell="O20" sqref="O20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 customHeight="1">
      <c r="A1" s="20"/>
      <c r="B1" s="20"/>
      <c r="C1" s="129" t="s">
        <v>114</v>
      </c>
      <c r="D1" s="129"/>
      <c r="E1" s="129"/>
      <c r="F1" s="129"/>
      <c r="G1" s="129"/>
      <c r="H1" s="129"/>
      <c r="I1" s="129"/>
      <c r="J1" s="129"/>
      <c r="K1" s="129"/>
      <c r="L1" s="20"/>
      <c r="M1" s="20"/>
      <c r="N1" s="20"/>
    </row>
    <row r="2" spans="1:14" ht="15">
      <c r="A2" s="149" t="s">
        <v>2</v>
      </c>
      <c r="B2" s="149" t="s">
        <v>3</v>
      </c>
      <c r="C2" s="24" t="s">
        <v>34</v>
      </c>
      <c r="D2" s="25"/>
      <c r="E2" s="27"/>
      <c r="F2" s="49" t="s">
        <v>35</v>
      </c>
      <c r="G2" s="25"/>
      <c r="H2" s="27"/>
      <c r="I2" s="24" t="s">
        <v>36</v>
      </c>
      <c r="J2" s="25"/>
      <c r="K2" s="27"/>
      <c r="L2" s="24" t="s">
        <v>37</v>
      </c>
      <c r="M2" s="25"/>
      <c r="N2" s="27"/>
    </row>
    <row r="3" spans="1:14" ht="15">
      <c r="A3" s="177"/>
      <c r="B3" s="177"/>
      <c r="C3" s="18">
        <v>2011</v>
      </c>
      <c r="D3" s="19">
        <v>2012</v>
      </c>
      <c r="E3" s="9" t="s">
        <v>33</v>
      </c>
      <c r="F3" s="18">
        <v>2011</v>
      </c>
      <c r="G3" s="19">
        <v>2012</v>
      </c>
      <c r="H3" s="9" t="s">
        <v>33</v>
      </c>
      <c r="I3" s="18">
        <v>2011</v>
      </c>
      <c r="J3" s="19">
        <v>2012</v>
      </c>
      <c r="K3" s="9" t="s">
        <v>33</v>
      </c>
      <c r="L3" s="18">
        <v>2011</v>
      </c>
      <c r="M3" s="19">
        <v>2012</v>
      </c>
      <c r="N3" s="9" t="s">
        <v>33</v>
      </c>
    </row>
    <row r="4" spans="1:14" ht="15">
      <c r="A4" s="150"/>
      <c r="B4" s="150"/>
      <c r="C4" s="29"/>
      <c r="D4" s="29"/>
      <c r="E4" s="45" t="s">
        <v>105</v>
      </c>
      <c r="F4" s="29"/>
      <c r="G4" s="29"/>
      <c r="H4" s="45" t="s">
        <v>107</v>
      </c>
      <c r="I4" s="29"/>
      <c r="J4" s="29"/>
      <c r="K4" s="45" t="s">
        <v>105</v>
      </c>
      <c r="L4" s="29"/>
      <c r="M4" s="29"/>
      <c r="N4" s="45" t="s">
        <v>105</v>
      </c>
    </row>
    <row r="5" spans="1:14" ht="16.5" customHeight="1">
      <c r="A5" s="31">
        <v>1</v>
      </c>
      <c r="B5" s="31" t="s">
        <v>55</v>
      </c>
      <c r="C5" s="12">
        <v>158</v>
      </c>
      <c r="D5" s="12">
        <v>163</v>
      </c>
      <c r="E5" s="16">
        <f aca="true" t="shared" si="0" ref="E5:E15">D5-C5</f>
        <v>5</v>
      </c>
      <c r="F5" s="12">
        <v>6</v>
      </c>
      <c r="G5" s="12">
        <v>20</v>
      </c>
      <c r="H5" s="16">
        <f aca="true" t="shared" si="1" ref="H5:H15">G5-F5</f>
        <v>14</v>
      </c>
      <c r="I5" s="12"/>
      <c r="J5" s="12"/>
      <c r="K5" s="12"/>
      <c r="L5" s="12"/>
      <c r="M5" s="12"/>
      <c r="N5" s="12"/>
    </row>
    <row r="6" spans="1:14" ht="16.5" customHeight="1">
      <c r="A6" s="31">
        <v>2</v>
      </c>
      <c r="B6" s="31" t="s">
        <v>56</v>
      </c>
      <c r="C6" s="12">
        <v>153</v>
      </c>
      <c r="D6" s="12">
        <v>158</v>
      </c>
      <c r="E6" s="16">
        <f t="shared" si="0"/>
        <v>5</v>
      </c>
      <c r="F6" s="12">
        <v>9</v>
      </c>
      <c r="G6" s="12">
        <v>1</v>
      </c>
      <c r="H6" s="16">
        <f t="shared" si="1"/>
        <v>-8</v>
      </c>
      <c r="I6" s="12"/>
      <c r="J6" s="12"/>
      <c r="K6" s="12"/>
      <c r="L6" s="12"/>
      <c r="M6" s="12"/>
      <c r="N6" s="12"/>
    </row>
    <row r="7" spans="1:14" ht="16.5" customHeight="1">
      <c r="A7" s="31">
        <v>3</v>
      </c>
      <c r="B7" s="31" t="s">
        <v>57</v>
      </c>
      <c r="C7" s="12">
        <v>36</v>
      </c>
      <c r="D7" s="12">
        <v>51</v>
      </c>
      <c r="E7" s="16">
        <f t="shared" si="0"/>
        <v>15</v>
      </c>
      <c r="F7" s="12">
        <v>2</v>
      </c>
      <c r="G7" s="12">
        <v>6</v>
      </c>
      <c r="H7" s="16">
        <f t="shared" si="1"/>
        <v>4</v>
      </c>
      <c r="I7" s="12"/>
      <c r="J7" s="12"/>
      <c r="K7" s="12"/>
      <c r="L7" s="12"/>
      <c r="M7" s="12"/>
      <c r="N7" s="12"/>
    </row>
    <row r="8" spans="1:14" ht="16.5" customHeight="1">
      <c r="A8" s="31">
        <v>4</v>
      </c>
      <c r="B8" s="22" t="s">
        <v>58</v>
      </c>
      <c r="C8" s="12">
        <v>242</v>
      </c>
      <c r="D8" s="12">
        <v>393</v>
      </c>
      <c r="E8" s="16">
        <f t="shared" si="0"/>
        <v>151</v>
      </c>
      <c r="F8" s="12">
        <v>30</v>
      </c>
      <c r="G8" s="12">
        <v>12</v>
      </c>
      <c r="H8" s="16">
        <f t="shared" si="1"/>
        <v>-18</v>
      </c>
      <c r="I8" s="16">
        <v>90</v>
      </c>
      <c r="J8" s="16">
        <v>93</v>
      </c>
      <c r="K8" s="12">
        <f>J8-I8</f>
        <v>3</v>
      </c>
      <c r="L8" s="12">
        <v>44</v>
      </c>
      <c r="M8" s="12">
        <v>44</v>
      </c>
      <c r="N8" s="12">
        <f>M8-L8</f>
        <v>0</v>
      </c>
    </row>
    <row r="9" spans="1:14" ht="16.5" customHeight="1">
      <c r="A9" s="31">
        <v>5</v>
      </c>
      <c r="B9" s="31" t="s">
        <v>59</v>
      </c>
      <c r="C9" s="12">
        <v>189</v>
      </c>
      <c r="D9" s="12">
        <v>143</v>
      </c>
      <c r="E9" s="16">
        <f t="shared" si="0"/>
        <v>-46</v>
      </c>
      <c r="F9" s="12">
        <v>6</v>
      </c>
      <c r="G9" s="12"/>
      <c r="H9" s="16">
        <f t="shared" si="1"/>
        <v>-6</v>
      </c>
      <c r="I9" s="12">
        <v>117</v>
      </c>
      <c r="J9" s="12">
        <v>114</v>
      </c>
      <c r="K9" s="12">
        <f>J9-I9</f>
        <v>-3</v>
      </c>
      <c r="L9" s="12">
        <v>13</v>
      </c>
      <c r="M9" s="16">
        <v>12</v>
      </c>
      <c r="N9" s="12">
        <f>M9-L9</f>
        <v>-1</v>
      </c>
    </row>
    <row r="10" spans="1:14" ht="16.5" customHeight="1">
      <c r="A10" s="31">
        <v>6</v>
      </c>
      <c r="B10" s="32" t="s">
        <v>73</v>
      </c>
      <c r="C10" s="12">
        <v>72</v>
      </c>
      <c r="D10" s="12">
        <v>62</v>
      </c>
      <c r="E10" s="16">
        <f t="shared" si="0"/>
        <v>-10</v>
      </c>
      <c r="F10" s="12">
        <v>14</v>
      </c>
      <c r="G10" s="12">
        <v>9</v>
      </c>
      <c r="H10" s="16">
        <f t="shared" si="1"/>
        <v>-5</v>
      </c>
      <c r="I10" s="12"/>
      <c r="J10" s="12"/>
      <c r="K10" s="12"/>
      <c r="L10" s="12"/>
      <c r="M10" s="12"/>
      <c r="N10" s="12"/>
    </row>
    <row r="11" spans="1:14" ht="16.5" customHeight="1">
      <c r="A11" s="31">
        <v>7</v>
      </c>
      <c r="B11" s="32" t="s">
        <v>60</v>
      </c>
      <c r="C11" s="12">
        <v>66</v>
      </c>
      <c r="D11" s="12"/>
      <c r="E11" s="16">
        <f t="shared" si="0"/>
        <v>-66</v>
      </c>
      <c r="F11" s="12">
        <v>10</v>
      </c>
      <c r="G11" s="12"/>
      <c r="H11" s="16">
        <f t="shared" si="1"/>
        <v>-10</v>
      </c>
      <c r="I11" s="12"/>
      <c r="J11" s="12"/>
      <c r="K11" s="12"/>
      <c r="L11" s="12"/>
      <c r="M11" s="12"/>
      <c r="N11" s="12"/>
    </row>
    <row r="12" spans="1:14" ht="16.5" customHeight="1">
      <c r="A12" s="31">
        <v>8</v>
      </c>
      <c r="B12" s="32" t="s">
        <v>87</v>
      </c>
      <c r="C12" s="12"/>
      <c r="D12" s="12">
        <v>84</v>
      </c>
      <c r="E12" s="16">
        <f t="shared" si="0"/>
        <v>84</v>
      </c>
      <c r="F12" s="12"/>
      <c r="G12" s="12">
        <v>21</v>
      </c>
      <c r="H12" s="16"/>
      <c r="I12" s="12"/>
      <c r="J12" s="12"/>
      <c r="K12" s="12"/>
      <c r="L12" s="12"/>
      <c r="M12" s="12"/>
      <c r="N12" s="12"/>
    </row>
    <row r="13" spans="1:14" ht="16.5" customHeight="1">
      <c r="A13" s="31">
        <v>9</v>
      </c>
      <c r="B13" s="32" t="s">
        <v>72</v>
      </c>
      <c r="C13" s="12">
        <v>91</v>
      </c>
      <c r="D13" s="12">
        <v>127</v>
      </c>
      <c r="E13" s="16">
        <f t="shared" si="0"/>
        <v>36</v>
      </c>
      <c r="F13" s="12">
        <v>10</v>
      </c>
      <c r="G13" s="12">
        <v>40</v>
      </c>
      <c r="H13" s="16">
        <f t="shared" si="1"/>
        <v>30</v>
      </c>
      <c r="I13" s="12"/>
      <c r="J13" s="12"/>
      <c r="K13" s="12"/>
      <c r="L13" s="12"/>
      <c r="M13" s="12"/>
      <c r="N13" s="12"/>
    </row>
    <row r="14" spans="1:14" ht="16.5" customHeight="1">
      <c r="A14" s="31">
        <v>10</v>
      </c>
      <c r="B14" s="32" t="s">
        <v>61</v>
      </c>
      <c r="C14" s="12">
        <v>89</v>
      </c>
      <c r="D14" s="12">
        <v>55</v>
      </c>
      <c r="E14" s="16">
        <f t="shared" si="0"/>
        <v>-34</v>
      </c>
      <c r="F14" s="12">
        <v>18</v>
      </c>
      <c r="G14" s="12"/>
      <c r="H14" s="16">
        <f t="shared" si="1"/>
        <v>-18</v>
      </c>
      <c r="I14" s="12"/>
      <c r="J14" s="12"/>
      <c r="K14" s="12"/>
      <c r="L14" s="12"/>
      <c r="M14" s="12"/>
      <c r="N14" s="12"/>
    </row>
    <row r="15" spans="1:14" ht="16.5" customHeight="1">
      <c r="A15" s="31">
        <v>11</v>
      </c>
      <c r="B15" s="32" t="s">
        <v>62</v>
      </c>
      <c r="C15" s="12">
        <v>47</v>
      </c>
      <c r="D15" s="12">
        <v>23</v>
      </c>
      <c r="E15" s="16">
        <f t="shared" si="0"/>
        <v>-24</v>
      </c>
      <c r="F15" s="12">
        <v>7</v>
      </c>
      <c r="G15" s="12"/>
      <c r="H15" s="16">
        <f t="shared" si="1"/>
        <v>-7</v>
      </c>
      <c r="I15" s="12"/>
      <c r="J15" s="12"/>
      <c r="K15" s="12"/>
      <c r="L15" s="12"/>
      <c r="M15" s="12"/>
      <c r="N15" s="12"/>
    </row>
    <row r="16" spans="1:14" ht="16.5" customHeight="1">
      <c r="A16" s="31">
        <v>12</v>
      </c>
      <c r="B16" s="32" t="s">
        <v>63</v>
      </c>
      <c r="C16" s="16"/>
      <c r="D16" s="16"/>
      <c r="E16" s="16"/>
      <c r="F16" s="16"/>
      <c r="G16" s="16"/>
      <c r="H16" s="16"/>
      <c r="I16" s="12">
        <v>1849</v>
      </c>
      <c r="J16" s="12">
        <v>1755</v>
      </c>
      <c r="K16" s="12">
        <f>J16-I16</f>
        <v>-94</v>
      </c>
      <c r="L16" s="12">
        <v>741</v>
      </c>
      <c r="M16" s="12">
        <v>711</v>
      </c>
      <c r="N16" s="12">
        <f>M16-L16</f>
        <v>-30</v>
      </c>
    </row>
    <row r="17" spans="1:14" ht="60.75" customHeight="1">
      <c r="A17" s="157" t="s">
        <v>100</v>
      </c>
      <c r="B17" s="158"/>
      <c r="C17" s="12">
        <f>SUM(C5:C15)</f>
        <v>1143</v>
      </c>
      <c r="D17" s="12">
        <f>SUM(D5:D16)</f>
        <v>1259</v>
      </c>
      <c r="E17" s="12">
        <f>D17-C17</f>
        <v>116</v>
      </c>
      <c r="F17" s="12">
        <f>SUM(F5:F16)</f>
        <v>112</v>
      </c>
      <c r="G17" s="12">
        <f>SUM(G5:G16)</f>
        <v>109</v>
      </c>
      <c r="H17" s="12">
        <f>G17-F17</f>
        <v>-3</v>
      </c>
      <c r="I17" s="12">
        <f>SUM(I8:I16)</f>
        <v>2056</v>
      </c>
      <c r="J17" s="12">
        <f>SUM(J8:J16)</f>
        <v>1962</v>
      </c>
      <c r="K17" s="12">
        <f>J17-I17</f>
        <v>-94</v>
      </c>
      <c r="L17" s="12">
        <f>SUM(L8:L16)</f>
        <v>798</v>
      </c>
      <c r="M17" s="12">
        <f>SUM(M8:M16)</f>
        <v>767</v>
      </c>
      <c r="N17" s="12">
        <f>M17-L17</f>
        <v>-31</v>
      </c>
    </row>
    <row r="18" spans="1:14" ht="16.5" customHeight="1">
      <c r="A18" s="31">
        <v>1</v>
      </c>
      <c r="B18" s="32" t="s">
        <v>82</v>
      </c>
      <c r="C18" s="12"/>
      <c r="D18" s="16"/>
      <c r="E18" s="12"/>
      <c r="F18" s="16"/>
      <c r="G18" s="16"/>
      <c r="H18" s="12"/>
      <c r="I18" s="12">
        <v>7</v>
      </c>
      <c r="J18" s="12"/>
      <c r="K18" s="12">
        <f>J18-I18</f>
        <v>-7</v>
      </c>
      <c r="L18" s="12"/>
      <c r="M18" s="12"/>
      <c r="N18" s="12">
        <f>M18-L18</f>
        <v>0</v>
      </c>
    </row>
    <row r="19" spans="1:14" ht="18.75" customHeight="1">
      <c r="A19" s="157" t="s">
        <v>90</v>
      </c>
      <c r="B19" s="158"/>
      <c r="C19" s="12"/>
      <c r="D19" s="12"/>
      <c r="E19" s="12"/>
      <c r="F19" s="12"/>
      <c r="G19" s="12"/>
      <c r="H19" s="12"/>
      <c r="I19" s="12">
        <f>I18</f>
        <v>7</v>
      </c>
      <c r="J19" s="12">
        <f>J18</f>
        <v>0</v>
      </c>
      <c r="K19" s="12">
        <f>J19-I19</f>
        <v>-7</v>
      </c>
      <c r="L19" s="12">
        <f>L18</f>
        <v>0</v>
      </c>
      <c r="M19" s="12">
        <f>M18</f>
        <v>0</v>
      </c>
      <c r="N19" s="12">
        <f>M19-L19</f>
        <v>0</v>
      </c>
    </row>
    <row r="20" spans="1:14" ht="39" customHeight="1">
      <c r="A20" s="159" t="s">
        <v>91</v>
      </c>
      <c r="B20" s="160"/>
      <c r="C20" s="12">
        <f>C17+C19</f>
        <v>1143</v>
      </c>
      <c r="D20" s="12">
        <f>D17+D19</f>
        <v>1259</v>
      </c>
      <c r="E20" s="12">
        <f>D20-C20</f>
        <v>116</v>
      </c>
      <c r="F20" s="12">
        <f>F17+F19</f>
        <v>112</v>
      </c>
      <c r="G20" s="12">
        <f>G17+G19</f>
        <v>109</v>
      </c>
      <c r="H20" s="12">
        <f>G20-F20</f>
        <v>-3</v>
      </c>
      <c r="I20" s="12">
        <f>I17+I19</f>
        <v>2063</v>
      </c>
      <c r="J20" s="12">
        <f>J17+J19</f>
        <v>1962</v>
      </c>
      <c r="K20" s="12">
        <f>J20-I20</f>
        <v>-101</v>
      </c>
      <c r="L20" s="12">
        <f>L17+L19</f>
        <v>798</v>
      </c>
      <c r="M20" s="12">
        <f>M17+M19</f>
        <v>767</v>
      </c>
      <c r="N20" s="12">
        <f>M20-L20</f>
        <v>-31</v>
      </c>
    </row>
  </sheetData>
  <sheetProtection/>
  <mergeCells count="5">
    <mergeCell ref="B2:B4"/>
    <mergeCell ref="A2:A4"/>
    <mergeCell ref="A17:B17"/>
    <mergeCell ref="A19:B19"/>
    <mergeCell ref="A20:B20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zoomScalePageLayoutView="0" workbookViewId="0" topLeftCell="A1">
      <selection activeCell="O17" sqref="O17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94" t="s">
        <v>113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">
      <c r="A3" s="154" t="s">
        <v>2</v>
      </c>
      <c r="B3" s="154" t="s">
        <v>3</v>
      </c>
      <c r="C3" s="24" t="s">
        <v>24</v>
      </c>
      <c r="D3" s="25"/>
      <c r="E3" s="27"/>
      <c r="F3" s="5" t="s">
        <v>25</v>
      </c>
      <c r="G3" s="7"/>
      <c r="H3" s="23" t="s">
        <v>27</v>
      </c>
      <c r="I3" s="34" t="s">
        <v>28</v>
      </c>
      <c r="J3" s="21"/>
      <c r="K3" s="23" t="s">
        <v>27</v>
      </c>
      <c r="L3" s="50" t="s">
        <v>30</v>
      </c>
      <c r="M3" s="21"/>
      <c r="N3" s="23" t="s">
        <v>27</v>
      </c>
    </row>
    <row r="4" spans="1:14" ht="15">
      <c r="A4" s="197"/>
      <c r="B4" s="197"/>
      <c r="C4" s="18">
        <v>2011</v>
      </c>
      <c r="D4" s="19">
        <v>2012</v>
      </c>
      <c r="E4" s="19" t="s">
        <v>97</v>
      </c>
      <c r="F4" s="18">
        <v>2011</v>
      </c>
      <c r="G4" s="19">
        <v>2012</v>
      </c>
      <c r="H4" s="44" t="s">
        <v>26</v>
      </c>
      <c r="I4" s="30" t="s">
        <v>29</v>
      </c>
      <c r="J4" s="28"/>
      <c r="K4" s="44" t="s">
        <v>26</v>
      </c>
      <c r="L4" s="52" t="s">
        <v>31</v>
      </c>
      <c r="M4" s="28"/>
      <c r="N4" s="44" t="s">
        <v>26</v>
      </c>
    </row>
    <row r="5" spans="1:14" ht="15">
      <c r="A5" s="197"/>
      <c r="B5" s="197"/>
      <c r="C5" s="40"/>
      <c r="D5" s="11"/>
      <c r="E5" s="11" t="s">
        <v>98</v>
      </c>
      <c r="F5" s="29"/>
      <c r="G5" s="28"/>
      <c r="H5" s="29" t="s">
        <v>99</v>
      </c>
      <c r="I5" s="18">
        <v>2011</v>
      </c>
      <c r="J5" s="19">
        <v>2012</v>
      </c>
      <c r="K5" s="29" t="s">
        <v>99</v>
      </c>
      <c r="L5" s="18">
        <v>2011</v>
      </c>
      <c r="M5" s="19">
        <v>2012</v>
      </c>
      <c r="N5" s="29" t="s">
        <v>99</v>
      </c>
    </row>
    <row r="6" spans="1:14" ht="16.5" customHeight="1">
      <c r="A6" s="31">
        <v>1</v>
      </c>
      <c r="B6" s="31" t="s">
        <v>55</v>
      </c>
      <c r="C6" s="36">
        <v>134</v>
      </c>
      <c r="D6" s="36">
        <v>88</v>
      </c>
      <c r="E6" s="36">
        <f aca="true" t="shared" si="0" ref="E6:E17">D6*100/C6</f>
        <v>65.67164179104478</v>
      </c>
      <c r="F6" s="36">
        <v>126</v>
      </c>
      <c r="G6" s="36">
        <v>85</v>
      </c>
      <c r="H6" s="36">
        <f aca="true" t="shared" si="1" ref="H6:H17">G6-F6</f>
        <v>-41</v>
      </c>
      <c r="I6" s="36">
        <f>F6*100/180</f>
        <v>70</v>
      </c>
      <c r="J6" s="36">
        <f>G6*100/180</f>
        <v>47.22222222222222</v>
      </c>
      <c r="K6" s="36">
        <f aca="true" t="shared" si="2" ref="K6:K17">J6-I6</f>
        <v>-22.77777777777778</v>
      </c>
      <c r="L6" s="36">
        <f>(C6-F6)*100/180</f>
        <v>4.444444444444445</v>
      </c>
      <c r="M6" s="36">
        <f>(D6-G6)*100/180</f>
        <v>1.6666666666666667</v>
      </c>
      <c r="N6" s="36">
        <f>M6-L6</f>
        <v>-2.7777777777777777</v>
      </c>
    </row>
    <row r="7" spans="1:14" ht="16.5" customHeight="1">
      <c r="A7" s="31">
        <v>2</v>
      </c>
      <c r="B7" s="31" t="s">
        <v>56</v>
      </c>
      <c r="C7" s="36">
        <v>100</v>
      </c>
      <c r="D7" s="36">
        <v>87</v>
      </c>
      <c r="E7" s="36">
        <f t="shared" si="0"/>
        <v>87</v>
      </c>
      <c r="F7" s="36">
        <v>91</v>
      </c>
      <c r="G7" s="123">
        <v>84</v>
      </c>
      <c r="H7" s="36">
        <f t="shared" si="1"/>
        <v>-7</v>
      </c>
      <c r="I7" s="36">
        <f>F7*100/105</f>
        <v>86.66666666666667</v>
      </c>
      <c r="J7" s="36">
        <f>G7*100/105</f>
        <v>80</v>
      </c>
      <c r="K7" s="36">
        <f>J7-I7</f>
        <v>-6.666666666666671</v>
      </c>
      <c r="L7" s="36">
        <f>(C7-F7)*100/105</f>
        <v>8.571428571428571</v>
      </c>
      <c r="M7" s="36">
        <f>(D7-G7)*100/105</f>
        <v>2.857142857142857</v>
      </c>
      <c r="N7" s="36">
        <f>M7-L7</f>
        <v>-5.7142857142857135</v>
      </c>
    </row>
    <row r="8" spans="1:14" ht="16.5" customHeight="1">
      <c r="A8" s="31">
        <v>3</v>
      </c>
      <c r="B8" s="31" t="s">
        <v>57</v>
      </c>
      <c r="C8" s="36">
        <v>52</v>
      </c>
      <c r="D8" s="36">
        <v>44</v>
      </c>
      <c r="E8" s="36">
        <f t="shared" si="0"/>
        <v>84.61538461538461</v>
      </c>
      <c r="F8" s="36">
        <v>47</v>
      </c>
      <c r="G8" s="36">
        <v>41</v>
      </c>
      <c r="H8" s="36">
        <f t="shared" si="1"/>
        <v>-6</v>
      </c>
      <c r="I8" s="36">
        <f>F8*100/60</f>
        <v>78.33333333333333</v>
      </c>
      <c r="J8" s="36">
        <f>G8*100/60</f>
        <v>68.33333333333333</v>
      </c>
      <c r="K8" s="36">
        <f>J8-I8</f>
        <v>-10</v>
      </c>
      <c r="L8" s="36">
        <f>(C8-F8)*100/60</f>
        <v>8.333333333333334</v>
      </c>
      <c r="M8" s="36">
        <f>(D8-G8)*100/60</f>
        <v>5</v>
      </c>
      <c r="N8" s="36">
        <f>M8-L8</f>
        <v>-3.333333333333334</v>
      </c>
    </row>
    <row r="9" spans="1:14" ht="16.5" customHeight="1">
      <c r="A9" s="31">
        <v>4</v>
      </c>
      <c r="B9" s="22" t="s">
        <v>58</v>
      </c>
      <c r="C9" s="36">
        <v>151</v>
      </c>
      <c r="D9" s="36">
        <v>166</v>
      </c>
      <c r="E9" s="36">
        <f t="shared" si="0"/>
        <v>109.93377483443709</v>
      </c>
      <c r="F9" s="36">
        <v>121</v>
      </c>
      <c r="G9" s="36">
        <v>140</v>
      </c>
      <c r="H9" s="36">
        <f t="shared" si="1"/>
        <v>19</v>
      </c>
      <c r="I9" s="36">
        <f>F9*100/308</f>
        <v>39.285714285714285</v>
      </c>
      <c r="J9" s="36">
        <f>G9*100/308</f>
        <v>45.45454545454545</v>
      </c>
      <c r="K9" s="36">
        <f t="shared" si="2"/>
        <v>6.1688311688311686</v>
      </c>
      <c r="L9" s="36">
        <f>(C9-F9)*100/308</f>
        <v>9.74025974025974</v>
      </c>
      <c r="M9" s="36">
        <f>(D9-G9)*100/308</f>
        <v>8.441558441558442</v>
      </c>
      <c r="N9" s="36">
        <f aca="true" t="shared" si="3" ref="N9:N17">M9-L9</f>
        <v>-1.2987012987012978</v>
      </c>
    </row>
    <row r="10" spans="1:14" ht="16.5" customHeight="1">
      <c r="A10" s="31">
        <v>5</v>
      </c>
      <c r="B10" s="31" t="s">
        <v>59</v>
      </c>
      <c r="C10" s="36">
        <v>87</v>
      </c>
      <c r="D10" s="36">
        <v>121</v>
      </c>
      <c r="E10" s="36">
        <f t="shared" si="0"/>
        <v>139.08045977011494</v>
      </c>
      <c r="F10" s="36">
        <v>79</v>
      </c>
      <c r="G10" s="36">
        <v>107</v>
      </c>
      <c r="H10" s="36">
        <f t="shared" si="1"/>
        <v>28</v>
      </c>
      <c r="I10" s="36">
        <f>F10*100/280</f>
        <v>28.214285714285715</v>
      </c>
      <c r="J10" s="36">
        <f>G10*100/280</f>
        <v>38.214285714285715</v>
      </c>
      <c r="K10" s="36">
        <f t="shared" si="2"/>
        <v>10</v>
      </c>
      <c r="L10" s="36">
        <f>(C10-F10)*100/280</f>
        <v>2.857142857142857</v>
      </c>
      <c r="M10" s="36">
        <f>(D10-G10)*100/280</f>
        <v>5</v>
      </c>
      <c r="N10" s="36">
        <f t="shared" si="3"/>
        <v>2.142857142857143</v>
      </c>
    </row>
    <row r="11" spans="1:14" ht="16.5" customHeight="1">
      <c r="A11" s="31">
        <v>6</v>
      </c>
      <c r="B11" s="32" t="s">
        <v>73</v>
      </c>
      <c r="C11" s="89">
        <v>74</v>
      </c>
      <c r="D11" s="89">
        <v>64</v>
      </c>
      <c r="E11" s="36">
        <f t="shared" si="0"/>
        <v>86.48648648648648</v>
      </c>
      <c r="F11" s="89">
        <v>68</v>
      </c>
      <c r="G11" s="89">
        <v>51</v>
      </c>
      <c r="H11" s="36">
        <f t="shared" si="1"/>
        <v>-17</v>
      </c>
      <c r="I11" s="89">
        <f>F11*100/85</f>
        <v>80</v>
      </c>
      <c r="J11" s="89">
        <f>G11*100/85</f>
        <v>60</v>
      </c>
      <c r="K11" s="36">
        <f t="shared" si="2"/>
        <v>-20</v>
      </c>
      <c r="L11" s="36">
        <f>(C11-F11)*100/85</f>
        <v>7.0588235294117645</v>
      </c>
      <c r="M11" s="36">
        <f>(D11-G11)*100/85</f>
        <v>15.294117647058824</v>
      </c>
      <c r="N11" s="89">
        <f t="shared" si="3"/>
        <v>8.23529411764706</v>
      </c>
    </row>
    <row r="12" spans="1:14" ht="16.5" customHeight="1">
      <c r="A12" s="31">
        <v>7</v>
      </c>
      <c r="B12" s="32" t="s">
        <v>60</v>
      </c>
      <c r="C12" s="89">
        <v>66</v>
      </c>
      <c r="D12" s="89"/>
      <c r="E12" s="36">
        <f t="shared" si="0"/>
        <v>0</v>
      </c>
      <c r="F12" s="89">
        <v>58</v>
      </c>
      <c r="G12" s="89"/>
      <c r="H12" s="36">
        <f t="shared" si="1"/>
        <v>-58</v>
      </c>
      <c r="I12" s="89">
        <f>F12*100/60</f>
        <v>96.66666666666667</v>
      </c>
      <c r="J12" s="89">
        <f>G12*100/60</f>
        <v>0</v>
      </c>
      <c r="K12" s="36">
        <f t="shared" si="2"/>
        <v>-96.66666666666667</v>
      </c>
      <c r="L12" s="36">
        <f>(C12-F12)*100/60</f>
        <v>13.333333333333334</v>
      </c>
      <c r="M12" s="36">
        <f>(D12-G12)*100/60</f>
        <v>0</v>
      </c>
      <c r="N12" s="89">
        <f t="shared" si="3"/>
        <v>-13.333333333333334</v>
      </c>
    </row>
    <row r="13" spans="1:14" ht="16.5" customHeight="1">
      <c r="A13" s="31">
        <v>8</v>
      </c>
      <c r="B13" s="32" t="s">
        <v>87</v>
      </c>
      <c r="C13" s="118">
        <v>5</v>
      </c>
      <c r="D13" s="89">
        <v>79</v>
      </c>
      <c r="E13" s="36">
        <f>D13*100/C14</f>
        <v>96.34146341463415</v>
      </c>
      <c r="F13" s="89"/>
      <c r="G13" s="89">
        <v>65</v>
      </c>
      <c r="H13" s="36">
        <f t="shared" si="1"/>
        <v>65</v>
      </c>
      <c r="I13" s="89"/>
      <c r="J13" s="89">
        <f>G13*100/5</f>
        <v>1300</v>
      </c>
      <c r="K13" s="36"/>
      <c r="L13" s="36"/>
      <c r="M13" s="36">
        <f>(D13-G13)*100/5</f>
        <v>280</v>
      </c>
      <c r="N13" s="89"/>
    </row>
    <row r="14" spans="1:14" ht="16.5" customHeight="1">
      <c r="A14" s="31">
        <v>9</v>
      </c>
      <c r="B14" s="32" t="s">
        <v>72</v>
      </c>
      <c r="C14" s="89">
        <v>82</v>
      </c>
      <c r="D14" s="89">
        <v>59</v>
      </c>
      <c r="E14" s="36">
        <f>D14*100/C15</f>
        <v>93.65079365079364</v>
      </c>
      <c r="F14" s="89">
        <v>71</v>
      </c>
      <c r="G14" s="89">
        <v>52</v>
      </c>
      <c r="H14" s="36">
        <f t="shared" si="1"/>
        <v>-19</v>
      </c>
      <c r="I14" s="89">
        <f>F14*100/78</f>
        <v>91.02564102564102</v>
      </c>
      <c r="J14" s="89">
        <f>G14*100/78</f>
        <v>66.66666666666667</v>
      </c>
      <c r="K14" s="36">
        <f t="shared" si="2"/>
        <v>-24.35897435897435</v>
      </c>
      <c r="L14" s="36">
        <f>(C14-F14)*100/78</f>
        <v>14.102564102564102</v>
      </c>
      <c r="M14" s="36">
        <f>(D14-G14)*100/78</f>
        <v>8.974358974358974</v>
      </c>
      <c r="N14" s="89">
        <f t="shared" si="3"/>
        <v>-5.128205128205128</v>
      </c>
    </row>
    <row r="15" spans="1:14" ht="16.5" customHeight="1">
      <c r="A15" s="31">
        <v>10</v>
      </c>
      <c r="B15" s="32" t="s">
        <v>61</v>
      </c>
      <c r="C15" s="89">
        <v>63</v>
      </c>
      <c r="D15" s="89">
        <v>85</v>
      </c>
      <c r="E15" s="36">
        <f>D15*100/C16</f>
        <v>303.57142857142856</v>
      </c>
      <c r="F15" s="89">
        <v>60</v>
      </c>
      <c r="G15" s="89">
        <v>73</v>
      </c>
      <c r="H15" s="36">
        <f t="shared" si="1"/>
        <v>13</v>
      </c>
      <c r="I15" s="89">
        <f>F15*100/100</f>
        <v>60</v>
      </c>
      <c r="J15" s="89">
        <f>G15*100/100</f>
        <v>73</v>
      </c>
      <c r="K15" s="36">
        <f t="shared" si="2"/>
        <v>13</v>
      </c>
      <c r="L15" s="36">
        <f>(C15-F15)*100/100</f>
        <v>3</v>
      </c>
      <c r="M15" s="36">
        <f>(D15-G15)*100/100</f>
        <v>12</v>
      </c>
      <c r="N15" s="89">
        <f t="shared" si="3"/>
        <v>9</v>
      </c>
    </row>
    <row r="16" spans="1:14" ht="16.5" customHeight="1">
      <c r="A16" s="31">
        <v>11</v>
      </c>
      <c r="B16" s="32" t="s">
        <v>62</v>
      </c>
      <c r="C16" s="89">
        <v>28</v>
      </c>
      <c r="D16" s="89">
        <v>30</v>
      </c>
      <c r="E16" s="36">
        <f>D16*100/C17</f>
        <v>3.5629453681710213</v>
      </c>
      <c r="F16" s="89">
        <v>28</v>
      </c>
      <c r="G16" s="89">
        <v>30</v>
      </c>
      <c r="H16" s="36">
        <f t="shared" si="1"/>
        <v>2</v>
      </c>
      <c r="I16" s="89">
        <f>F16*100/42</f>
        <v>66.66666666666667</v>
      </c>
      <c r="J16" s="89">
        <f>G16*100/42</f>
        <v>71.42857142857143</v>
      </c>
      <c r="K16" s="36">
        <f t="shared" si="2"/>
        <v>4.761904761904759</v>
      </c>
      <c r="L16" s="36">
        <f>(C16-F16)*100/42</f>
        <v>0</v>
      </c>
      <c r="M16" s="36">
        <f>(D16-G16)*100/42</f>
        <v>0</v>
      </c>
      <c r="N16" s="89">
        <f t="shared" si="3"/>
        <v>0</v>
      </c>
    </row>
    <row r="17" spans="1:14" ht="61.5" customHeight="1">
      <c r="A17" s="195" t="s">
        <v>96</v>
      </c>
      <c r="B17" s="196"/>
      <c r="C17" s="36">
        <f>SUM(C6:C16)</f>
        <v>842</v>
      </c>
      <c r="D17" s="3">
        <f>SUM(D6:D16)</f>
        <v>823</v>
      </c>
      <c r="E17" s="36">
        <f t="shared" si="0"/>
        <v>97.74346793349169</v>
      </c>
      <c r="F17" s="3">
        <f>SUM(F6:F16)</f>
        <v>749</v>
      </c>
      <c r="G17" s="3">
        <f>SUM(G6:G16)</f>
        <v>728</v>
      </c>
      <c r="H17" s="36">
        <f t="shared" si="1"/>
        <v>-21</v>
      </c>
      <c r="I17" s="36">
        <f>F17*100/1298</f>
        <v>57.70416024653313</v>
      </c>
      <c r="J17" s="36">
        <f>G17*100/1303</f>
        <v>55.87106676899463</v>
      </c>
      <c r="K17" s="36">
        <f t="shared" si="2"/>
        <v>-1.8330934775384975</v>
      </c>
      <c r="L17" s="36">
        <f>(C17-F17)*100/1298</f>
        <v>7.164869029275809</v>
      </c>
      <c r="M17" s="36">
        <f>(D17-G17)*100/1303</f>
        <v>7.290867229470453</v>
      </c>
      <c r="N17" s="36">
        <f t="shared" si="3"/>
        <v>0.12599820019464403</v>
      </c>
    </row>
  </sheetData>
  <sheetProtection/>
  <mergeCells count="4">
    <mergeCell ref="A1:N1"/>
    <mergeCell ref="A17:B17"/>
    <mergeCell ref="B3:B5"/>
    <mergeCell ref="A3:A5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zoomScalePageLayoutView="0" workbookViewId="0" topLeftCell="A1">
      <selection activeCell="J15" sqref="J15"/>
    </sheetView>
  </sheetViews>
  <sheetFormatPr defaultColWidth="9.00390625" defaultRowHeight="12.75"/>
  <cols>
    <col min="1" max="1" width="3.75390625" style="20" customWidth="1"/>
    <col min="2" max="2" width="29.75390625" style="20" customWidth="1"/>
    <col min="3" max="3" width="12.125" style="20" customWidth="1"/>
    <col min="4" max="4" width="14.625" style="20" customWidth="1"/>
    <col min="5" max="5" width="13.00390625" style="20" customWidth="1"/>
    <col min="6" max="6" width="13.25390625" style="20" customWidth="1"/>
    <col min="7" max="16384" width="9.125" style="20" customWidth="1"/>
  </cols>
  <sheetData>
    <row r="1" spans="1:9" ht="15.75" customHeight="1">
      <c r="A1" s="198" t="s">
        <v>108</v>
      </c>
      <c r="B1" s="198"/>
      <c r="C1" s="198"/>
      <c r="D1" s="198"/>
      <c r="E1" s="198"/>
      <c r="F1" s="198"/>
      <c r="G1" s="76"/>
      <c r="H1" s="76"/>
      <c r="I1" s="76"/>
    </row>
    <row r="2" spans="1:9" ht="15.75">
      <c r="A2" s="199" t="s">
        <v>112</v>
      </c>
      <c r="B2" s="199"/>
      <c r="C2" s="199"/>
      <c r="D2" s="199"/>
      <c r="E2" s="199"/>
      <c r="F2" s="199"/>
      <c r="G2" s="76"/>
      <c r="H2" s="76"/>
      <c r="I2" s="76"/>
    </row>
    <row r="3" spans="1:9" ht="15">
      <c r="A3" s="4" t="s">
        <v>2</v>
      </c>
      <c r="B3" s="4" t="s">
        <v>3</v>
      </c>
      <c r="C3" s="5" t="s">
        <v>42</v>
      </c>
      <c r="D3" s="6"/>
      <c r="E3" s="5" t="s">
        <v>43</v>
      </c>
      <c r="F3" s="7"/>
      <c r="G3" s="76"/>
      <c r="H3" s="76"/>
      <c r="I3" s="76"/>
    </row>
    <row r="4" spans="1:9" ht="15">
      <c r="A4" s="8"/>
      <c r="B4" s="8"/>
      <c r="C4" s="18">
        <v>2010</v>
      </c>
      <c r="D4" s="19">
        <v>2011</v>
      </c>
      <c r="E4" s="18">
        <v>2010</v>
      </c>
      <c r="F4" s="19">
        <v>2011</v>
      </c>
      <c r="G4" s="76"/>
      <c r="H4" s="76"/>
      <c r="I4" s="76"/>
    </row>
    <row r="5" spans="1:9" ht="15">
      <c r="A5" s="3">
        <v>1</v>
      </c>
      <c r="B5" s="22" t="s">
        <v>55</v>
      </c>
      <c r="C5" s="36">
        <f>(молоко!C7*1000)/1875</f>
        <v>172.8</v>
      </c>
      <c r="D5" s="36">
        <f>(молоко!D7*1000)/1875</f>
        <v>147.14666666666668</v>
      </c>
      <c r="E5" s="36">
        <f>(мясо!C6*1000)/1875</f>
        <v>16.906666666666666</v>
      </c>
      <c r="F5" s="36">
        <f>(мясо!D6*1000)/1875</f>
        <v>18.666666666666668</v>
      </c>
      <c r="H5" s="76"/>
      <c r="I5" s="76"/>
    </row>
    <row r="6" spans="1:9" ht="15">
      <c r="A6" s="3">
        <v>2</v>
      </c>
      <c r="B6" s="22" t="s">
        <v>56</v>
      </c>
      <c r="C6" s="36">
        <f>(молоко!C8*1000)/799</f>
        <v>276.59574468085106</v>
      </c>
      <c r="D6" s="36">
        <f>(молоко!D8*1000)/799</f>
        <v>287.65832290362954</v>
      </c>
      <c r="E6" s="36">
        <f>(мясо!C7*1000)/799</f>
        <v>17.521902377972467</v>
      </c>
      <c r="F6" s="36">
        <f>(мясо!D7*1000)/799</f>
        <v>9.117647058823529</v>
      </c>
      <c r="H6" s="76"/>
      <c r="I6" s="76"/>
    </row>
    <row r="7" spans="1:9" ht="15">
      <c r="A7" s="3">
        <v>3</v>
      </c>
      <c r="B7" s="22" t="s">
        <v>57</v>
      </c>
      <c r="C7" s="36">
        <f>(молоко!C9*1000)/2025</f>
        <v>81.48148148148148</v>
      </c>
      <c r="D7" s="36">
        <f>(молоко!D9*1000)/2025</f>
        <v>79.01234567901234</v>
      </c>
      <c r="E7" s="36">
        <f>(мясо!C8*1000)/2025</f>
        <v>3.0123456790123457</v>
      </c>
      <c r="F7" s="36">
        <f>(мясо!D8*1000)/2025</f>
        <v>3.6049382716049383</v>
      </c>
      <c r="H7" s="76"/>
      <c r="I7" s="76"/>
    </row>
    <row r="8" spans="1:9" ht="15">
      <c r="A8" s="3">
        <v>4</v>
      </c>
      <c r="B8" s="38" t="s">
        <v>58</v>
      </c>
      <c r="C8" s="36">
        <f>(молоко!C10*1000)/2478</f>
        <v>263.6400322841001</v>
      </c>
      <c r="D8" s="36">
        <f>(молоко!D10*1000)/2478</f>
        <v>316.70702179176754</v>
      </c>
      <c r="E8" s="36">
        <f>(мясо!C9*1000)/2478</f>
        <v>38.05488297013721</v>
      </c>
      <c r="F8" s="36">
        <f>(мясо!D9*1000)/2478</f>
        <v>22.598870056497177</v>
      </c>
      <c r="H8" s="76"/>
      <c r="I8" s="76"/>
    </row>
    <row r="9" spans="1:9" ht="15">
      <c r="A9" s="3">
        <v>5</v>
      </c>
      <c r="B9" s="22" t="s">
        <v>59</v>
      </c>
      <c r="C9" s="36">
        <f>(молоко!C11*1000)/2157</f>
        <v>171.07093184979138</v>
      </c>
      <c r="D9" s="36">
        <f>(молоко!D11*1000)/2157</f>
        <v>142.7909133055169</v>
      </c>
      <c r="E9" s="36">
        <f>(мясо!C10*1000)/2157</f>
        <v>24.942049142327306</v>
      </c>
      <c r="F9" s="36">
        <f>(мясо!D10*1000)/2157</f>
        <v>23.180343069077423</v>
      </c>
      <c r="H9" s="76"/>
      <c r="I9" s="76"/>
    </row>
    <row r="10" spans="1:9" ht="15">
      <c r="A10" s="3">
        <v>6</v>
      </c>
      <c r="B10" s="38" t="s">
        <v>73</v>
      </c>
      <c r="C10" s="36">
        <f>(молоко!C12*1000)/859</f>
        <v>316.7636786961583</v>
      </c>
      <c r="D10" s="36">
        <f>(молоко!D12*1000)/859</f>
        <v>290.6868451688009</v>
      </c>
      <c r="E10" s="36">
        <f>(мясо!C11*1000)/859</f>
        <v>27.240977881257276</v>
      </c>
      <c r="F10" s="36">
        <f>(мясо!D11*1000)/859</f>
        <v>20.162980209545985</v>
      </c>
      <c r="H10" s="76"/>
      <c r="I10" s="76"/>
    </row>
    <row r="11" spans="1:9" ht="15">
      <c r="A11" s="3">
        <v>7</v>
      </c>
      <c r="B11" s="38" t="s">
        <v>60</v>
      </c>
      <c r="C11" s="36">
        <f>(молоко!C13*1000)/1482</f>
        <v>124.56140350877193</v>
      </c>
      <c r="D11" s="36">
        <f>(молоко!D13*1000)/1482</f>
        <v>0</v>
      </c>
      <c r="E11" s="36">
        <f>(мясо!C12*1000)/1482</f>
        <v>0.6747638326585695</v>
      </c>
      <c r="F11" s="36">
        <f>(мясо!D12*1000)/1482</f>
        <v>0</v>
      </c>
      <c r="H11" s="76"/>
      <c r="I11" s="76"/>
    </row>
    <row r="12" spans="1:9" ht="15">
      <c r="A12" s="3">
        <v>8</v>
      </c>
      <c r="B12" s="32" t="s">
        <v>87</v>
      </c>
      <c r="C12" s="36"/>
      <c r="D12" s="36"/>
      <c r="E12" s="36"/>
      <c r="F12" s="36"/>
      <c r="H12" s="76"/>
      <c r="I12" s="76"/>
    </row>
    <row r="13" spans="1:9" ht="15.75" customHeight="1">
      <c r="A13" s="3">
        <v>9</v>
      </c>
      <c r="B13" s="32" t="s">
        <v>72</v>
      </c>
      <c r="C13" s="36">
        <f>(молоко!C15*1000)/1077</f>
        <v>302.87836583101205</v>
      </c>
      <c r="D13" s="36">
        <f>(молоко!D15*1000)/1077</f>
        <v>290.7975858867224</v>
      </c>
      <c r="E13" s="36">
        <f>(мясо!C14*1000)/1077</f>
        <v>14.289693593314762</v>
      </c>
      <c r="F13" s="36">
        <f>(мясо!D14*1000)/1077</f>
        <v>13.695450324976788</v>
      </c>
      <c r="H13" s="76"/>
      <c r="I13" s="76"/>
    </row>
    <row r="14" spans="1:9" ht="15">
      <c r="A14" s="3">
        <v>10</v>
      </c>
      <c r="B14" s="38" t="s">
        <v>61</v>
      </c>
      <c r="C14" s="36">
        <f>(молоко!C16*1000)/1084</f>
        <v>203.3210332103321</v>
      </c>
      <c r="D14" s="36">
        <f>(молоко!D16*1000)/1084</f>
        <v>208.30258302583024</v>
      </c>
      <c r="E14" s="36">
        <f>(мясо!C15*1000)/1084</f>
        <v>13.560885608856088</v>
      </c>
      <c r="F14" s="36">
        <f>(мясо!D15*1000)/1084</f>
        <v>19.280442804428045</v>
      </c>
      <c r="H14" s="76"/>
      <c r="I14" s="76"/>
    </row>
    <row r="15" spans="1:9" ht="15">
      <c r="A15" s="3">
        <v>11</v>
      </c>
      <c r="B15" s="38" t="s">
        <v>62</v>
      </c>
      <c r="C15" s="36">
        <f>(молоко!C17*1000)/674</f>
        <v>161.72106824925817</v>
      </c>
      <c r="D15" s="36">
        <f>(молоко!D17*1000)/674</f>
        <v>157.2700296735905</v>
      </c>
      <c r="E15" s="36">
        <f>(мясо!C16*1000)/674</f>
        <v>17.2106824925816</v>
      </c>
      <c r="F15" s="36">
        <f>(мясо!D16*1000)/674</f>
        <v>6.379821958456973</v>
      </c>
      <c r="H15" s="76"/>
      <c r="I15" s="76"/>
    </row>
    <row r="16" spans="1:9" ht="15">
      <c r="A16" s="3">
        <v>12</v>
      </c>
      <c r="B16" s="38" t="s">
        <v>63</v>
      </c>
      <c r="C16" s="36"/>
      <c r="D16" s="36"/>
      <c r="E16" s="36">
        <f>(мясо!C17*1000)/983</f>
        <v>691.7599186164801</v>
      </c>
      <c r="F16" s="36">
        <f>(мясо!D17*1000)/983</f>
        <v>850.4577822990844</v>
      </c>
      <c r="H16" s="76"/>
      <c r="I16" s="76"/>
    </row>
    <row r="17" spans="1:6" ht="63.75" customHeight="1">
      <c r="A17" s="195" t="s">
        <v>96</v>
      </c>
      <c r="B17" s="196"/>
      <c r="C17" s="36">
        <f>(молоко!C18*1000)/22877</f>
        <v>124.39568125191238</v>
      </c>
      <c r="D17" s="36">
        <f>(молоко!D18*1000)/22877</f>
        <v>125.16697993618044</v>
      </c>
      <c r="E17" s="36">
        <f>(мясо!C24*1000)/22877</f>
        <v>41.58018971018927</v>
      </c>
      <c r="F17" s="36">
        <f>(мясо!D24*1000)/22877</f>
        <v>46.71674607684574</v>
      </c>
    </row>
  </sheetData>
  <sheetProtection/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0" zoomScaleNormal="75" zoomScaleSheetLayoutView="70" zoomScalePageLayoutView="0" workbookViewId="0" topLeftCell="A1">
      <selection activeCell="O21" sqref="O21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0"/>
      <c r="B1" s="14"/>
      <c r="C1" s="43" t="s">
        <v>111</v>
      </c>
      <c r="D1" s="43"/>
      <c r="E1" s="43"/>
      <c r="F1" s="14"/>
      <c r="G1" s="14"/>
      <c r="H1" s="14"/>
      <c r="I1" s="14"/>
      <c r="J1" s="14"/>
      <c r="K1" s="14"/>
    </row>
    <row r="2" spans="1:11" ht="18" customHeight="1">
      <c r="A2" s="20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9.5" customHeight="1">
      <c r="A3" s="149" t="s">
        <v>2</v>
      </c>
      <c r="B3" s="202" t="s">
        <v>3</v>
      </c>
      <c r="C3" s="203" t="s">
        <v>92</v>
      </c>
      <c r="D3" s="204"/>
      <c r="E3" s="205"/>
      <c r="F3" s="54" t="s">
        <v>11</v>
      </c>
      <c r="G3" s="55" t="s">
        <v>14</v>
      </c>
      <c r="H3" s="56" t="s">
        <v>16</v>
      </c>
      <c r="I3" s="57"/>
      <c r="J3" s="53"/>
      <c r="K3" s="53" t="s">
        <v>17</v>
      </c>
    </row>
    <row r="4" spans="1:11" ht="18">
      <c r="A4" s="177"/>
      <c r="B4" s="177"/>
      <c r="C4" s="58">
        <v>2011</v>
      </c>
      <c r="D4" s="54">
        <v>2012</v>
      </c>
      <c r="E4" s="54" t="s">
        <v>97</v>
      </c>
      <c r="F4" s="59" t="s">
        <v>12</v>
      </c>
      <c r="G4" s="60" t="s">
        <v>15</v>
      </c>
      <c r="H4" s="58">
        <v>2011</v>
      </c>
      <c r="I4" s="54">
        <v>2012</v>
      </c>
      <c r="J4" s="54" t="s">
        <v>97</v>
      </c>
      <c r="K4" s="61" t="s">
        <v>18</v>
      </c>
    </row>
    <row r="5" spans="1:11" ht="18">
      <c r="A5" s="150"/>
      <c r="B5" s="150"/>
      <c r="C5" s="62"/>
      <c r="D5" s="63"/>
      <c r="E5" s="63" t="s">
        <v>98</v>
      </c>
      <c r="F5" s="63" t="s">
        <v>13</v>
      </c>
      <c r="G5" s="64"/>
      <c r="H5" s="62"/>
      <c r="I5" s="63"/>
      <c r="J5" s="63" t="s">
        <v>98</v>
      </c>
      <c r="K5" s="65" t="s">
        <v>0</v>
      </c>
    </row>
    <row r="6" spans="1:11" ht="18" customHeight="1">
      <c r="A6" s="206" t="s">
        <v>93</v>
      </c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6.5" customHeight="1">
      <c r="A7" s="31">
        <v>1</v>
      </c>
      <c r="B7" s="66" t="s">
        <v>55</v>
      </c>
      <c r="C7" s="12">
        <v>324</v>
      </c>
      <c r="D7" s="12">
        <v>275.9</v>
      </c>
      <c r="E7" s="13">
        <f aca="true" t="shared" si="0" ref="E7:E17">D7/C7*100</f>
        <v>85.15432098765432</v>
      </c>
      <c r="F7" s="12">
        <v>233.8</v>
      </c>
      <c r="G7" s="13">
        <f aca="true" t="shared" si="1" ref="G7:G17">F7/D7*100</f>
        <v>84.74084813338168</v>
      </c>
      <c r="H7" s="17">
        <f>C7/'численность 1'!J6*1000</f>
        <v>1800</v>
      </c>
      <c r="I7" s="17">
        <f>D7/'численность 1'!K6*1000</f>
        <v>1532.7777777777776</v>
      </c>
      <c r="J7" s="13">
        <f aca="true" t="shared" si="2" ref="J7:J22">I7/H7*100</f>
        <v>85.1543209876543</v>
      </c>
      <c r="K7" s="12"/>
    </row>
    <row r="8" spans="1:11" ht="16.5" customHeight="1">
      <c r="A8" s="31">
        <v>2</v>
      </c>
      <c r="B8" s="66" t="s">
        <v>56</v>
      </c>
      <c r="C8" s="12">
        <v>221</v>
      </c>
      <c r="D8" s="12">
        <v>229.839</v>
      </c>
      <c r="E8" s="13">
        <f t="shared" si="0"/>
        <v>103.99954751131222</v>
      </c>
      <c r="F8" s="12">
        <v>205.338</v>
      </c>
      <c r="G8" s="13">
        <f t="shared" si="1"/>
        <v>89.3399292548262</v>
      </c>
      <c r="H8" s="17">
        <f>C8/'численность 1'!J7*1000</f>
        <v>2104.761904761905</v>
      </c>
      <c r="I8" s="13">
        <f>D8/'численность 1'!K7*1000</f>
        <v>2188.942857142857</v>
      </c>
      <c r="J8" s="13">
        <f t="shared" si="2"/>
        <v>103.9995475113122</v>
      </c>
      <c r="K8" s="12"/>
    </row>
    <row r="9" spans="1:11" ht="16.5" customHeight="1">
      <c r="A9" s="31">
        <v>3</v>
      </c>
      <c r="B9" s="66" t="s">
        <v>57</v>
      </c>
      <c r="C9" s="12">
        <v>165</v>
      </c>
      <c r="D9" s="12">
        <v>160</v>
      </c>
      <c r="E9" s="13">
        <f t="shared" si="0"/>
        <v>96.96969696969697</v>
      </c>
      <c r="F9" s="12">
        <v>117</v>
      </c>
      <c r="G9" s="13">
        <f t="shared" si="1"/>
        <v>73.125</v>
      </c>
      <c r="H9" s="17">
        <f>C9/'численность 1'!J8*1000</f>
        <v>2750</v>
      </c>
      <c r="I9" s="13">
        <f>D9/'численность 1'!K8*1000</f>
        <v>2666.6666666666665</v>
      </c>
      <c r="J9" s="13">
        <f t="shared" si="2"/>
        <v>96.96969696969695</v>
      </c>
      <c r="K9" s="12"/>
    </row>
    <row r="10" spans="1:11" ht="16.5" customHeight="1">
      <c r="A10" s="31">
        <v>4</v>
      </c>
      <c r="B10" s="66" t="s">
        <v>58</v>
      </c>
      <c r="C10" s="12">
        <v>653.3</v>
      </c>
      <c r="D10" s="12">
        <v>784.8</v>
      </c>
      <c r="E10" s="13">
        <f t="shared" si="0"/>
        <v>120.12857798867289</v>
      </c>
      <c r="F10" s="12">
        <v>726.3</v>
      </c>
      <c r="G10" s="13">
        <f t="shared" si="1"/>
        <v>92.54587155963303</v>
      </c>
      <c r="H10" s="17">
        <f>C10/'численность 1'!J9*1000</f>
        <v>2121.103896103896</v>
      </c>
      <c r="I10" s="13">
        <f>D10/'численность 1'!K9*1000</f>
        <v>2548.0519480519483</v>
      </c>
      <c r="J10" s="13">
        <f t="shared" si="2"/>
        <v>120.12857798867289</v>
      </c>
      <c r="K10" s="12"/>
    </row>
    <row r="11" spans="1:11" ht="16.5" customHeight="1">
      <c r="A11" s="31">
        <v>5</v>
      </c>
      <c r="B11" s="67" t="s">
        <v>59</v>
      </c>
      <c r="C11" s="12">
        <v>369</v>
      </c>
      <c r="D11" s="12">
        <v>308</v>
      </c>
      <c r="E11" s="13">
        <f t="shared" si="0"/>
        <v>83.46883468834689</v>
      </c>
      <c r="F11" s="12">
        <v>246</v>
      </c>
      <c r="G11" s="13">
        <f t="shared" si="1"/>
        <v>79.87012987012987</v>
      </c>
      <c r="H11" s="17">
        <f>C11/'численность 1'!J10*1000</f>
        <v>1317.857142857143</v>
      </c>
      <c r="I11" s="130">
        <f>D11/'численность 1'!K10*1000</f>
        <v>1368.888888888889</v>
      </c>
      <c r="J11" s="13">
        <f t="shared" si="2"/>
        <v>103.87232761216501</v>
      </c>
      <c r="K11" s="12"/>
    </row>
    <row r="12" spans="1:11" ht="16.5" customHeight="1">
      <c r="A12" s="31">
        <v>6</v>
      </c>
      <c r="B12" s="67" t="s">
        <v>73</v>
      </c>
      <c r="C12" s="16">
        <v>272.1</v>
      </c>
      <c r="D12" s="16">
        <v>249.7</v>
      </c>
      <c r="E12" s="13">
        <f t="shared" si="0"/>
        <v>91.76773245130465</v>
      </c>
      <c r="F12" s="131">
        <v>186.7</v>
      </c>
      <c r="G12" s="17">
        <f t="shared" si="1"/>
        <v>74.76972366840208</v>
      </c>
      <c r="H12" s="17">
        <f>C12/'численность 1'!J11*1000</f>
        <v>3201.1764705882356</v>
      </c>
      <c r="I12" s="13">
        <f>D12/'численность 1'!K11*1000</f>
        <v>2937.6470588235293</v>
      </c>
      <c r="J12" s="13">
        <f t="shared" si="2"/>
        <v>91.76773245130465</v>
      </c>
      <c r="K12" s="131">
        <v>245.6</v>
      </c>
    </row>
    <row r="13" spans="1:11" ht="16.5" customHeight="1">
      <c r="A13" s="31">
        <v>7</v>
      </c>
      <c r="B13" s="67" t="s">
        <v>60</v>
      </c>
      <c r="C13" s="16">
        <v>184.6</v>
      </c>
      <c r="D13" s="16"/>
      <c r="E13" s="13">
        <f t="shared" si="0"/>
        <v>0</v>
      </c>
      <c r="F13" s="16"/>
      <c r="G13" s="17"/>
      <c r="H13" s="17">
        <f>C13/'численность 1'!J12*1000</f>
        <v>3076.6666666666665</v>
      </c>
      <c r="I13" s="13"/>
      <c r="J13" s="13"/>
      <c r="K13" s="16"/>
    </row>
    <row r="14" spans="1:11" ht="16.5" customHeight="1">
      <c r="A14" s="31">
        <v>8</v>
      </c>
      <c r="B14" s="67" t="s">
        <v>87</v>
      </c>
      <c r="C14" s="16">
        <v>1.2</v>
      </c>
      <c r="D14" s="16">
        <v>210.217</v>
      </c>
      <c r="E14" s="13">
        <f t="shared" si="0"/>
        <v>17518.083333333336</v>
      </c>
      <c r="F14" s="16">
        <v>141.362</v>
      </c>
      <c r="G14" s="17">
        <f t="shared" si="1"/>
        <v>67.24575081939138</v>
      </c>
      <c r="H14" s="17"/>
      <c r="I14" s="17">
        <f>D14/'численность 1'!K13*1000</f>
        <v>3234.1076923076926</v>
      </c>
      <c r="J14" s="13"/>
      <c r="K14" s="16">
        <v>66.764</v>
      </c>
    </row>
    <row r="15" spans="1:11" ht="16.5" customHeight="1">
      <c r="A15" s="31">
        <v>9</v>
      </c>
      <c r="B15" s="67" t="s">
        <v>72</v>
      </c>
      <c r="C15" s="16">
        <v>326.2</v>
      </c>
      <c r="D15" s="16">
        <v>313.189</v>
      </c>
      <c r="E15" s="17">
        <f t="shared" si="0"/>
        <v>96.0113427345187</v>
      </c>
      <c r="F15" s="16">
        <v>271.4</v>
      </c>
      <c r="G15" s="17">
        <f t="shared" si="1"/>
        <v>86.65693878137482</v>
      </c>
      <c r="H15" s="17">
        <f>C15/'численность 1'!J14*1000</f>
        <v>4182.051282051282</v>
      </c>
      <c r="I15" s="17">
        <f>D15/'численность 1'!K14*1000</f>
        <v>4015.24358974359</v>
      </c>
      <c r="J15" s="13">
        <f t="shared" si="2"/>
        <v>96.0113427345187</v>
      </c>
      <c r="K15" s="16"/>
    </row>
    <row r="16" spans="1:11" ht="16.5" customHeight="1">
      <c r="A16" s="31">
        <v>10</v>
      </c>
      <c r="B16" s="67" t="s">
        <v>61</v>
      </c>
      <c r="C16" s="16">
        <v>220.4</v>
      </c>
      <c r="D16" s="16">
        <v>225.8</v>
      </c>
      <c r="E16" s="13">
        <f t="shared" si="0"/>
        <v>102.45009074410163</v>
      </c>
      <c r="F16" s="16">
        <v>185</v>
      </c>
      <c r="G16" s="17">
        <f t="shared" si="1"/>
        <v>81.93091231178033</v>
      </c>
      <c r="H16" s="17">
        <f>C16/'численность 1'!J15*1000</f>
        <v>2204</v>
      </c>
      <c r="I16" s="13">
        <f>D16/'численность 1'!K15*1000</f>
        <v>2258</v>
      </c>
      <c r="J16" s="13">
        <f t="shared" si="2"/>
        <v>102.45009074410163</v>
      </c>
      <c r="K16" s="16"/>
    </row>
    <row r="17" spans="1:11" ht="16.5" customHeight="1">
      <c r="A17" s="31">
        <v>11</v>
      </c>
      <c r="B17" s="67" t="s">
        <v>62</v>
      </c>
      <c r="C17" s="16">
        <v>109</v>
      </c>
      <c r="D17" s="16">
        <v>106</v>
      </c>
      <c r="E17" s="13">
        <f t="shared" si="0"/>
        <v>97.24770642201835</v>
      </c>
      <c r="F17" s="16">
        <v>96.8</v>
      </c>
      <c r="G17" s="17">
        <f t="shared" si="1"/>
        <v>91.32075471698113</v>
      </c>
      <c r="H17" s="17">
        <f>C17/'численность 1'!J16*1000</f>
        <v>2595.2380952380954</v>
      </c>
      <c r="I17" s="13">
        <f>D17/'численность 1'!K16*1000</f>
        <v>2650</v>
      </c>
      <c r="J17" s="13">
        <f t="shared" si="2"/>
        <v>102.11009174311927</v>
      </c>
      <c r="K17" s="16"/>
    </row>
    <row r="18" spans="1:11" ht="57" customHeight="1">
      <c r="A18" s="157" t="s">
        <v>103</v>
      </c>
      <c r="B18" s="158"/>
      <c r="C18" s="16">
        <f>SUM(C7:C17)</f>
        <v>2845.7999999999997</v>
      </c>
      <c r="D18" s="68">
        <f>SUM(D7:D17)</f>
        <v>2863.445</v>
      </c>
      <c r="E18" s="13">
        <f>D18/C18*100</f>
        <v>100.620036545084</v>
      </c>
      <c r="F18" s="68">
        <f>SUM(F7:F17)</f>
        <v>2409.7000000000003</v>
      </c>
      <c r="G18" s="13">
        <f>F18/D18*100</f>
        <v>84.15387758451796</v>
      </c>
      <c r="H18" s="13">
        <f>C18/'численность 1'!J19*1000</f>
        <v>2192.449922958397</v>
      </c>
      <c r="I18" s="13">
        <f>D18/'численность 1'!K19*1000</f>
        <v>2298.1099518459073</v>
      </c>
      <c r="J18" s="13">
        <f t="shared" si="2"/>
        <v>104.81926760475045</v>
      </c>
      <c r="K18" s="68">
        <f>SUM(K7:K17)</f>
        <v>312.364</v>
      </c>
    </row>
    <row r="19" spans="1:11" ht="21.75" customHeight="1">
      <c r="A19" s="133">
        <v>1</v>
      </c>
      <c r="B19" s="67" t="s">
        <v>120</v>
      </c>
      <c r="C19" s="16"/>
      <c r="D19" s="68">
        <v>22.53</v>
      </c>
      <c r="E19" s="13"/>
      <c r="F19" s="68">
        <v>15.61</v>
      </c>
      <c r="G19" s="13">
        <f>F19/D19*100</f>
        <v>69.28539724811363</v>
      </c>
      <c r="H19" s="13"/>
      <c r="I19" s="13">
        <f>D19*1000/8</f>
        <v>2816.25</v>
      </c>
      <c r="J19" s="13"/>
      <c r="K19" s="68"/>
    </row>
    <row r="20" spans="1:11" ht="21.75" customHeight="1">
      <c r="A20" s="157" t="s">
        <v>90</v>
      </c>
      <c r="B20" s="158"/>
      <c r="C20" s="16"/>
      <c r="D20" s="68">
        <f>SUM(D19)</f>
        <v>22.53</v>
      </c>
      <c r="E20" s="68"/>
      <c r="F20" s="68">
        <f>SUM(F19)</f>
        <v>15.61</v>
      </c>
      <c r="G20" s="13">
        <f>F20/D20*100</f>
        <v>69.28539724811363</v>
      </c>
      <c r="H20" s="13"/>
      <c r="I20" s="13">
        <f>D20*1000/8</f>
        <v>2816.25</v>
      </c>
      <c r="J20" s="13"/>
      <c r="K20" s="68"/>
    </row>
    <row r="21" spans="1:11" ht="18">
      <c r="A21" s="206" t="s">
        <v>94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8"/>
    </row>
    <row r="22" spans="1:11" ht="17.25" customHeight="1">
      <c r="A22" s="121">
        <v>1</v>
      </c>
      <c r="B22" s="67" t="s">
        <v>72</v>
      </c>
      <c r="C22" s="121">
        <v>24.47</v>
      </c>
      <c r="D22" s="121">
        <v>52.58</v>
      </c>
      <c r="E22" s="13">
        <f>D22/C22*100</f>
        <v>214.87535758071107</v>
      </c>
      <c r="F22" s="121">
        <v>36.78</v>
      </c>
      <c r="G22" s="13">
        <f>F22/D22*100</f>
        <v>69.95055154050971</v>
      </c>
      <c r="H22" s="121">
        <f>C22*1000/50</f>
        <v>489.4</v>
      </c>
      <c r="I22" s="134">
        <f>D22*1000/81</f>
        <v>649.1358024691358</v>
      </c>
      <c r="J22" s="13">
        <f t="shared" si="2"/>
        <v>132.6391096177229</v>
      </c>
      <c r="K22" s="121"/>
    </row>
    <row r="23" spans="1:11" ht="37.5" customHeight="1">
      <c r="A23" s="200" t="s">
        <v>91</v>
      </c>
      <c r="B23" s="201"/>
      <c r="C23" s="121">
        <f>C18+C22+C20</f>
        <v>2870.2699999999995</v>
      </c>
      <c r="D23" s="121">
        <f>D18+D22+D20</f>
        <v>2938.5550000000003</v>
      </c>
      <c r="E23" s="13">
        <f>D23/C23*100</f>
        <v>102.37904448013605</v>
      </c>
      <c r="F23" s="121">
        <f>F18+F22+F20</f>
        <v>2462.0900000000006</v>
      </c>
      <c r="G23" s="13">
        <f>F23/D23*100</f>
        <v>83.78573822848307</v>
      </c>
      <c r="H23" s="122" t="s">
        <v>95</v>
      </c>
      <c r="I23" s="122" t="s">
        <v>95</v>
      </c>
      <c r="J23" s="122" t="s">
        <v>95</v>
      </c>
      <c r="K23" s="121">
        <f>K18+K22</f>
        <v>312.364</v>
      </c>
    </row>
  </sheetData>
  <sheetProtection/>
  <mergeCells count="8">
    <mergeCell ref="A23:B23"/>
    <mergeCell ref="A3:A5"/>
    <mergeCell ref="B3:B5"/>
    <mergeCell ref="A18:B18"/>
    <mergeCell ref="C3:E3"/>
    <mergeCell ref="A6:K6"/>
    <mergeCell ref="A21:K21"/>
    <mergeCell ref="A20:B20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2012-10-03T06:15:20Z</cp:lastPrinted>
  <dcterms:created xsi:type="dcterms:W3CDTF">2002-11-05T10:10:22Z</dcterms:created>
  <dcterms:modified xsi:type="dcterms:W3CDTF">2012-11-08T07:38:00Z</dcterms:modified>
  <cp:category/>
  <cp:version/>
  <cp:contentType/>
  <cp:contentStatus/>
</cp:coreProperties>
</file>