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8400" windowHeight="6870" tabRatio="880" activeTab="9"/>
  </bookViews>
  <sheets>
    <sheet name="пало1" sheetId="1" r:id="rId1"/>
    <sheet name="привес" sheetId="2" r:id="rId2"/>
    <sheet name="численность 2" sheetId="3" r:id="rId3"/>
    <sheet name="численность 1" sheetId="4" r:id="rId4"/>
    <sheet name="приплод 2" sheetId="5" r:id="rId5"/>
    <sheet name="случка" sheetId="6" r:id="rId6"/>
    <sheet name="приплод 1" sheetId="7" r:id="rId7"/>
    <sheet name="на 100 га" sheetId="8" r:id="rId8"/>
    <sheet name="молоко" sheetId="9" r:id="rId9"/>
    <sheet name="мясо" sheetId="10" r:id="rId10"/>
  </sheets>
  <definedNames>
    <definedName name="_xlnm.Print_Area" localSheetId="8">'молоко'!$A$1:$K$23</definedName>
    <definedName name="_xlnm.Print_Area" localSheetId="9">'мясо'!$A$1:$K$26</definedName>
    <definedName name="_xlnm.Print_Area" localSheetId="7">'на 100 га'!$A$1:$F$17</definedName>
    <definedName name="_xlnm.Print_Area" localSheetId="0">'пало1'!$A$1:$T$26</definedName>
    <definedName name="_xlnm.Print_Area" localSheetId="1">'привес'!$A$1:$T$23</definedName>
    <definedName name="_xlnm.Print_Area" localSheetId="4">'приплод 2'!$A$1:$N$13</definedName>
    <definedName name="_xlnm.Print_Area" localSheetId="3">'численность 1'!$A$1:$U$26</definedName>
    <definedName name="_xlnm.Print_Area" localSheetId="2">'численность 2'!$A$1:$L$26</definedName>
  </definedNames>
  <calcPr fullCalcOnLoad="1"/>
</workbook>
</file>

<file path=xl/sharedStrings.xml><?xml version="1.0" encoding="utf-8"?>
<sst xmlns="http://schemas.openxmlformats.org/spreadsheetml/2006/main" count="319" uniqueCount="125">
  <si>
    <t>молока</t>
  </si>
  <si>
    <t>всего</t>
  </si>
  <si>
    <t>№</t>
  </si>
  <si>
    <t>Наименование хозяйств</t>
  </si>
  <si>
    <t xml:space="preserve">в % к </t>
  </si>
  <si>
    <t>в т.ч.</t>
  </si>
  <si>
    <t xml:space="preserve"> всего</t>
  </si>
  <si>
    <t>усл.гол.</t>
  </si>
  <si>
    <t xml:space="preserve">          в т.ч. коров</t>
  </si>
  <si>
    <t xml:space="preserve">     свиней</t>
  </si>
  <si>
    <t xml:space="preserve">         лошадей</t>
  </si>
  <si>
    <t>в т.ч.отгру-</t>
  </si>
  <si>
    <t>жено мо-</t>
  </si>
  <si>
    <t>лока,т</t>
  </si>
  <si>
    <t>товар-</t>
  </si>
  <si>
    <t>ность,%</t>
  </si>
  <si>
    <t>средний удой от 1 ф.кор.кг</t>
  </si>
  <si>
    <t>куплено у</t>
  </si>
  <si>
    <t>населения</t>
  </si>
  <si>
    <t xml:space="preserve"> производство мяса, т</t>
  </si>
  <si>
    <t>в том числе</t>
  </si>
  <si>
    <t xml:space="preserve">      свиней</t>
  </si>
  <si>
    <t xml:space="preserve">        прочее</t>
  </si>
  <si>
    <t xml:space="preserve">           крс</t>
  </si>
  <si>
    <t xml:space="preserve">   получено телят, гол.</t>
  </si>
  <si>
    <t xml:space="preserve"> в т.ч. от коров</t>
  </si>
  <si>
    <t>ца с</t>
  </si>
  <si>
    <t>разни-</t>
  </si>
  <si>
    <t>получено телят</t>
  </si>
  <si>
    <t>на 100 коров</t>
  </si>
  <si>
    <t>растел нетелей</t>
  </si>
  <si>
    <t xml:space="preserve">            на 100 коров</t>
  </si>
  <si>
    <t>в т.ч.осн.</t>
  </si>
  <si>
    <t>Разница</t>
  </si>
  <si>
    <t xml:space="preserve">      всего КРС, гол</t>
  </si>
  <si>
    <t xml:space="preserve">        в т.ч. телок</t>
  </si>
  <si>
    <t>случ. с/маток и свинок</t>
  </si>
  <si>
    <t xml:space="preserve"> в т.ч. свинок</t>
  </si>
  <si>
    <t>Пало и погибло КРС</t>
  </si>
  <si>
    <t xml:space="preserve">Разница </t>
  </si>
  <si>
    <t xml:space="preserve">    Куплено</t>
  </si>
  <si>
    <t xml:space="preserve">       Продано</t>
  </si>
  <si>
    <t xml:space="preserve">         молока, ц</t>
  </si>
  <si>
    <t xml:space="preserve">       мяса, ц</t>
  </si>
  <si>
    <t>основ.</t>
  </si>
  <si>
    <t>пров.</t>
  </si>
  <si>
    <t xml:space="preserve">                                Кормодни</t>
  </si>
  <si>
    <t xml:space="preserve">                                С/с привес ,г</t>
  </si>
  <si>
    <t xml:space="preserve">       крс</t>
  </si>
  <si>
    <t xml:space="preserve">    свиньи</t>
  </si>
  <si>
    <t xml:space="preserve">          в т.ч. разовых</t>
  </si>
  <si>
    <t>овец и коз</t>
  </si>
  <si>
    <t>Пало и погибло свин.</t>
  </si>
  <si>
    <t xml:space="preserve">               ( таблица 1)</t>
  </si>
  <si>
    <t xml:space="preserve">   ( таблица 2)</t>
  </si>
  <si>
    <t>Колхоз им.Ильича</t>
  </si>
  <si>
    <t>Колхоз "Искра"</t>
  </si>
  <si>
    <t>Колхоз "Кр.фронтовик"</t>
  </si>
  <si>
    <t>Колхоз "Кр.партизан"</t>
  </si>
  <si>
    <t>СХПК им.Калинина</t>
  </si>
  <si>
    <t>Колхоз "Трудовик"</t>
  </si>
  <si>
    <t>Колхоз им.Кирова</t>
  </si>
  <si>
    <t>Колхоз "Заря"</t>
  </si>
  <si>
    <t>ОАО "Рассвет"</t>
  </si>
  <si>
    <t>в т.ч. от основных свиноматок</t>
  </si>
  <si>
    <t xml:space="preserve">                       Валовый привес ,центнер</t>
  </si>
  <si>
    <t>осн.</t>
  </si>
  <si>
    <t>Среднегодовое поголовье коров, гол</t>
  </si>
  <si>
    <t>Наличие кормов, ц.к.ед.</t>
  </si>
  <si>
    <t>в т.ч. конц.</t>
  </si>
  <si>
    <t>п/п</t>
  </si>
  <si>
    <t>ООО "Агропромкомплект"</t>
  </si>
  <si>
    <t>ООО "А-ф "Путиловка"</t>
  </si>
  <si>
    <t>СПК "Патман"</t>
  </si>
  <si>
    <t xml:space="preserve"> в т.ч.  нетелей</t>
  </si>
  <si>
    <t>Крупного рогатого скота</t>
  </si>
  <si>
    <t xml:space="preserve">    Опоросилось свиноматок, голов</t>
  </si>
  <si>
    <t xml:space="preserve">Получено поросят на 1 свиноматку </t>
  </si>
  <si>
    <t xml:space="preserve">Получено поросят на 100 осн. свиноматок </t>
  </si>
  <si>
    <t>Получено поросят , гол.</t>
  </si>
  <si>
    <t>лошади</t>
  </si>
  <si>
    <t>овцы и козы</t>
  </si>
  <si>
    <t>КФХ Ярчеев П.И.</t>
  </si>
  <si>
    <t>КРС</t>
  </si>
  <si>
    <t>свиней</t>
  </si>
  <si>
    <t>2011 к 2010 г. %</t>
  </si>
  <si>
    <t xml:space="preserve">КРС </t>
  </si>
  <si>
    <t>ООО "А-ф "Трудовик"</t>
  </si>
  <si>
    <t>КФХ Васильев О.И.</t>
  </si>
  <si>
    <t xml:space="preserve">Итого по сельскохозяйственным организациям </t>
  </si>
  <si>
    <t>Итого по К(Ф)Х</t>
  </si>
  <si>
    <t>Итого по Ибресинскому району</t>
  </si>
  <si>
    <t xml:space="preserve"> производство  молока, т</t>
  </si>
  <si>
    <t>Коровье молоко</t>
  </si>
  <si>
    <t>Козье молоко</t>
  </si>
  <si>
    <t>*</t>
  </si>
  <si>
    <t>Итого в сельскохозяйственных организациях по Ибресинскому району</t>
  </si>
  <si>
    <t>2012 в %</t>
  </si>
  <si>
    <t>к 2011 г.</t>
  </si>
  <si>
    <t>2011 г.</t>
  </si>
  <si>
    <t>Итого в сельскохозяйственных организациях района</t>
  </si>
  <si>
    <t>Итого по сельскохозяйственным оргаизациям по району</t>
  </si>
  <si>
    <t>в % к 2011 г.</t>
  </si>
  <si>
    <t>Итого по сельскохозяйственным организациям района</t>
  </si>
  <si>
    <t>2012 к 2011 г. %</t>
  </si>
  <si>
    <t>с 2011 г.</t>
  </si>
  <si>
    <t xml:space="preserve">                      </t>
  </si>
  <si>
    <t>с 20110 г.</t>
  </si>
  <si>
    <t xml:space="preserve">    Производство мяса и молока на 100 га с/х угодий</t>
  </si>
  <si>
    <t>разница с 2011 г.</t>
  </si>
  <si>
    <t xml:space="preserve">   Производство мяса за январь-октябрь 2012 года по Ибресинскому району </t>
  </si>
  <si>
    <t>Производство молока за  январь-октябрь 2012 года по Ибресинскому району</t>
  </si>
  <si>
    <t xml:space="preserve">по Ибресинскому району за январь-октябрь 2012 год </t>
  </si>
  <si>
    <t>Поступление приплода (телят) за январь-октябрь 2012 года по Ибресинскому  району</t>
  </si>
  <si>
    <t>Случено и осеменено за январь-октябрь 2012 года по Ибресинскому району</t>
  </si>
  <si>
    <t>Поступление приплода (поросят) за январь-октябрь 2012 года по Ибресинкому  району</t>
  </si>
  <si>
    <t xml:space="preserve"> Численность скота по Ибресинскому району на 1.11.2012 г., (голов)</t>
  </si>
  <si>
    <r>
      <t xml:space="preserve">      Численность скота по </t>
    </r>
    <r>
      <rPr>
        <b/>
        <u val="single"/>
        <sz val="12"/>
        <rFont val="Arial Cyr"/>
        <family val="2"/>
      </rPr>
      <t>Ибресинскому</t>
    </r>
    <r>
      <rPr>
        <b/>
        <sz val="12"/>
        <rFont val="Arial Cyr"/>
        <family val="2"/>
      </rPr>
      <t xml:space="preserve"> району на 1.11.2012 г., (голов)</t>
    </r>
  </si>
  <si>
    <t>Показатели получения привесов за январь-октябрь 2012 года по Ибресинскому району</t>
  </si>
  <si>
    <t>Пало, погибло, куплено и продано  сельскохозяйственных животных за январь-октябрь 2012 год по Ибресинскому.р-ну</t>
  </si>
  <si>
    <t>КФХ Николаев Н.С.</t>
  </si>
  <si>
    <t>Итого по К(Ф)(Х</t>
  </si>
  <si>
    <t>К(Ф)Х Николаев Н.С.</t>
  </si>
  <si>
    <t>КФХ Акимов И.К.</t>
  </si>
  <si>
    <t>ЗАО "Агрофирма "Климовская"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</si>
</sst>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"/>
    <numFmt numFmtId="171" formatCode="0.000"/>
    <numFmt numFmtId="172" formatCode="0.0"/>
    <numFmt numFmtId="173" formatCode="0.0000000"/>
    <numFmt numFmtId="174" formatCode="0.00000000"/>
  </numFmts>
  <fonts count="50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i/>
      <sz val="16"/>
      <name val="Arial Cyr"/>
      <family val="2"/>
    </font>
    <font>
      <b/>
      <u val="single"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3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4" fontId="0" fillId="0" borderId="0" xfId="43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14" fontId="1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Fill="1" applyBorder="1" applyAlignment="1">
      <alignment/>
    </xf>
    <xf numFmtId="1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" fontId="2" fillId="0" borderId="14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7" fillId="0" borderId="22" xfId="0" applyFont="1" applyBorder="1" applyAlignment="1">
      <alignment/>
    </xf>
    <xf numFmtId="1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72" fontId="2" fillId="0" borderId="0" xfId="0" applyNumberFormat="1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X25" sqref="X25"/>
    </sheetView>
  </sheetViews>
  <sheetFormatPr defaultColWidth="9.00390625" defaultRowHeight="12.75"/>
  <cols>
    <col min="1" max="1" width="4.00390625" style="70" customWidth="1"/>
    <col min="2" max="2" width="34.375" style="70" customWidth="1"/>
    <col min="3" max="4" width="8.75390625" style="70" customWidth="1"/>
    <col min="5" max="5" width="8.875" style="70" customWidth="1"/>
    <col min="6" max="7" width="8.75390625" style="70" customWidth="1"/>
    <col min="8" max="8" width="8.875" style="70" customWidth="1"/>
    <col min="9" max="14" width="8.75390625" style="70" customWidth="1"/>
    <col min="15" max="15" width="8.875" style="70" customWidth="1"/>
    <col min="16" max="18" width="8.75390625" style="70" customWidth="1"/>
    <col min="19" max="19" width="8.875" style="70" customWidth="1"/>
    <col min="20" max="20" width="8.75390625" style="70" customWidth="1"/>
    <col min="21" max="16384" width="9.125" style="70" customWidth="1"/>
  </cols>
  <sheetData>
    <row r="1" spans="3:18" ht="15.75">
      <c r="C1" s="145" t="s">
        <v>119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3:10" ht="15">
      <c r="C2" s="71"/>
      <c r="D2" s="71"/>
      <c r="E2" s="71"/>
      <c r="F2" s="71"/>
      <c r="G2" s="71"/>
      <c r="H2" s="71"/>
      <c r="I2" s="71"/>
      <c r="J2" s="71"/>
    </row>
    <row r="3" spans="1:20" s="20" customFormat="1" ht="18.75" customHeight="1">
      <c r="A3" s="34" t="s">
        <v>2</v>
      </c>
      <c r="B3" s="23" t="s">
        <v>3</v>
      </c>
      <c r="C3" s="146" t="s">
        <v>38</v>
      </c>
      <c r="D3" s="147"/>
      <c r="E3" s="148"/>
      <c r="F3" s="146" t="s">
        <v>52</v>
      </c>
      <c r="G3" s="147"/>
      <c r="H3" s="148"/>
      <c r="I3" s="97"/>
      <c r="J3" s="102" t="s">
        <v>40</v>
      </c>
      <c r="K3" s="102"/>
      <c r="L3" s="102"/>
      <c r="M3" s="104"/>
      <c r="N3" s="104"/>
      <c r="O3" s="104"/>
      <c r="P3" s="104"/>
      <c r="Q3" s="97"/>
      <c r="R3" s="102" t="s">
        <v>41</v>
      </c>
      <c r="S3" s="102"/>
      <c r="T3" s="101"/>
    </row>
    <row r="4" spans="1:20" s="20" customFormat="1" ht="18.75" customHeight="1">
      <c r="A4" s="39"/>
      <c r="B4" s="33"/>
      <c r="C4" s="149">
        <v>2011</v>
      </c>
      <c r="D4" s="149">
        <v>2012</v>
      </c>
      <c r="E4" s="106" t="s">
        <v>39</v>
      </c>
      <c r="F4" s="149">
        <v>2011</v>
      </c>
      <c r="G4" s="149">
        <v>2012</v>
      </c>
      <c r="H4" s="106" t="s">
        <v>39</v>
      </c>
      <c r="I4" s="137" t="s">
        <v>86</v>
      </c>
      <c r="J4" s="138"/>
      <c r="K4" s="137" t="s">
        <v>84</v>
      </c>
      <c r="L4" s="138"/>
      <c r="M4" s="137" t="s">
        <v>80</v>
      </c>
      <c r="N4" s="138"/>
      <c r="O4" s="137" t="s">
        <v>81</v>
      </c>
      <c r="P4" s="138"/>
      <c r="Q4" s="137" t="s">
        <v>83</v>
      </c>
      <c r="R4" s="138"/>
      <c r="S4" s="137" t="s">
        <v>84</v>
      </c>
      <c r="T4" s="138"/>
    </row>
    <row r="5" spans="1:20" s="20" customFormat="1" ht="18.75" customHeight="1">
      <c r="A5" s="30"/>
      <c r="B5" s="29"/>
      <c r="C5" s="150"/>
      <c r="D5" s="150"/>
      <c r="E5" s="107" t="s">
        <v>105</v>
      </c>
      <c r="F5" s="150"/>
      <c r="G5" s="150"/>
      <c r="H5" s="107" t="s">
        <v>105</v>
      </c>
      <c r="I5" s="108">
        <v>2011</v>
      </c>
      <c r="J5" s="109">
        <v>2012</v>
      </c>
      <c r="K5" s="108">
        <v>2011</v>
      </c>
      <c r="L5" s="109">
        <v>2012</v>
      </c>
      <c r="M5" s="108">
        <v>2011</v>
      </c>
      <c r="N5" s="109">
        <v>2012</v>
      </c>
      <c r="O5" s="108">
        <v>2011</v>
      </c>
      <c r="P5" s="109">
        <v>2012</v>
      </c>
      <c r="Q5" s="108">
        <v>2011</v>
      </c>
      <c r="R5" s="109">
        <v>2012</v>
      </c>
      <c r="S5" s="108">
        <v>2011</v>
      </c>
      <c r="T5" s="109">
        <v>2012</v>
      </c>
    </row>
    <row r="6" spans="1:20" s="20" customFormat="1" ht="15" customHeight="1">
      <c r="A6" s="31">
        <v>1</v>
      </c>
      <c r="B6" s="31" t="s">
        <v>55</v>
      </c>
      <c r="C6" s="3">
        <v>1</v>
      </c>
      <c r="D6" s="3"/>
      <c r="E6" s="11">
        <f aca="true" t="shared" si="0" ref="E6:E25">D6-C6</f>
        <v>-1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20" customFormat="1" ht="13.5" customHeight="1">
      <c r="A7" s="31">
        <v>2</v>
      </c>
      <c r="B7" s="31" t="s">
        <v>56</v>
      </c>
      <c r="C7" s="3">
        <v>9</v>
      </c>
      <c r="D7" s="3">
        <v>2</v>
      </c>
      <c r="E7" s="11">
        <f t="shared" si="0"/>
        <v>-7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>
        <v>41</v>
      </c>
      <c r="R7" s="3">
        <v>42</v>
      </c>
      <c r="S7" s="3"/>
      <c r="T7" s="3"/>
    </row>
    <row r="8" spans="1:20" s="20" customFormat="1" ht="13.5" customHeight="1">
      <c r="A8" s="31">
        <v>3</v>
      </c>
      <c r="B8" s="31" t="s">
        <v>57</v>
      </c>
      <c r="C8" s="3"/>
      <c r="D8" s="3"/>
      <c r="E8" s="11">
        <f t="shared" si="0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v>17</v>
      </c>
      <c r="R8" s="3">
        <v>20</v>
      </c>
      <c r="S8" s="3"/>
      <c r="T8" s="3"/>
    </row>
    <row r="9" spans="1:20" s="20" customFormat="1" ht="12.75" customHeight="1">
      <c r="A9" s="31">
        <v>4</v>
      </c>
      <c r="B9" s="22" t="s">
        <v>58</v>
      </c>
      <c r="C9" s="3">
        <v>6</v>
      </c>
      <c r="D9" s="3">
        <v>5</v>
      </c>
      <c r="E9" s="11">
        <f t="shared" si="0"/>
        <v>-1</v>
      </c>
      <c r="F9" s="3"/>
      <c r="G9" s="3"/>
      <c r="H9" s="3"/>
      <c r="I9" s="3"/>
      <c r="J9" s="3"/>
      <c r="K9" s="3">
        <v>2</v>
      </c>
      <c r="L9" s="3"/>
      <c r="M9" s="3"/>
      <c r="N9" s="3"/>
      <c r="O9" s="3"/>
      <c r="P9" s="3"/>
      <c r="Q9" s="3"/>
      <c r="R9" s="3"/>
      <c r="S9" s="3">
        <v>360</v>
      </c>
      <c r="T9" s="3">
        <v>532</v>
      </c>
    </row>
    <row r="10" spans="1:20" s="20" customFormat="1" ht="13.5" customHeight="1">
      <c r="A10" s="31">
        <v>5</v>
      </c>
      <c r="B10" s="92" t="s">
        <v>59</v>
      </c>
      <c r="C10" s="3"/>
      <c r="D10" s="3">
        <v>3</v>
      </c>
      <c r="E10" s="11">
        <f t="shared" si="0"/>
        <v>3</v>
      </c>
      <c r="F10" s="3">
        <v>25</v>
      </c>
      <c r="G10" s="3">
        <v>6</v>
      </c>
      <c r="H10" s="3">
        <f>G10-F10</f>
        <v>-19</v>
      </c>
      <c r="I10" s="3"/>
      <c r="J10" s="3"/>
      <c r="K10" s="3"/>
      <c r="L10" s="3"/>
      <c r="M10" s="3"/>
      <c r="N10" s="3"/>
      <c r="O10" s="3"/>
      <c r="P10" s="3"/>
      <c r="Q10" s="3"/>
      <c r="R10" s="3">
        <v>3</v>
      </c>
      <c r="S10" s="3">
        <v>262</v>
      </c>
      <c r="T10" s="3">
        <v>73</v>
      </c>
    </row>
    <row r="11" spans="1:20" s="20" customFormat="1" ht="12.75" customHeight="1">
      <c r="A11" s="31">
        <v>6</v>
      </c>
      <c r="B11" s="32" t="s">
        <v>73</v>
      </c>
      <c r="C11" s="3">
        <v>1</v>
      </c>
      <c r="D11" s="3">
        <v>2</v>
      </c>
      <c r="E11" s="11">
        <f t="shared" si="0"/>
        <v>1</v>
      </c>
      <c r="F11" s="3"/>
      <c r="G11" s="3"/>
      <c r="H11" s="3"/>
      <c r="I11" s="88"/>
      <c r="J11" s="88"/>
      <c r="K11" s="88"/>
      <c r="L11" s="88"/>
      <c r="M11" s="88"/>
      <c r="N11" s="88"/>
      <c r="O11" s="88"/>
      <c r="P11" s="88"/>
      <c r="Q11" s="88"/>
      <c r="R11" s="88">
        <v>24</v>
      </c>
      <c r="S11" s="88"/>
      <c r="T11" s="88"/>
    </row>
    <row r="12" spans="1:20" s="20" customFormat="1" ht="12.75" customHeight="1">
      <c r="A12" s="31">
        <v>7</v>
      </c>
      <c r="B12" s="31" t="s">
        <v>60</v>
      </c>
      <c r="C12" s="3"/>
      <c r="D12" s="3"/>
      <c r="E12" s="11">
        <f t="shared" si="0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v>148</v>
      </c>
      <c r="R12" s="3"/>
      <c r="S12" s="3"/>
      <c r="T12" s="3"/>
    </row>
    <row r="13" spans="1:20" s="20" customFormat="1" ht="12.75" customHeight="1">
      <c r="A13" s="31">
        <v>8</v>
      </c>
      <c r="B13" s="32" t="s">
        <v>87</v>
      </c>
      <c r="C13" s="3"/>
      <c r="D13" s="3"/>
      <c r="E13" s="11">
        <f t="shared" si="0"/>
        <v>0</v>
      </c>
      <c r="F13" s="3"/>
      <c r="G13" s="3"/>
      <c r="H13" s="3"/>
      <c r="I13" s="3">
        <v>148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s="20" customFormat="1" ht="13.5" customHeight="1">
      <c r="A14" s="31">
        <v>9</v>
      </c>
      <c r="B14" s="32" t="s">
        <v>72</v>
      </c>
      <c r="C14" s="3">
        <v>1</v>
      </c>
      <c r="D14" s="3"/>
      <c r="E14" s="11">
        <f t="shared" si="0"/>
        <v>-1</v>
      </c>
      <c r="F14" s="3"/>
      <c r="G14" s="3"/>
      <c r="H14" s="3"/>
      <c r="I14" s="3">
        <v>30</v>
      </c>
      <c r="J14" s="3">
        <v>1</v>
      </c>
      <c r="K14" s="3"/>
      <c r="L14" s="3"/>
      <c r="M14" s="3"/>
      <c r="N14" s="3"/>
      <c r="O14" s="3"/>
      <c r="P14" s="3"/>
      <c r="Q14" s="3">
        <v>8</v>
      </c>
      <c r="R14" s="3">
        <v>1</v>
      </c>
      <c r="S14" s="3"/>
      <c r="T14" s="3"/>
    </row>
    <row r="15" spans="1:20" s="20" customFormat="1" ht="12.75" customHeight="1">
      <c r="A15" s="31">
        <v>10</v>
      </c>
      <c r="B15" s="31" t="s">
        <v>61</v>
      </c>
      <c r="C15" s="3"/>
      <c r="D15" s="3"/>
      <c r="E15" s="11">
        <f t="shared" si="0"/>
        <v>0</v>
      </c>
      <c r="F15" s="3"/>
      <c r="G15" s="3"/>
      <c r="H15" s="3"/>
      <c r="I15" s="3"/>
      <c r="J15" s="3">
        <v>1</v>
      </c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s="20" customFormat="1" ht="12.75" customHeight="1">
      <c r="A16" s="31">
        <v>11</v>
      </c>
      <c r="B16" s="31" t="s">
        <v>62</v>
      </c>
      <c r="C16" s="3">
        <v>1</v>
      </c>
      <c r="D16" s="3"/>
      <c r="E16" s="11">
        <f t="shared" si="0"/>
        <v>-1</v>
      </c>
      <c r="F16" s="3"/>
      <c r="G16" s="3"/>
      <c r="H16" s="3"/>
      <c r="I16" s="3"/>
      <c r="J16" s="3">
        <v>2</v>
      </c>
      <c r="K16" s="3"/>
      <c r="L16" s="3"/>
      <c r="M16" s="3"/>
      <c r="N16" s="3"/>
      <c r="O16" s="3"/>
      <c r="P16" s="3"/>
      <c r="Q16" s="3"/>
      <c r="R16" s="3">
        <v>5</v>
      </c>
      <c r="S16" s="3"/>
      <c r="T16" s="3"/>
    </row>
    <row r="17" spans="1:20" s="20" customFormat="1" ht="12.75" customHeight="1">
      <c r="A17" s="31">
        <v>12</v>
      </c>
      <c r="B17" s="31" t="s">
        <v>63</v>
      </c>
      <c r="C17" s="3"/>
      <c r="D17" s="3"/>
      <c r="E17" s="11"/>
      <c r="F17" s="3">
        <v>786</v>
      </c>
      <c r="G17" s="3">
        <v>479</v>
      </c>
      <c r="H17" s="3">
        <f>G17-F17</f>
        <v>-307</v>
      </c>
      <c r="I17" s="3"/>
      <c r="J17" s="3"/>
      <c r="K17" s="3">
        <v>9</v>
      </c>
      <c r="L17" s="3">
        <v>8</v>
      </c>
      <c r="M17" s="3"/>
      <c r="N17" s="3"/>
      <c r="O17" s="3"/>
      <c r="P17" s="3"/>
      <c r="Q17" s="3"/>
      <c r="R17" s="3"/>
      <c r="S17" s="3">
        <v>1514</v>
      </c>
      <c r="T17" s="3">
        <v>2076</v>
      </c>
    </row>
    <row r="18" spans="1:20" s="20" customFormat="1" ht="12.75" customHeight="1">
      <c r="A18" s="31">
        <v>13</v>
      </c>
      <c r="B18" s="32" t="s">
        <v>71</v>
      </c>
      <c r="C18" s="3"/>
      <c r="D18" s="3"/>
      <c r="E18" s="11"/>
      <c r="F18" s="3"/>
      <c r="G18" s="3"/>
      <c r="H18" s="3"/>
      <c r="I18" s="3"/>
      <c r="J18" s="3"/>
      <c r="K18" s="3"/>
      <c r="L18" s="3"/>
      <c r="M18" s="3">
        <v>5</v>
      </c>
      <c r="N18" s="3"/>
      <c r="O18" s="3"/>
      <c r="P18" s="3"/>
      <c r="Q18" s="3"/>
      <c r="R18" s="3"/>
      <c r="S18" s="3"/>
      <c r="T18" s="3"/>
    </row>
    <row r="19" spans="1:20" s="20" customFormat="1" ht="12.75" customHeight="1">
      <c r="A19" s="31">
        <v>14</v>
      </c>
      <c r="B19" s="32" t="s">
        <v>124</v>
      </c>
      <c r="C19" s="3"/>
      <c r="D19" s="3"/>
      <c r="E19" s="1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s="20" customFormat="1" ht="44.25" customHeight="1">
      <c r="A20" s="141" t="s">
        <v>103</v>
      </c>
      <c r="B20" s="142"/>
      <c r="C20" s="3">
        <f>SUM(C6:C18)</f>
        <v>19</v>
      </c>
      <c r="D20" s="3">
        <f>SUM(D6:D18)</f>
        <v>12</v>
      </c>
      <c r="E20" s="11">
        <f t="shared" si="0"/>
        <v>-7</v>
      </c>
      <c r="F20" s="3">
        <f>SUM(F10:F18)</f>
        <v>811</v>
      </c>
      <c r="G20" s="3">
        <f>SUM(G10:G18)</f>
        <v>485</v>
      </c>
      <c r="H20" s="3">
        <f>G20-F20</f>
        <v>-326</v>
      </c>
      <c r="I20" s="3">
        <f>SUM(I6:I18)</f>
        <v>178</v>
      </c>
      <c r="J20" s="3">
        <f aca="true" t="shared" si="1" ref="J20:T20">SUM(J6:J18)</f>
        <v>4</v>
      </c>
      <c r="K20" s="3">
        <f t="shared" si="1"/>
        <v>11</v>
      </c>
      <c r="L20" s="3">
        <f t="shared" si="1"/>
        <v>8</v>
      </c>
      <c r="M20" s="3">
        <f t="shared" si="1"/>
        <v>5</v>
      </c>
      <c r="N20" s="3">
        <f t="shared" si="1"/>
        <v>0</v>
      </c>
      <c r="O20" s="3">
        <f t="shared" si="1"/>
        <v>0</v>
      </c>
      <c r="P20" s="3">
        <f t="shared" si="1"/>
        <v>0</v>
      </c>
      <c r="Q20" s="3">
        <f t="shared" si="1"/>
        <v>214</v>
      </c>
      <c r="R20" s="3">
        <f t="shared" si="1"/>
        <v>95</v>
      </c>
      <c r="S20" s="3">
        <f t="shared" si="1"/>
        <v>2136</v>
      </c>
      <c r="T20" s="3">
        <f t="shared" si="1"/>
        <v>2681</v>
      </c>
    </row>
    <row r="21" spans="1:20" s="20" customFormat="1" ht="14.25" customHeight="1">
      <c r="A21" s="135">
        <v>1</v>
      </c>
      <c r="B21" s="32" t="s">
        <v>120</v>
      </c>
      <c r="C21" s="3"/>
      <c r="D21" s="3"/>
      <c r="E21" s="1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s="20" customFormat="1" ht="12.75" customHeight="1">
      <c r="A22" s="31">
        <v>2</v>
      </c>
      <c r="B22" s="32" t="s">
        <v>123</v>
      </c>
      <c r="C22" s="3"/>
      <c r="D22" s="3"/>
      <c r="E22" s="11"/>
      <c r="F22" s="3"/>
      <c r="G22" s="3"/>
      <c r="H22" s="3"/>
      <c r="I22" s="3"/>
      <c r="J22" s="3"/>
      <c r="K22" s="3"/>
      <c r="L22" s="3"/>
      <c r="M22" s="88"/>
      <c r="N22" s="3"/>
      <c r="O22" s="3"/>
      <c r="P22" s="3">
        <v>38</v>
      </c>
      <c r="Q22" s="3"/>
      <c r="R22" s="3"/>
      <c r="S22" s="133"/>
      <c r="T22" s="3"/>
    </row>
    <row r="23" spans="1:20" s="20" customFormat="1" ht="12.75" customHeight="1">
      <c r="A23" s="31">
        <v>3</v>
      </c>
      <c r="B23" s="32" t="s">
        <v>82</v>
      </c>
      <c r="C23" s="3"/>
      <c r="D23" s="3"/>
      <c r="E23" s="11"/>
      <c r="F23" s="3"/>
      <c r="G23" s="3"/>
      <c r="H23" s="3"/>
      <c r="I23" s="3"/>
      <c r="J23" s="3"/>
      <c r="K23" s="3"/>
      <c r="L23" s="3"/>
      <c r="M23" s="88"/>
      <c r="N23" s="3"/>
      <c r="O23" s="3"/>
      <c r="P23" s="3"/>
      <c r="Q23" s="3"/>
      <c r="R23" s="3"/>
      <c r="S23" s="133"/>
      <c r="T23" s="3">
        <v>38</v>
      </c>
    </row>
    <row r="24" spans="1:20" s="20" customFormat="1" ht="12.75" customHeight="1">
      <c r="A24" s="31">
        <v>4</v>
      </c>
      <c r="B24" s="32" t="s">
        <v>88</v>
      </c>
      <c r="C24" s="3"/>
      <c r="D24" s="3"/>
      <c r="E24" s="11"/>
      <c r="F24" s="3"/>
      <c r="G24" s="3"/>
      <c r="H24" s="3"/>
      <c r="I24" s="3"/>
      <c r="J24" s="3"/>
      <c r="K24" s="3"/>
      <c r="L24" s="3"/>
      <c r="M24" s="88"/>
      <c r="N24" s="3"/>
      <c r="O24" s="3"/>
      <c r="P24" s="3"/>
      <c r="Q24" s="3"/>
      <c r="R24" s="3"/>
      <c r="S24" s="133"/>
      <c r="T24" s="3"/>
    </row>
    <row r="25" spans="1:20" s="20" customFormat="1" ht="30" customHeight="1">
      <c r="A25" s="143" t="s">
        <v>90</v>
      </c>
      <c r="B25" s="144"/>
      <c r="C25" s="3">
        <f>SUM(C22:C24)</f>
        <v>0</v>
      </c>
      <c r="D25" s="3">
        <f>SUM(D22:D24)</f>
        <v>0</v>
      </c>
      <c r="E25" s="11">
        <f t="shared" si="0"/>
        <v>0</v>
      </c>
      <c r="F25" s="3">
        <f aca="true" t="shared" si="2" ref="F25:T25">SUM(F22:F24)</f>
        <v>0</v>
      </c>
      <c r="G25" s="3">
        <f t="shared" si="2"/>
        <v>0</v>
      </c>
      <c r="H25" s="3">
        <f>G25-F25</f>
        <v>0</v>
      </c>
      <c r="I25" s="3">
        <f t="shared" si="2"/>
        <v>0</v>
      </c>
      <c r="J25" s="3">
        <f t="shared" si="2"/>
        <v>0</v>
      </c>
      <c r="K25" s="3">
        <f t="shared" si="2"/>
        <v>0</v>
      </c>
      <c r="L25" s="3">
        <f t="shared" si="2"/>
        <v>0</v>
      </c>
      <c r="M25" s="3">
        <f t="shared" si="2"/>
        <v>0</v>
      </c>
      <c r="N25" s="3">
        <f t="shared" si="2"/>
        <v>0</v>
      </c>
      <c r="O25" s="3">
        <f t="shared" si="2"/>
        <v>0</v>
      </c>
      <c r="P25" s="3">
        <f t="shared" si="2"/>
        <v>38</v>
      </c>
      <c r="Q25" s="3">
        <f t="shared" si="2"/>
        <v>0</v>
      </c>
      <c r="R25" s="3">
        <f t="shared" si="2"/>
        <v>0</v>
      </c>
      <c r="S25" s="3">
        <f t="shared" si="2"/>
        <v>0</v>
      </c>
      <c r="T25" s="3">
        <f t="shared" si="2"/>
        <v>38</v>
      </c>
    </row>
    <row r="26" spans="1:20" s="20" customFormat="1" ht="37.5" customHeight="1">
      <c r="A26" s="139" t="s">
        <v>91</v>
      </c>
      <c r="B26" s="140"/>
      <c r="C26" s="3">
        <f>C25+C20</f>
        <v>19</v>
      </c>
      <c r="D26" s="3">
        <f>D25+D20</f>
        <v>12</v>
      </c>
      <c r="E26" s="11">
        <f>D26-C26</f>
        <v>-7</v>
      </c>
      <c r="F26" s="3">
        <f>F25+F20</f>
        <v>811</v>
      </c>
      <c r="G26" s="3">
        <f>G25+G20</f>
        <v>485</v>
      </c>
      <c r="H26" s="3">
        <f>G26-F26</f>
        <v>-326</v>
      </c>
      <c r="I26" s="3">
        <f aca="true" t="shared" si="3" ref="I26:T26">I25+I20</f>
        <v>178</v>
      </c>
      <c r="J26" s="3">
        <f t="shared" si="3"/>
        <v>4</v>
      </c>
      <c r="K26" s="3">
        <f t="shared" si="3"/>
        <v>11</v>
      </c>
      <c r="L26" s="3">
        <f t="shared" si="3"/>
        <v>8</v>
      </c>
      <c r="M26" s="3">
        <f t="shared" si="3"/>
        <v>5</v>
      </c>
      <c r="N26" s="3">
        <f t="shared" si="3"/>
        <v>0</v>
      </c>
      <c r="O26" s="3">
        <f t="shared" si="3"/>
        <v>0</v>
      </c>
      <c r="P26" s="3">
        <f t="shared" si="3"/>
        <v>38</v>
      </c>
      <c r="Q26" s="3">
        <f t="shared" si="3"/>
        <v>214</v>
      </c>
      <c r="R26" s="3">
        <f t="shared" si="3"/>
        <v>95</v>
      </c>
      <c r="S26" s="3">
        <f t="shared" si="3"/>
        <v>2136</v>
      </c>
      <c r="T26" s="3">
        <f t="shared" si="3"/>
        <v>2719</v>
      </c>
    </row>
    <row r="27" ht="14.25">
      <c r="B27" s="73"/>
    </row>
  </sheetData>
  <sheetProtection/>
  <mergeCells count="16">
    <mergeCell ref="C1:R1"/>
    <mergeCell ref="F3:H3"/>
    <mergeCell ref="C3:E3"/>
    <mergeCell ref="C4:C5"/>
    <mergeCell ref="D4:D5"/>
    <mergeCell ref="F4:F5"/>
    <mergeCell ref="G4:G5"/>
    <mergeCell ref="M4:N4"/>
    <mergeCell ref="O4:P4"/>
    <mergeCell ref="Q4:R4"/>
    <mergeCell ref="S4:T4"/>
    <mergeCell ref="I4:J4"/>
    <mergeCell ref="K4:L4"/>
    <mergeCell ref="A26:B26"/>
    <mergeCell ref="A20:B20"/>
    <mergeCell ref="A25:B25"/>
  </mergeCells>
  <printOptions/>
  <pageMargins left="0.75" right="0.75" top="1" bottom="1" header="0.5" footer="0.5"/>
  <pageSetup horizontalDpi="600" verticalDpi="600" orientation="landscape" paperSize="9" scale="67" r:id="rId1"/>
  <colBreaks count="1" manualBreakCount="1">
    <brk id="2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="75" zoomScaleNormal="65" zoomScaleSheetLayoutView="75" zoomScalePageLayoutView="0" workbookViewId="0" topLeftCell="A1">
      <selection activeCell="O30" sqref="O30"/>
    </sheetView>
  </sheetViews>
  <sheetFormatPr defaultColWidth="9.00390625" defaultRowHeight="12.75"/>
  <cols>
    <col min="1" max="1" width="3.875" style="0" customWidth="1"/>
    <col min="2" max="2" width="34.625" style="0" customWidth="1"/>
    <col min="3" max="3" width="10.375" style="0" customWidth="1"/>
    <col min="4" max="4" width="9.75390625" style="0" customWidth="1"/>
    <col min="5" max="5" width="11.625" style="0" customWidth="1"/>
    <col min="6" max="6" width="10.00390625" style="0" customWidth="1"/>
    <col min="7" max="7" width="10.625" style="0" customWidth="1"/>
    <col min="8" max="8" width="10.875" style="0" customWidth="1"/>
    <col min="9" max="9" width="10.375" style="0" customWidth="1"/>
    <col min="10" max="10" width="9.875" style="0" customWidth="1"/>
    <col min="11" max="11" width="10.875" style="0" customWidth="1"/>
  </cols>
  <sheetData>
    <row r="1" spans="1:13" ht="15.75">
      <c r="A1" s="20"/>
      <c r="B1" s="20"/>
      <c r="C1" s="94" t="s">
        <v>110</v>
      </c>
      <c r="D1" s="94"/>
      <c r="E1" s="94"/>
      <c r="F1" s="94"/>
      <c r="G1" s="20"/>
      <c r="H1" s="20"/>
      <c r="I1" s="20"/>
      <c r="J1" s="20"/>
      <c r="K1" s="20"/>
      <c r="L1" s="20"/>
      <c r="M1" s="20"/>
    </row>
    <row r="2" spans="1:13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>
      <c r="A3" s="214" t="s">
        <v>2</v>
      </c>
      <c r="B3" s="214" t="s">
        <v>3</v>
      </c>
      <c r="C3" s="24" t="s">
        <v>19</v>
      </c>
      <c r="D3" s="25"/>
      <c r="E3" s="27"/>
      <c r="F3" s="24"/>
      <c r="G3" s="25"/>
      <c r="H3" s="25" t="s">
        <v>20</v>
      </c>
      <c r="I3" s="25"/>
      <c r="J3" s="25"/>
      <c r="K3" s="27"/>
      <c r="L3" s="20"/>
      <c r="M3" s="20"/>
    </row>
    <row r="4" spans="1:13" ht="15">
      <c r="A4" s="215"/>
      <c r="B4" s="215"/>
      <c r="C4" s="18">
        <v>2011</v>
      </c>
      <c r="D4" s="19">
        <v>2012</v>
      </c>
      <c r="E4" s="19" t="s">
        <v>97</v>
      </c>
      <c r="F4" s="24" t="s">
        <v>23</v>
      </c>
      <c r="G4" s="27"/>
      <c r="H4" s="24" t="s">
        <v>21</v>
      </c>
      <c r="I4" s="27"/>
      <c r="J4" s="24" t="s">
        <v>22</v>
      </c>
      <c r="K4" s="27"/>
      <c r="L4" s="20"/>
      <c r="M4" s="20"/>
    </row>
    <row r="5" spans="1:13" ht="15">
      <c r="A5" s="216"/>
      <c r="B5" s="216"/>
      <c r="C5" s="40"/>
      <c r="D5" s="11"/>
      <c r="E5" s="11" t="s">
        <v>98</v>
      </c>
      <c r="F5" s="18">
        <v>2011</v>
      </c>
      <c r="G5" s="19">
        <v>2012</v>
      </c>
      <c r="H5" s="18">
        <v>2011</v>
      </c>
      <c r="I5" s="19">
        <v>2012</v>
      </c>
      <c r="J5" s="18">
        <v>2011</v>
      </c>
      <c r="K5" s="19">
        <v>2012</v>
      </c>
      <c r="L5" s="20"/>
      <c r="M5" s="20"/>
    </row>
    <row r="6" spans="1:13" ht="16.5">
      <c r="A6" s="31">
        <v>1</v>
      </c>
      <c r="B6" s="31" t="s">
        <v>55</v>
      </c>
      <c r="C6" s="83">
        <v>33.6</v>
      </c>
      <c r="D6" s="83">
        <v>37.3</v>
      </c>
      <c r="E6" s="82">
        <f aca="true" t="shared" si="0" ref="E6:E26">D6*100/C6</f>
        <v>111.01190476190474</v>
      </c>
      <c r="F6" s="83">
        <v>30</v>
      </c>
      <c r="G6" s="83">
        <v>35.1</v>
      </c>
      <c r="H6" s="83"/>
      <c r="I6" s="83"/>
      <c r="J6" s="83">
        <v>3.6</v>
      </c>
      <c r="K6" s="83">
        <v>2.2</v>
      </c>
      <c r="L6" s="20"/>
      <c r="M6" s="20"/>
    </row>
    <row r="7" spans="1:13" ht="16.5">
      <c r="A7" s="31">
        <v>2</v>
      </c>
      <c r="B7" s="31" t="s">
        <v>56</v>
      </c>
      <c r="C7" s="83">
        <v>16</v>
      </c>
      <c r="D7" s="83">
        <v>8.459</v>
      </c>
      <c r="E7" s="82">
        <f t="shared" si="0"/>
        <v>52.86875</v>
      </c>
      <c r="F7" s="83">
        <v>16</v>
      </c>
      <c r="G7" s="83">
        <v>8.459</v>
      </c>
      <c r="H7" s="83"/>
      <c r="I7" s="83"/>
      <c r="J7" s="83"/>
      <c r="K7" s="83"/>
      <c r="L7" s="20"/>
      <c r="M7" s="20"/>
    </row>
    <row r="8" spans="1:13" ht="16.5">
      <c r="A8" s="31">
        <v>3</v>
      </c>
      <c r="B8" s="31" t="s">
        <v>57</v>
      </c>
      <c r="C8" s="83">
        <v>7.6</v>
      </c>
      <c r="D8" s="83">
        <v>7.9</v>
      </c>
      <c r="E8" s="82">
        <f t="shared" si="0"/>
        <v>103.94736842105263</v>
      </c>
      <c r="F8" s="83">
        <v>7.1</v>
      </c>
      <c r="G8" s="83">
        <v>7.9</v>
      </c>
      <c r="H8" s="83"/>
      <c r="I8" s="83"/>
      <c r="J8" s="83">
        <v>0.5</v>
      </c>
      <c r="K8" s="83"/>
      <c r="L8" s="20"/>
      <c r="M8" s="20"/>
    </row>
    <row r="9" spans="1:13" ht="16.5">
      <c r="A9" s="31">
        <v>4</v>
      </c>
      <c r="B9" s="41" t="s">
        <v>58</v>
      </c>
      <c r="C9" s="83">
        <v>102</v>
      </c>
      <c r="D9" s="83">
        <v>63.2</v>
      </c>
      <c r="E9" s="82">
        <f t="shared" si="0"/>
        <v>61.96078431372549</v>
      </c>
      <c r="F9" s="83">
        <v>80.1</v>
      </c>
      <c r="G9" s="83">
        <v>48.2</v>
      </c>
      <c r="H9" s="83">
        <v>18.7</v>
      </c>
      <c r="I9" s="83">
        <v>13.8</v>
      </c>
      <c r="J9" s="83">
        <v>3.2</v>
      </c>
      <c r="K9" s="83">
        <v>1.2</v>
      </c>
      <c r="L9" s="20"/>
      <c r="M9" s="20"/>
    </row>
    <row r="10" spans="1:13" ht="16.5">
      <c r="A10" s="31">
        <v>5</v>
      </c>
      <c r="B10" s="31" t="s">
        <v>59</v>
      </c>
      <c r="C10" s="83">
        <v>58.8</v>
      </c>
      <c r="D10" s="83">
        <v>50.3</v>
      </c>
      <c r="E10" s="82">
        <f t="shared" si="0"/>
        <v>85.54421768707483</v>
      </c>
      <c r="F10" s="83">
        <v>38</v>
      </c>
      <c r="G10" s="83">
        <v>38.6</v>
      </c>
      <c r="H10" s="83">
        <v>15</v>
      </c>
      <c r="I10" s="83">
        <v>8.9</v>
      </c>
      <c r="J10" s="83">
        <v>5.8</v>
      </c>
      <c r="K10" s="83">
        <v>2.8</v>
      </c>
      <c r="L10" s="20"/>
      <c r="M10" s="20"/>
    </row>
    <row r="11" spans="1:13" ht="16.5">
      <c r="A11" s="31">
        <v>6</v>
      </c>
      <c r="B11" s="32" t="s">
        <v>73</v>
      </c>
      <c r="C11" s="83">
        <v>25</v>
      </c>
      <c r="D11" s="118">
        <v>21.1</v>
      </c>
      <c r="E11" s="82">
        <f t="shared" si="0"/>
        <v>84.4</v>
      </c>
      <c r="F11" s="84">
        <v>23.9</v>
      </c>
      <c r="G11" s="84">
        <v>19.941</v>
      </c>
      <c r="H11" s="84"/>
      <c r="I11" s="84"/>
      <c r="J11" s="84">
        <v>1.1</v>
      </c>
      <c r="K11" s="84">
        <v>1.159</v>
      </c>
      <c r="L11" s="20"/>
      <c r="M11" s="20"/>
    </row>
    <row r="12" spans="1:13" ht="16.5">
      <c r="A12" s="31">
        <v>7</v>
      </c>
      <c r="B12" s="32" t="s">
        <v>60</v>
      </c>
      <c r="C12" s="83">
        <v>1</v>
      </c>
      <c r="D12" s="83"/>
      <c r="E12" s="82">
        <f t="shared" si="0"/>
        <v>0</v>
      </c>
      <c r="F12" s="84">
        <v>1</v>
      </c>
      <c r="G12" s="84"/>
      <c r="H12" s="84"/>
      <c r="I12" s="84"/>
      <c r="J12" s="84"/>
      <c r="K12" s="84"/>
      <c r="L12" s="20"/>
      <c r="M12" s="20"/>
    </row>
    <row r="13" spans="1:13" ht="16.5">
      <c r="A13" s="31">
        <v>8</v>
      </c>
      <c r="B13" s="32" t="s">
        <v>87</v>
      </c>
      <c r="C13" s="83">
        <v>1.64</v>
      </c>
      <c r="D13" s="83">
        <v>16.084</v>
      </c>
      <c r="E13" s="82">
        <f t="shared" si="0"/>
        <v>980.7317073170732</v>
      </c>
      <c r="F13" s="84">
        <v>1.64</v>
      </c>
      <c r="G13" s="84">
        <v>16.084</v>
      </c>
      <c r="H13" s="84"/>
      <c r="I13" s="84"/>
      <c r="J13" s="84"/>
      <c r="K13" s="84"/>
      <c r="L13" s="20"/>
      <c r="M13" s="20"/>
    </row>
    <row r="14" spans="1:13" ht="16.5">
      <c r="A14" s="31">
        <v>9</v>
      </c>
      <c r="B14" s="32" t="s">
        <v>72</v>
      </c>
      <c r="C14" s="83">
        <v>17.34</v>
      </c>
      <c r="D14" s="83">
        <v>17.34</v>
      </c>
      <c r="E14" s="82">
        <f t="shared" si="0"/>
        <v>100</v>
      </c>
      <c r="F14" s="84">
        <v>16.7</v>
      </c>
      <c r="G14" s="84">
        <v>15.11</v>
      </c>
      <c r="H14" s="84"/>
      <c r="I14" s="84"/>
      <c r="J14" s="84">
        <v>0.64</v>
      </c>
      <c r="K14" s="84">
        <v>2.23</v>
      </c>
      <c r="L14" s="20"/>
      <c r="M14" s="20"/>
    </row>
    <row r="15" spans="1:13" ht="16.5">
      <c r="A15" s="31">
        <v>10</v>
      </c>
      <c r="B15" s="32" t="s">
        <v>61</v>
      </c>
      <c r="C15" s="83">
        <v>16.2</v>
      </c>
      <c r="D15" s="83">
        <v>22.2</v>
      </c>
      <c r="E15" s="82">
        <f t="shared" si="0"/>
        <v>137.03703703703704</v>
      </c>
      <c r="F15" s="84">
        <v>16.2</v>
      </c>
      <c r="G15" s="84">
        <v>22.2</v>
      </c>
      <c r="H15" s="84"/>
      <c r="I15" s="84"/>
      <c r="J15" s="84"/>
      <c r="K15" s="84"/>
      <c r="L15" s="20"/>
      <c r="M15" s="20"/>
    </row>
    <row r="16" spans="1:13" ht="16.5">
      <c r="A16" s="31">
        <v>11</v>
      </c>
      <c r="B16" s="32" t="s">
        <v>62</v>
      </c>
      <c r="C16" s="83">
        <v>12.9</v>
      </c>
      <c r="D16" s="83">
        <v>4.3</v>
      </c>
      <c r="E16" s="82">
        <f t="shared" si="0"/>
        <v>33.333333333333336</v>
      </c>
      <c r="F16" s="84">
        <v>12.5</v>
      </c>
      <c r="G16" s="84">
        <v>4.3</v>
      </c>
      <c r="H16" s="84"/>
      <c r="I16" s="84"/>
      <c r="J16" s="84">
        <v>0.4</v>
      </c>
      <c r="K16" s="84"/>
      <c r="L16" s="20"/>
      <c r="M16" s="20"/>
    </row>
    <row r="17" spans="1:13" ht="16.5">
      <c r="A17" s="31">
        <v>12</v>
      </c>
      <c r="B17" s="32" t="s">
        <v>63</v>
      </c>
      <c r="C17" s="83">
        <v>748</v>
      </c>
      <c r="D17" s="83">
        <v>928</v>
      </c>
      <c r="E17" s="82">
        <f t="shared" si="0"/>
        <v>124.06417112299465</v>
      </c>
      <c r="F17" s="84"/>
      <c r="G17" s="84"/>
      <c r="H17" s="84">
        <v>748</v>
      </c>
      <c r="I17" s="84">
        <v>928</v>
      </c>
      <c r="J17" s="84"/>
      <c r="K17" s="84"/>
      <c r="L17" s="20"/>
      <c r="M17" s="20"/>
    </row>
    <row r="18" spans="1:13" ht="16.5">
      <c r="A18" s="31">
        <v>13</v>
      </c>
      <c r="B18" s="32" t="s">
        <v>71</v>
      </c>
      <c r="C18" s="83">
        <v>3.2</v>
      </c>
      <c r="D18" s="83">
        <v>4</v>
      </c>
      <c r="E18" s="82">
        <f t="shared" si="0"/>
        <v>125</v>
      </c>
      <c r="F18" s="84"/>
      <c r="G18" s="84"/>
      <c r="H18" s="84"/>
      <c r="I18" s="84"/>
      <c r="J18" s="84">
        <v>3.2</v>
      </c>
      <c r="K18" s="84">
        <v>4</v>
      </c>
      <c r="L18" s="20"/>
      <c r="M18" s="20"/>
    </row>
    <row r="19" spans="1:13" ht="16.5">
      <c r="A19" s="31">
        <v>14</v>
      </c>
      <c r="B19" s="32" t="s">
        <v>124</v>
      </c>
      <c r="C19" s="83"/>
      <c r="D19" s="83">
        <v>1.2</v>
      </c>
      <c r="E19" s="82"/>
      <c r="F19" s="84"/>
      <c r="G19" s="84"/>
      <c r="H19" s="84"/>
      <c r="I19" s="84"/>
      <c r="J19" s="84"/>
      <c r="K19" s="84">
        <v>1.2</v>
      </c>
      <c r="L19" s="20"/>
      <c r="M19" s="20"/>
    </row>
    <row r="20" spans="1:13" ht="46.5" customHeight="1">
      <c r="A20" s="217" t="s">
        <v>89</v>
      </c>
      <c r="B20" s="218"/>
      <c r="C20" s="83">
        <f>SUM(C6:C18)</f>
        <v>1043.28</v>
      </c>
      <c r="D20" s="83">
        <f>SUM(D6:D19)</f>
        <v>1181.383</v>
      </c>
      <c r="E20" s="82">
        <f t="shared" si="0"/>
        <v>113.23738593666131</v>
      </c>
      <c r="F20" s="84">
        <f>SUM(F6:F18)</f>
        <v>243.13999999999996</v>
      </c>
      <c r="G20" s="84">
        <f>SUM(G6:G18)</f>
        <v>215.894</v>
      </c>
      <c r="H20" s="84">
        <f>SUM(H6:H18)</f>
        <v>781.7</v>
      </c>
      <c r="I20" s="84">
        <f>SUM(I6:I18)</f>
        <v>950.7</v>
      </c>
      <c r="J20" s="84">
        <f>SUM(J6:J18)</f>
        <v>18.44</v>
      </c>
      <c r="K20" s="84">
        <f>SUM(K6:K19)</f>
        <v>14.789</v>
      </c>
      <c r="L20" s="20"/>
      <c r="M20" s="20"/>
    </row>
    <row r="21" spans="1:13" ht="16.5">
      <c r="A21" s="31">
        <v>1</v>
      </c>
      <c r="B21" s="32" t="s">
        <v>120</v>
      </c>
      <c r="C21" s="2"/>
      <c r="D21" s="83">
        <v>0.6</v>
      </c>
      <c r="E21" s="2"/>
      <c r="F21" s="2"/>
      <c r="G21" s="83">
        <v>0.4</v>
      </c>
      <c r="H21" s="2"/>
      <c r="I21" s="2"/>
      <c r="J21" s="84"/>
      <c r="K21" s="84">
        <v>0.2</v>
      </c>
      <c r="L21" s="20"/>
      <c r="M21" s="20"/>
    </row>
    <row r="22" spans="1:13" ht="16.5">
      <c r="A22" s="31">
        <v>2</v>
      </c>
      <c r="B22" s="32" t="s">
        <v>123</v>
      </c>
      <c r="C22" s="2"/>
      <c r="D22" s="2"/>
      <c r="E22" s="2"/>
      <c r="F22" s="2"/>
      <c r="G22" s="2"/>
      <c r="H22" s="2"/>
      <c r="I22" s="2"/>
      <c r="J22" s="84"/>
      <c r="K22" s="84"/>
      <c r="L22" s="20"/>
      <c r="M22" s="20"/>
    </row>
    <row r="23" spans="1:13" ht="16.5">
      <c r="A23" s="31">
        <v>3</v>
      </c>
      <c r="B23" s="32" t="s">
        <v>82</v>
      </c>
      <c r="C23" s="83">
        <v>0.5</v>
      </c>
      <c r="D23" s="83">
        <v>1.8</v>
      </c>
      <c r="E23" s="82"/>
      <c r="F23" s="84"/>
      <c r="G23" s="84"/>
      <c r="H23" s="84">
        <v>0.5</v>
      </c>
      <c r="I23" s="84">
        <v>1.8</v>
      </c>
      <c r="J23" s="84"/>
      <c r="K23" s="84"/>
      <c r="L23" s="20"/>
      <c r="M23" s="20"/>
    </row>
    <row r="24" spans="1:13" ht="18">
      <c r="A24" s="31">
        <v>4</v>
      </c>
      <c r="B24" s="32" t="s">
        <v>88</v>
      </c>
      <c r="C24" s="83"/>
      <c r="D24" s="83">
        <v>0.2</v>
      </c>
      <c r="E24" s="82"/>
      <c r="F24" s="16"/>
      <c r="G24" s="84"/>
      <c r="H24" s="16"/>
      <c r="I24" s="84"/>
      <c r="J24" s="84"/>
      <c r="K24" s="84">
        <v>0.2</v>
      </c>
      <c r="L24" s="20"/>
      <c r="M24" s="20"/>
    </row>
    <row r="25" spans="1:13" ht="18">
      <c r="A25" s="219" t="s">
        <v>90</v>
      </c>
      <c r="B25" s="220"/>
      <c r="C25" s="83">
        <f>SUM(C23:C24)</f>
        <v>0.5</v>
      </c>
      <c r="D25" s="83">
        <f>SUM(D21:D24)</f>
        <v>2.6</v>
      </c>
      <c r="E25" s="82">
        <f t="shared" si="0"/>
        <v>520</v>
      </c>
      <c r="F25" s="16">
        <f>SUM(F23:F24)</f>
        <v>0</v>
      </c>
      <c r="G25" s="84">
        <f>SUM(G21:G24)</f>
        <v>0.4</v>
      </c>
      <c r="H25" s="16">
        <f>SUM(H23:H24)</f>
        <v>0.5</v>
      </c>
      <c r="I25" s="84">
        <f>SUM(I23:I24)</f>
        <v>1.8</v>
      </c>
      <c r="J25" s="84">
        <f>SUM(J21:J24)</f>
        <v>0</v>
      </c>
      <c r="K25" s="84">
        <f>SUM(K21:K24)</f>
        <v>0.4</v>
      </c>
      <c r="L25" s="20"/>
      <c r="M25" s="20"/>
    </row>
    <row r="26" spans="1:13" ht="16.5">
      <c r="A26" s="212" t="s">
        <v>91</v>
      </c>
      <c r="B26" s="213"/>
      <c r="C26" s="85">
        <f>C20+C25</f>
        <v>1043.78</v>
      </c>
      <c r="D26" s="85">
        <f>D20+D25</f>
        <v>1183.983</v>
      </c>
      <c r="E26" s="82">
        <f t="shared" si="0"/>
        <v>113.4322366782272</v>
      </c>
      <c r="F26" s="85">
        <f aca="true" t="shared" si="1" ref="F26:K26">F20+F25</f>
        <v>243.13999999999996</v>
      </c>
      <c r="G26" s="85">
        <f t="shared" si="1"/>
        <v>216.294</v>
      </c>
      <c r="H26" s="85">
        <f t="shared" si="1"/>
        <v>782.2</v>
      </c>
      <c r="I26" s="85">
        <f t="shared" si="1"/>
        <v>952.5</v>
      </c>
      <c r="J26" s="85">
        <f t="shared" si="1"/>
        <v>18.44</v>
      </c>
      <c r="K26" s="85">
        <f t="shared" si="1"/>
        <v>15.189</v>
      </c>
      <c r="L26" s="136"/>
      <c r="M26" s="20"/>
    </row>
  </sheetData>
  <sheetProtection/>
  <mergeCells count="5">
    <mergeCell ref="A26:B26"/>
    <mergeCell ref="A3:A5"/>
    <mergeCell ref="B3:B5"/>
    <mergeCell ref="A20:B20"/>
    <mergeCell ref="A25:B25"/>
  </mergeCells>
  <printOptions/>
  <pageMargins left="0.75" right="0.75" top="1" bottom="1" header="0.5" footer="0.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view="pageBreakPreview" zoomScale="75" zoomScaleNormal="75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W15" sqref="W15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3" width="8.625" style="0" customWidth="1"/>
    <col min="4" max="4" width="9.375" style="0" customWidth="1"/>
    <col min="5" max="5" width="8.25390625" style="0" customWidth="1"/>
    <col min="6" max="6" width="7.125" style="0" customWidth="1"/>
    <col min="7" max="7" width="7.625" style="0" customWidth="1"/>
    <col min="8" max="8" width="8.75390625" style="0" customWidth="1"/>
    <col min="9" max="10" width="10.25390625" style="0" customWidth="1"/>
    <col min="11" max="11" width="8.25390625" style="0" customWidth="1"/>
    <col min="12" max="12" width="11.125" style="0" customWidth="1"/>
    <col min="13" max="13" width="10.625" style="0" customWidth="1"/>
    <col min="14" max="14" width="8.625" style="0" customWidth="1"/>
    <col min="15" max="15" width="7.00390625" style="0" customWidth="1"/>
    <col min="16" max="16" width="7.125" style="0" customWidth="1"/>
    <col min="17" max="17" width="8.625" style="0" customWidth="1"/>
    <col min="18" max="18" width="6.375" style="0" customWidth="1"/>
    <col min="19" max="19" width="6.25390625" style="0" customWidth="1"/>
    <col min="20" max="20" width="8.75390625" style="0" customWidth="1"/>
  </cols>
  <sheetData>
    <row r="1" spans="2:20" ht="1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2:20" ht="15.75">
      <c r="B2" s="20"/>
      <c r="C2" s="20"/>
      <c r="D2" s="20"/>
      <c r="E2" s="20"/>
      <c r="F2" s="20"/>
      <c r="G2" s="1" t="s">
        <v>118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2:20" ht="1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5">
      <c r="A4" s="78"/>
      <c r="B4" s="23" t="s">
        <v>3</v>
      </c>
      <c r="C4" s="26" t="s">
        <v>65</v>
      </c>
      <c r="D4" s="104"/>
      <c r="E4" s="104"/>
      <c r="F4" s="102"/>
      <c r="G4" s="102"/>
      <c r="H4" s="105"/>
      <c r="I4" s="97" t="s">
        <v>46</v>
      </c>
      <c r="J4" s="102"/>
      <c r="K4" s="104"/>
      <c r="L4" s="102"/>
      <c r="M4" s="102"/>
      <c r="N4" s="105"/>
      <c r="O4" s="97" t="s">
        <v>47</v>
      </c>
      <c r="P4" s="102"/>
      <c r="Q4" s="104"/>
      <c r="R4" s="102"/>
      <c r="S4" s="102"/>
      <c r="T4" s="105"/>
    </row>
    <row r="5" spans="1:20" ht="15" customHeight="1">
      <c r="A5" s="79" t="s">
        <v>2</v>
      </c>
      <c r="B5" s="33"/>
      <c r="C5" s="25" t="s">
        <v>48</v>
      </c>
      <c r="D5" s="102"/>
      <c r="E5" s="153" t="s">
        <v>104</v>
      </c>
      <c r="F5" s="97" t="s">
        <v>49</v>
      </c>
      <c r="G5" s="101"/>
      <c r="H5" s="153" t="s">
        <v>104</v>
      </c>
      <c r="I5" s="156" t="s">
        <v>48</v>
      </c>
      <c r="J5" s="156"/>
      <c r="K5" s="153" t="s">
        <v>104</v>
      </c>
      <c r="L5" s="156" t="s">
        <v>49</v>
      </c>
      <c r="M5" s="156"/>
      <c r="N5" s="153" t="s">
        <v>104</v>
      </c>
      <c r="O5" s="102" t="s">
        <v>48</v>
      </c>
      <c r="P5" s="102"/>
      <c r="Q5" s="153" t="s">
        <v>85</v>
      </c>
      <c r="R5" s="157" t="s">
        <v>49</v>
      </c>
      <c r="S5" s="158"/>
      <c r="T5" s="153" t="s">
        <v>104</v>
      </c>
    </row>
    <row r="6" spans="1:20" ht="15">
      <c r="A6" s="79" t="s">
        <v>70</v>
      </c>
      <c r="B6" s="33"/>
      <c r="C6" s="151">
        <v>2011</v>
      </c>
      <c r="D6" s="151">
        <v>2012</v>
      </c>
      <c r="E6" s="154"/>
      <c r="F6" s="151">
        <v>2011</v>
      </c>
      <c r="G6" s="151">
        <v>2012</v>
      </c>
      <c r="H6" s="154"/>
      <c r="I6" s="151">
        <v>2011</v>
      </c>
      <c r="J6" s="151">
        <v>2012</v>
      </c>
      <c r="K6" s="154"/>
      <c r="L6" s="151">
        <v>2011</v>
      </c>
      <c r="M6" s="151">
        <v>2012</v>
      </c>
      <c r="N6" s="154"/>
      <c r="O6" s="151">
        <v>2011</v>
      </c>
      <c r="P6" s="151">
        <v>2012</v>
      </c>
      <c r="Q6" s="154"/>
      <c r="R6" s="151">
        <v>2011</v>
      </c>
      <c r="S6" s="151">
        <v>2012</v>
      </c>
      <c r="T6" s="154"/>
    </row>
    <row r="7" spans="1:20" ht="15">
      <c r="A7" s="80"/>
      <c r="B7" s="29"/>
      <c r="C7" s="152"/>
      <c r="D7" s="152"/>
      <c r="E7" s="155"/>
      <c r="F7" s="152"/>
      <c r="G7" s="152"/>
      <c r="H7" s="155"/>
      <c r="I7" s="152"/>
      <c r="J7" s="152"/>
      <c r="K7" s="155"/>
      <c r="L7" s="152"/>
      <c r="M7" s="152"/>
      <c r="N7" s="155"/>
      <c r="O7" s="152"/>
      <c r="P7" s="152"/>
      <c r="Q7" s="155"/>
      <c r="R7" s="152"/>
      <c r="S7" s="152"/>
      <c r="T7" s="155"/>
    </row>
    <row r="8" spans="1:20" ht="15">
      <c r="A8" s="2">
        <v>1</v>
      </c>
      <c r="B8" s="22" t="s">
        <v>55</v>
      </c>
      <c r="C8" s="123">
        <v>214</v>
      </c>
      <c r="D8" s="3">
        <v>173</v>
      </c>
      <c r="E8" s="36">
        <f aca="true" t="shared" si="0" ref="E8:E18">D8/C8*100</f>
        <v>80.8411214953271</v>
      </c>
      <c r="F8" s="3"/>
      <c r="G8" s="3"/>
      <c r="H8" s="36"/>
      <c r="I8" s="3">
        <v>52478</v>
      </c>
      <c r="J8" s="3">
        <v>34436</v>
      </c>
      <c r="K8" s="36">
        <f>J8*100/I8</f>
        <v>65.61987880635695</v>
      </c>
      <c r="L8" s="3"/>
      <c r="M8" s="3"/>
      <c r="N8" s="36"/>
      <c r="O8" s="36">
        <f aca="true" t="shared" si="1" ref="O8:O18">C8/I8*100000</f>
        <v>407.78993101871265</v>
      </c>
      <c r="P8" s="36">
        <f aca="true" t="shared" si="2" ref="P8:P17">D8/J8*100000</f>
        <v>502.3812289464514</v>
      </c>
      <c r="Q8" s="36">
        <f aca="true" t="shared" si="3" ref="Q8:Q18">P8/O8*100</f>
        <v>123.19608473201811</v>
      </c>
      <c r="R8" s="36"/>
      <c r="S8" s="36"/>
      <c r="T8" s="36"/>
    </row>
    <row r="9" spans="1:20" ht="15">
      <c r="A9" s="2">
        <v>2</v>
      </c>
      <c r="B9" s="22" t="s">
        <v>56</v>
      </c>
      <c r="C9" s="123">
        <v>115.8</v>
      </c>
      <c r="D9" s="3">
        <v>109.61</v>
      </c>
      <c r="E9" s="36">
        <f t="shared" si="0"/>
        <v>94.6545768566494</v>
      </c>
      <c r="F9" s="3"/>
      <c r="G9" s="3"/>
      <c r="H9" s="36"/>
      <c r="I9" s="3">
        <v>41342</v>
      </c>
      <c r="J9" s="3">
        <v>37197</v>
      </c>
      <c r="K9" s="36">
        <f aca="true" t="shared" si="4" ref="K9:K23">J9*100/I9</f>
        <v>89.97387644526148</v>
      </c>
      <c r="L9" s="3"/>
      <c r="M9" s="3"/>
      <c r="N9" s="36"/>
      <c r="O9" s="36">
        <f t="shared" si="1"/>
        <v>280.1025591408253</v>
      </c>
      <c r="P9" s="36">
        <f t="shared" si="2"/>
        <v>294.6743016909966</v>
      </c>
      <c r="Q9" s="36">
        <f t="shared" si="3"/>
        <v>105.20228826001019</v>
      </c>
      <c r="R9" s="36"/>
      <c r="S9" s="36"/>
      <c r="T9" s="36"/>
    </row>
    <row r="10" spans="1:20" ht="15">
      <c r="A10" s="2">
        <v>3</v>
      </c>
      <c r="B10" s="37" t="s">
        <v>57</v>
      </c>
      <c r="C10" s="124">
        <v>90</v>
      </c>
      <c r="D10" s="19">
        <v>72</v>
      </c>
      <c r="E10" s="36">
        <f t="shared" si="0"/>
        <v>80</v>
      </c>
      <c r="F10" s="19"/>
      <c r="G10" s="19"/>
      <c r="H10" s="36"/>
      <c r="I10" s="3">
        <v>14339</v>
      </c>
      <c r="J10" s="3">
        <v>10729</v>
      </c>
      <c r="K10" s="36">
        <f t="shared" si="4"/>
        <v>74.8239068275333</v>
      </c>
      <c r="L10" s="19"/>
      <c r="M10" s="19"/>
      <c r="N10" s="87"/>
      <c r="O10" s="36">
        <f t="shared" si="1"/>
        <v>627.6588325545714</v>
      </c>
      <c r="P10" s="36">
        <f t="shared" si="2"/>
        <v>671.078385683661</v>
      </c>
      <c r="Q10" s="36">
        <f t="shared" si="3"/>
        <v>106.9176996924224</v>
      </c>
      <c r="R10" s="87"/>
      <c r="S10" s="87"/>
      <c r="T10" s="87"/>
    </row>
    <row r="11" spans="1:20" ht="15">
      <c r="A11" s="2">
        <v>4</v>
      </c>
      <c r="B11" s="22" t="s">
        <v>58</v>
      </c>
      <c r="C11" s="123">
        <v>593.3</v>
      </c>
      <c r="D11" s="3">
        <v>515.7</v>
      </c>
      <c r="E11" s="36">
        <f t="shared" si="0"/>
        <v>86.92061351761336</v>
      </c>
      <c r="F11" s="3">
        <v>249.6</v>
      </c>
      <c r="G11" s="3">
        <v>222.6</v>
      </c>
      <c r="H11" s="36">
        <f>G11/F11*100</f>
        <v>89.1826923076923</v>
      </c>
      <c r="I11" s="3">
        <v>139064</v>
      </c>
      <c r="J11" s="3">
        <v>134723</v>
      </c>
      <c r="K11" s="36">
        <f t="shared" si="4"/>
        <v>96.87841569349364</v>
      </c>
      <c r="L11" s="3">
        <v>58830</v>
      </c>
      <c r="M11" s="3">
        <v>56328</v>
      </c>
      <c r="N11" s="36">
        <f>M11/L11*100</f>
        <v>95.74706782253952</v>
      </c>
      <c r="O11" s="36">
        <f t="shared" si="1"/>
        <v>426.63809469021453</v>
      </c>
      <c r="P11" s="36">
        <f t="shared" si="2"/>
        <v>382.78541897077713</v>
      </c>
      <c r="Q11" s="36">
        <f t="shared" si="3"/>
        <v>89.72134081198745</v>
      </c>
      <c r="R11" s="36">
        <f>F11/L11*100000</f>
        <v>424.27332993370726</v>
      </c>
      <c r="S11" s="36">
        <f>G11/M11*100000</f>
        <v>395.1853429910524</v>
      </c>
      <c r="T11" s="36">
        <f>S11/R11*100</f>
        <v>93.14404538527089</v>
      </c>
    </row>
    <row r="12" spans="1:20" ht="15">
      <c r="A12" s="2">
        <v>5</v>
      </c>
      <c r="B12" s="22" t="s">
        <v>59</v>
      </c>
      <c r="C12" s="125">
        <v>208</v>
      </c>
      <c r="D12" s="88">
        <v>134.7</v>
      </c>
      <c r="E12" s="89">
        <f t="shared" si="0"/>
        <v>64.75961538461537</v>
      </c>
      <c r="F12" s="88">
        <v>163</v>
      </c>
      <c r="G12" s="88">
        <v>12.9</v>
      </c>
      <c r="H12" s="36">
        <f>G12/F12*100</f>
        <v>7.914110429447853</v>
      </c>
      <c r="I12" s="3">
        <v>42237</v>
      </c>
      <c r="J12" s="3">
        <v>33171</v>
      </c>
      <c r="K12" s="36">
        <f t="shared" si="4"/>
        <v>78.5354073442716</v>
      </c>
      <c r="L12" s="3">
        <v>44217</v>
      </c>
      <c r="M12" s="3">
        <v>18293</v>
      </c>
      <c r="N12" s="36">
        <f>M12/L12*100</f>
        <v>41.37096591808581</v>
      </c>
      <c r="O12" s="36">
        <f t="shared" si="1"/>
        <v>492.45921822099103</v>
      </c>
      <c r="P12" s="36">
        <f t="shared" si="2"/>
        <v>406.07759790178164</v>
      </c>
      <c r="Q12" s="36">
        <f t="shared" si="3"/>
        <v>82.45913222393054</v>
      </c>
      <c r="R12" s="36">
        <f>F12/L12*100000</f>
        <v>368.6364972748038</v>
      </c>
      <c r="S12" s="36">
        <f>G12/M12*100000</f>
        <v>70.51877767452031</v>
      </c>
      <c r="T12" s="36">
        <f>S12/R12*100</f>
        <v>19.129624493461748</v>
      </c>
    </row>
    <row r="13" spans="1:20" ht="15">
      <c r="A13" s="2">
        <v>6</v>
      </c>
      <c r="B13" s="38" t="s">
        <v>73</v>
      </c>
      <c r="C13" s="125">
        <v>135</v>
      </c>
      <c r="D13" s="88">
        <v>165.05</v>
      </c>
      <c r="E13" s="89">
        <f t="shared" si="0"/>
        <v>122.25925925925927</v>
      </c>
      <c r="F13" s="88"/>
      <c r="G13" s="88"/>
      <c r="H13" s="89"/>
      <c r="I13" s="88">
        <v>38528</v>
      </c>
      <c r="J13" s="88">
        <v>32060</v>
      </c>
      <c r="K13" s="36">
        <f t="shared" si="4"/>
        <v>83.21220930232558</v>
      </c>
      <c r="L13" s="88"/>
      <c r="M13" s="88"/>
      <c r="N13" s="89"/>
      <c r="O13" s="36">
        <f t="shared" si="1"/>
        <v>350.3945182724253</v>
      </c>
      <c r="P13" s="36">
        <f t="shared" si="2"/>
        <v>514.8159700561448</v>
      </c>
      <c r="Q13" s="36">
        <f t="shared" si="3"/>
        <v>146.92466440239366</v>
      </c>
      <c r="R13" s="36"/>
      <c r="S13" s="36"/>
      <c r="T13" s="89"/>
    </row>
    <row r="14" spans="1:20" ht="15">
      <c r="A14" s="2">
        <v>7</v>
      </c>
      <c r="B14" s="38" t="s">
        <v>60</v>
      </c>
      <c r="C14" s="125">
        <v>52.7</v>
      </c>
      <c r="D14" s="88"/>
      <c r="E14" s="89">
        <f t="shared" si="0"/>
        <v>0</v>
      </c>
      <c r="F14" s="88"/>
      <c r="G14" s="88"/>
      <c r="H14" s="89"/>
      <c r="I14" s="88">
        <v>24150</v>
      </c>
      <c r="J14" s="88"/>
      <c r="K14" s="36">
        <f t="shared" si="4"/>
        <v>0</v>
      </c>
      <c r="L14" s="88"/>
      <c r="M14" s="88"/>
      <c r="N14" s="89"/>
      <c r="O14" s="36">
        <f t="shared" si="1"/>
        <v>218.2194616977226</v>
      </c>
      <c r="P14" s="36"/>
      <c r="Q14" s="89"/>
      <c r="R14" s="36"/>
      <c r="S14" s="3"/>
      <c r="T14" s="89"/>
    </row>
    <row r="15" spans="1:20" ht="15">
      <c r="A15" s="2">
        <v>8</v>
      </c>
      <c r="B15" s="32" t="s">
        <v>87</v>
      </c>
      <c r="C15" s="125">
        <v>44.71</v>
      </c>
      <c r="D15" s="88">
        <v>158.32</v>
      </c>
      <c r="E15" s="89">
        <f t="shared" si="0"/>
        <v>354.1042272422277</v>
      </c>
      <c r="F15" s="88"/>
      <c r="G15" s="88"/>
      <c r="H15" s="89"/>
      <c r="I15" s="88">
        <v>17438</v>
      </c>
      <c r="J15" s="88">
        <v>51328</v>
      </c>
      <c r="K15" s="36">
        <f t="shared" si="4"/>
        <v>294.3456818442482</v>
      </c>
      <c r="L15" s="88"/>
      <c r="M15" s="88"/>
      <c r="N15" s="89"/>
      <c r="O15" s="36">
        <f t="shared" si="1"/>
        <v>256.394081890125</v>
      </c>
      <c r="P15" s="36">
        <f t="shared" si="2"/>
        <v>308.4476309226933</v>
      </c>
      <c r="Q15" s="91">
        <f t="shared" si="3"/>
        <v>120.30216479601714</v>
      </c>
      <c r="R15" s="36"/>
      <c r="S15" s="3"/>
      <c r="T15" s="89"/>
    </row>
    <row r="16" spans="1:20" s="69" customFormat="1" ht="15">
      <c r="A16" s="2">
        <v>9</v>
      </c>
      <c r="B16" s="32" t="s">
        <v>72</v>
      </c>
      <c r="C16" s="126">
        <v>117.4</v>
      </c>
      <c r="D16" s="90">
        <v>227.45</v>
      </c>
      <c r="E16" s="91">
        <f t="shared" si="0"/>
        <v>193.73935264054512</v>
      </c>
      <c r="F16" s="90"/>
      <c r="G16" s="90"/>
      <c r="H16" s="91"/>
      <c r="I16" s="90">
        <v>28915</v>
      </c>
      <c r="J16" s="90">
        <v>47363</v>
      </c>
      <c r="K16" s="36">
        <f t="shared" si="4"/>
        <v>163.80079543489538</v>
      </c>
      <c r="L16" s="90"/>
      <c r="M16" s="90"/>
      <c r="N16" s="91"/>
      <c r="O16" s="36">
        <f t="shared" si="1"/>
        <v>406.01763790420193</v>
      </c>
      <c r="P16" s="36">
        <f t="shared" si="2"/>
        <v>480.22718155522244</v>
      </c>
      <c r="Q16" s="91">
        <f t="shared" si="3"/>
        <v>118.27741869394599</v>
      </c>
      <c r="R16" s="36"/>
      <c r="S16" s="36"/>
      <c r="T16" s="36"/>
    </row>
    <row r="17" spans="1:20" ht="15">
      <c r="A17" s="2">
        <v>10</v>
      </c>
      <c r="B17" s="38" t="s">
        <v>61</v>
      </c>
      <c r="C17" s="125">
        <v>144</v>
      </c>
      <c r="D17" s="88">
        <v>180</v>
      </c>
      <c r="E17" s="89">
        <f t="shared" si="0"/>
        <v>125</v>
      </c>
      <c r="F17" s="88"/>
      <c r="G17" s="88"/>
      <c r="H17" s="89"/>
      <c r="I17" s="88">
        <v>38224</v>
      </c>
      <c r="J17" s="88">
        <v>37527</v>
      </c>
      <c r="K17" s="36">
        <f t="shared" si="4"/>
        <v>98.17653830054417</v>
      </c>
      <c r="L17" s="88"/>
      <c r="M17" s="88"/>
      <c r="N17" s="89"/>
      <c r="O17" s="36">
        <f t="shared" si="1"/>
        <v>376.72666387609877</v>
      </c>
      <c r="P17" s="36">
        <f t="shared" si="2"/>
        <v>479.6546486529699</v>
      </c>
      <c r="Q17" s="89">
        <f t="shared" si="3"/>
        <v>127.3216617368828</v>
      </c>
      <c r="R17" s="36"/>
      <c r="S17" s="36"/>
      <c r="T17" s="89"/>
    </row>
    <row r="18" spans="1:20" ht="15">
      <c r="A18" s="2">
        <v>11</v>
      </c>
      <c r="B18" s="38" t="s">
        <v>62</v>
      </c>
      <c r="C18" s="125">
        <v>63.5</v>
      </c>
      <c r="D18" s="88">
        <v>19.1</v>
      </c>
      <c r="E18" s="89">
        <f t="shared" si="0"/>
        <v>30.078740157480315</v>
      </c>
      <c r="F18" s="88"/>
      <c r="G18" s="88"/>
      <c r="H18" s="89"/>
      <c r="I18" s="88">
        <v>12145</v>
      </c>
      <c r="J18" s="88">
        <v>2887</v>
      </c>
      <c r="K18" s="36">
        <f t="shared" si="4"/>
        <v>23.771099217785096</v>
      </c>
      <c r="L18" s="88"/>
      <c r="M18" s="88"/>
      <c r="N18" s="89"/>
      <c r="O18" s="36">
        <f t="shared" si="1"/>
        <v>522.8489090160559</v>
      </c>
      <c r="P18" s="36">
        <f>D18/J18*100000</f>
        <v>661.5864218912367</v>
      </c>
      <c r="Q18" s="89">
        <f t="shared" si="3"/>
        <v>126.53491486407984</v>
      </c>
      <c r="R18" s="36"/>
      <c r="S18" s="36"/>
      <c r="T18" s="89"/>
    </row>
    <row r="19" spans="1:20" ht="15">
      <c r="A19" s="2">
        <v>12</v>
      </c>
      <c r="B19" s="81" t="s">
        <v>63</v>
      </c>
      <c r="C19" s="125"/>
      <c r="D19" s="88"/>
      <c r="E19" s="89"/>
      <c r="F19" s="88">
        <v>7693</v>
      </c>
      <c r="G19" s="88">
        <v>9883</v>
      </c>
      <c r="H19" s="89">
        <f>G19/F19*100</f>
        <v>128.46743793058624</v>
      </c>
      <c r="I19" s="3"/>
      <c r="J19" s="88"/>
      <c r="K19" s="36"/>
      <c r="L19" s="88">
        <v>1995778</v>
      </c>
      <c r="M19" s="88">
        <v>2322599</v>
      </c>
      <c r="N19" s="89">
        <f>M19/L19*100</f>
        <v>116.37561893156455</v>
      </c>
      <c r="O19" s="36"/>
      <c r="P19" s="36"/>
      <c r="Q19" s="89"/>
      <c r="R19" s="36">
        <f aca="true" t="shared" si="5" ref="R19:S21">F19/L19*100000</f>
        <v>385.463713900043</v>
      </c>
      <c r="S19" s="36">
        <f t="shared" si="5"/>
        <v>425.51469280749717</v>
      </c>
      <c r="T19" s="89">
        <f>S19/R19*100</f>
        <v>110.39033700532445</v>
      </c>
    </row>
    <row r="20" spans="1:20" ht="43.5" customHeight="1">
      <c r="A20" s="141" t="s">
        <v>103</v>
      </c>
      <c r="B20" s="142"/>
      <c r="C20" s="127">
        <f>SUM(C8:C19)</f>
        <v>1778.41</v>
      </c>
      <c r="D20" s="3">
        <f>SUM(D8:D19)</f>
        <v>1754.9299999999998</v>
      </c>
      <c r="E20" s="36">
        <f>D20/C20*100</f>
        <v>98.679719524744</v>
      </c>
      <c r="F20" s="36">
        <f>SUM(F11:F19)</f>
        <v>8105.6</v>
      </c>
      <c r="G20" s="3">
        <f>SUM(G11:G19)</f>
        <v>10118.5</v>
      </c>
      <c r="H20" s="36">
        <f>G20/F20*100</f>
        <v>124.83344848006317</v>
      </c>
      <c r="I20" s="3">
        <f>SUM(I8:I19)</f>
        <v>448860</v>
      </c>
      <c r="J20" s="3">
        <f>SUM(J8:J19)</f>
        <v>421421</v>
      </c>
      <c r="K20" s="36">
        <f t="shared" si="4"/>
        <v>93.88695807155906</v>
      </c>
      <c r="L20" s="3">
        <f>SUM(L11:L19)</f>
        <v>2098825</v>
      </c>
      <c r="M20" s="3">
        <f>SUM(M11:M19)</f>
        <v>2397220</v>
      </c>
      <c r="N20" s="36">
        <f>M20/L20*100</f>
        <v>114.21724059890653</v>
      </c>
      <c r="O20" s="36">
        <f aca="true" t="shared" si="6" ref="O20:P23">C20/I20*100000</f>
        <v>396.20594394688766</v>
      </c>
      <c r="P20" s="36">
        <f t="shared" si="6"/>
        <v>416.43154944817644</v>
      </c>
      <c r="Q20" s="36">
        <f>P20/O20*100</f>
        <v>105.10482132090377</v>
      </c>
      <c r="R20" s="36">
        <f t="shared" si="5"/>
        <v>386.1970388193394</v>
      </c>
      <c r="S20" s="36">
        <f t="shared" si="5"/>
        <v>422.09309116393155</v>
      </c>
      <c r="T20" s="36">
        <f>S20/R20*100</f>
        <v>109.29475079724371</v>
      </c>
    </row>
    <row r="21" spans="1:20" ht="15">
      <c r="A21" s="2">
        <v>13</v>
      </c>
      <c r="B21" s="32" t="s">
        <v>82</v>
      </c>
      <c r="C21" s="96"/>
      <c r="D21" s="88"/>
      <c r="E21" s="36"/>
      <c r="F21" s="88">
        <v>16</v>
      </c>
      <c r="G21" s="88">
        <v>38</v>
      </c>
      <c r="H21" s="36"/>
      <c r="I21" s="3"/>
      <c r="J21" s="88"/>
      <c r="K21" s="36"/>
      <c r="L21" s="88">
        <v>19704</v>
      </c>
      <c r="M21" s="88">
        <v>22156</v>
      </c>
      <c r="N21" s="89">
        <f>M21/L21*100</f>
        <v>112.44417377182299</v>
      </c>
      <c r="O21" s="36"/>
      <c r="P21" s="36"/>
      <c r="Q21" s="36"/>
      <c r="R21" s="36">
        <f t="shared" si="5"/>
        <v>81.20178643930167</v>
      </c>
      <c r="S21" s="36">
        <f t="shared" si="5"/>
        <v>171.51110308719987</v>
      </c>
      <c r="T21" s="36"/>
    </row>
    <row r="22" spans="1:20" ht="18" customHeight="1">
      <c r="A22" s="143" t="s">
        <v>90</v>
      </c>
      <c r="B22" s="144"/>
      <c r="C22" s="88"/>
      <c r="D22" s="88"/>
      <c r="E22" s="36"/>
      <c r="F22" s="88">
        <f>SUM(F21)</f>
        <v>16</v>
      </c>
      <c r="G22" s="88">
        <f>SUM(G21)</f>
        <v>38</v>
      </c>
      <c r="H22" s="36"/>
      <c r="I22" s="3"/>
      <c r="J22" s="88"/>
      <c r="K22" s="36"/>
      <c r="L22" s="88">
        <f>SUM(L21)</f>
        <v>19704</v>
      </c>
      <c r="M22" s="88">
        <f>SUM(M21)</f>
        <v>22156</v>
      </c>
      <c r="N22" s="89">
        <f>M22/L22*100</f>
        <v>112.44417377182299</v>
      </c>
      <c r="O22" s="36"/>
      <c r="P22" s="36"/>
      <c r="Q22" s="36"/>
      <c r="R22" s="36">
        <f>F22/L22*100000</f>
        <v>81.20178643930167</v>
      </c>
      <c r="S22" s="36">
        <f>G22/M22*100000</f>
        <v>171.51110308719987</v>
      </c>
      <c r="T22" s="36"/>
    </row>
    <row r="23" spans="1:20" ht="36.75" customHeight="1">
      <c r="A23" s="139" t="s">
        <v>91</v>
      </c>
      <c r="B23" s="140"/>
      <c r="C23" s="89">
        <f>C20+C22</f>
        <v>1778.41</v>
      </c>
      <c r="D23" s="89">
        <f>D20+D22</f>
        <v>1754.9299999999998</v>
      </c>
      <c r="E23" s="36">
        <f>D23/C23*100</f>
        <v>98.679719524744</v>
      </c>
      <c r="F23" s="89">
        <f>F20+F22</f>
        <v>8121.6</v>
      </c>
      <c r="G23" s="89">
        <f>G20+G22</f>
        <v>10156.5</v>
      </c>
      <c r="H23" s="36">
        <f>G23/F23*100</f>
        <v>125.05540780141844</v>
      </c>
      <c r="I23" s="89">
        <f>I20+I22</f>
        <v>448860</v>
      </c>
      <c r="J23" s="89">
        <f>J20+J22</f>
        <v>421421</v>
      </c>
      <c r="K23" s="36">
        <f t="shared" si="4"/>
        <v>93.88695807155906</v>
      </c>
      <c r="L23" s="89">
        <f>L20+L22</f>
        <v>2118529</v>
      </c>
      <c r="M23" s="89">
        <f>M20+M22</f>
        <v>2419376</v>
      </c>
      <c r="N23" s="89"/>
      <c r="O23" s="36">
        <f t="shared" si="6"/>
        <v>396.20594394688766</v>
      </c>
      <c r="P23" s="36">
        <f t="shared" si="6"/>
        <v>416.43154944817644</v>
      </c>
      <c r="Q23" s="36">
        <f>P23/O23*100</f>
        <v>105.10482132090377</v>
      </c>
      <c r="R23" s="36">
        <f>F23/L23*100000</f>
        <v>383.36034106684406</v>
      </c>
      <c r="S23" s="36">
        <f>G23/M23*100000</f>
        <v>419.7983281639563</v>
      </c>
      <c r="T23" s="36">
        <f>S23/R23*100</f>
        <v>109.50489218465056</v>
      </c>
    </row>
  </sheetData>
  <sheetProtection/>
  <mergeCells count="24">
    <mergeCell ref="C6:C7"/>
    <mergeCell ref="D6:D7"/>
    <mergeCell ref="A23:B23"/>
    <mergeCell ref="T5:T7"/>
    <mergeCell ref="L5:M5"/>
    <mergeCell ref="R5:S5"/>
    <mergeCell ref="L6:L7"/>
    <mergeCell ref="M6:M7"/>
    <mergeCell ref="A20:B20"/>
    <mergeCell ref="A22:B22"/>
    <mergeCell ref="F6:F7"/>
    <mergeCell ref="I6:I7"/>
    <mergeCell ref="K5:K7"/>
    <mergeCell ref="E5:E7"/>
    <mergeCell ref="Q5:Q7"/>
    <mergeCell ref="N5:N7"/>
    <mergeCell ref="I5:J5"/>
    <mergeCell ref="P6:P7"/>
    <mergeCell ref="R6:R7"/>
    <mergeCell ref="O6:O7"/>
    <mergeCell ref="G6:G7"/>
    <mergeCell ref="H5:H7"/>
    <mergeCell ref="J6:J7"/>
    <mergeCell ref="S6:S7"/>
  </mergeCells>
  <printOptions/>
  <pageMargins left="0.75" right="0.75" top="1" bottom="1" header="0.5" footer="0.5"/>
  <pageSetup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="75" zoomScaleNormal="50" zoomScaleSheetLayoutView="75" zoomScalePageLayoutView="0" workbookViewId="0" topLeftCell="A1">
      <selection activeCell="Q20" sqref="Q20"/>
    </sheetView>
  </sheetViews>
  <sheetFormatPr defaultColWidth="9.00390625" defaultRowHeight="12.75"/>
  <cols>
    <col min="1" max="1" width="3.625" style="0" customWidth="1"/>
    <col min="2" max="2" width="34.625" style="0" customWidth="1"/>
    <col min="3" max="3" width="7.25390625" style="0" customWidth="1"/>
    <col min="4" max="4" width="7.125" style="0" customWidth="1"/>
    <col min="5" max="5" width="8.125" style="0" customWidth="1"/>
    <col min="6" max="6" width="7.125" style="0" customWidth="1"/>
    <col min="7" max="7" width="7.375" style="0" customWidth="1"/>
    <col min="8" max="8" width="8.75390625" style="0" customWidth="1"/>
    <col min="9" max="9" width="8.375" style="0" customWidth="1"/>
    <col min="10" max="10" width="9.625" style="0" customWidth="1"/>
    <col min="11" max="11" width="13.75390625" style="0" customWidth="1"/>
    <col min="12" max="12" width="14.375" style="0" customWidth="1"/>
    <col min="13" max="13" width="9.125" style="72" customWidth="1"/>
  </cols>
  <sheetData>
    <row r="1" ht="15.75">
      <c r="C1" s="1" t="s">
        <v>117</v>
      </c>
    </row>
    <row r="2" spans="1:12" ht="15">
      <c r="A2" s="20"/>
      <c r="B2" s="20"/>
      <c r="C2" s="20"/>
      <c r="D2" s="20"/>
      <c r="E2" s="20"/>
      <c r="F2" s="20"/>
      <c r="G2" s="20"/>
      <c r="H2" s="10" t="s">
        <v>54</v>
      </c>
      <c r="I2" s="20"/>
      <c r="J2" s="20"/>
      <c r="K2" s="20"/>
      <c r="L2" s="20"/>
    </row>
    <row r="3" spans="1:13" ht="15" customHeight="1">
      <c r="A3" s="23" t="s">
        <v>2</v>
      </c>
      <c r="B3" s="23" t="s">
        <v>3</v>
      </c>
      <c r="C3" s="25"/>
      <c r="D3" s="25" t="s">
        <v>51</v>
      </c>
      <c r="E3" s="27"/>
      <c r="F3" s="163" t="s">
        <v>10</v>
      </c>
      <c r="G3" s="164"/>
      <c r="H3" s="165"/>
      <c r="I3" s="25" t="s">
        <v>6</v>
      </c>
      <c r="J3" s="21" t="s">
        <v>7</v>
      </c>
      <c r="K3" s="168" t="s">
        <v>68</v>
      </c>
      <c r="L3" s="169"/>
      <c r="M3" s="166"/>
    </row>
    <row r="4" spans="1:13" ht="15" customHeight="1">
      <c r="A4" s="33"/>
      <c r="B4" s="33"/>
      <c r="C4" s="9">
        <v>2011</v>
      </c>
      <c r="D4" s="42">
        <v>2012</v>
      </c>
      <c r="E4" s="19" t="s">
        <v>4</v>
      </c>
      <c r="F4" s="9">
        <v>2011</v>
      </c>
      <c r="G4" s="42">
        <v>2012</v>
      </c>
      <c r="H4" s="19" t="s">
        <v>4</v>
      </c>
      <c r="I4" s="9">
        <v>2011</v>
      </c>
      <c r="J4" s="42">
        <v>2012</v>
      </c>
      <c r="K4" s="170" t="s">
        <v>1</v>
      </c>
      <c r="L4" s="170" t="s">
        <v>69</v>
      </c>
      <c r="M4" s="167"/>
    </row>
    <row r="5" spans="1:13" ht="15">
      <c r="A5" s="29"/>
      <c r="B5" s="29"/>
      <c r="C5" s="28"/>
      <c r="D5" s="35"/>
      <c r="E5" s="11">
        <v>2011</v>
      </c>
      <c r="F5" s="28"/>
      <c r="G5" s="35"/>
      <c r="H5" s="11">
        <v>2011</v>
      </c>
      <c r="I5" s="35"/>
      <c r="J5" s="29"/>
      <c r="K5" s="171"/>
      <c r="L5" s="171"/>
      <c r="M5" s="167"/>
    </row>
    <row r="6" spans="1:13" ht="15">
      <c r="A6" s="3">
        <v>1</v>
      </c>
      <c r="B6" s="22" t="s">
        <v>55</v>
      </c>
      <c r="C6" s="3"/>
      <c r="D6" s="3"/>
      <c r="E6" s="36"/>
      <c r="F6" s="3">
        <v>17</v>
      </c>
      <c r="G6" s="3">
        <v>10</v>
      </c>
      <c r="H6" s="89">
        <f aca="true" t="shared" si="0" ref="H6:H20">G6*100/F6</f>
        <v>58.8235294117647</v>
      </c>
      <c r="I6" s="122">
        <f>F6+(C6*0.2)+('численность 1'!M6*0.3)+'численность 1'!G6+(('численность 1'!C6-'численность 1'!G6)*0.6)</f>
        <v>288.8</v>
      </c>
      <c r="J6" s="122">
        <f>G6+(D6*0.2)+('численность 1'!N6*0.3)+'численность 1'!H6+(('численность 1'!D6-'численность 1'!H6)*0.6)</f>
        <v>235.6</v>
      </c>
      <c r="K6" s="3">
        <v>5270</v>
      </c>
      <c r="L6" s="3">
        <v>1290</v>
      </c>
      <c r="M6" s="77"/>
    </row>
    <row r="7" spans="1:13" ht="15">
      <c r="A7" s="3">
        <v>2</v>
      </c>
      <c r="B7" s="22" t="s">
        <v>56</v>
      </c>
      <c r="C7" s="3"/>
      <c r="D7" s="3"/>
      <c r="E7" s="36"/>
      <c r="F7" s="3">
        <v>5</v>
      </c>
      <c r="G7" s="3">
        <v>4</v>
      </c>
      <c r="H7" s="89">
        <f t="shared" si="0"/>
        <v>80</v>
      </c>
      <c r="I7" s="122">
        <f>F7+(C7*0.2)+('численность 1'!M7*0.3)+'численность 1'!G7+(('численность 1'!C7-'численность 1'!G7)*0.6)</f>
        <v>171.8</v>
      </c>
      <c r="J7" s="122">
        <f>G7+(D7*0.2)+('численность 1'!N7*0.3)+'численность 1'!H7+(('численность 1'!D7-'численность 1'!H7)*0.6)</f>
        <v>176.2</v>
      </c>
      <c r="K7" s="3">
        <v>5082</v>
      </c>
      <c r="L7" s="3">
        <v>1994</v>
      </c>
      <c r="M7" s="77"/>
    </row>
    <row r="8" spans="1:13" ht="15">
      <c r="A8" s="3">
        <v>3</v>
      </c>
      <c r="B8" s="22" t="s">
        <v>57</v>
      </c>
      <c r="C8" s="3"/>
      <c r="D8" s="3"/>
      <c r="E8" s="36"/>
      <c r="F8" s="3"/>
      <c r="G8" s="3">
        <v>1</v>
      </c>
      <c r="H8" s="89"/>
      <c r="I8" s="122">
        <f>F8+(C8*0.2)+('численность 1'!M8*0.3)+'численность 1'!G8+(('численность 1'!C8-'численность 1'!G8)*0.6)</f>
        <v>99</v>
      </c>
      <c r="J8" s="122">
        <f>G8+(D8*0.2)+('численность 1'!N8*0.3)+'численность 1'!H8+(('численность 1'!D8-'численность 1'!H8)*0.6)</f>
        <v>94</v>
      </c>
      <c r="K8" s="3">
        <v>3163</v>
      </c>
      <c r="L8" s="3">
        <v>851</v>
      </c>
      <c r="M8" s="77"/>
    </row>
    <row r="9" spans="1:13" ht="15">
      <c r="A9" s="3">
        <v>4</v>
      </c>
      <c r="B9" s="22" t="s">
        <v>58</v>
      </c>
      <c r="C9" s="3"/>
      <c r="D9" s="3"/>
      <c r="E9" s="3"/>
      <c r="F9" s="3">
        <v>18</v>
      </c>
      <c r="G9" s="3">
        <v>20</v>
      </c>
      <c r="H9" s="89">
        <f t="shared" si="0"/>
        <v>111.11111111111111</v>
      </c>
      <c r="I9" s="122">
        <f>F9+(C9*0.2)+('численность 1'!M9*0.3)+'численность 1'!G9+(('численность 1'!C9-'численность 1'!G9)*0.6)</f>
        <v>753.8</v>
      </c>
      <c r="J9" s="122">
        <f>G9+(D9*0.2)+('численность 1'!N9*0.3)+'численность 1'!H9+(('численность 1'!D9-'численность 1'!H9)*0.6)</f>
        <v>792.6999999999999</v>
      </c>
      <c r="K9" s="88">
        <v>17920</v>
      </c>
      <c r="L9" s="88">
        <v>8160</v>
      </c>
      <c r="M9" s="77"/>
    </row>
    <row r="10" spans="1:13" ht="15">
      <c r="A10" s="3">
        <v>5</v>
      </c>
      <c r="B10" s="22" t="s">
        <v>59</v>
      </c>
      <c r="C10" s="86">
        <v>155</v>
      </c>
      <c r="D10" s="3">
        <v>113</v>
      </c>
      <c r="E10" s="89">
        <f>D10*100/C10</f>
        <v>72.90322580645162</v>
      </c>
      <c r="F10" s="3">
        <v>16</v>
      </c>
      <c r="G10" s="3">
        <v>11</v>
      </c>
      <c r="H10" s="89">
        <f t="shared" si="0"/>
        <v>68.75</v>
      </c>
      <c r="I10" s="122">
        <f>F10+(C10*0.2)+('численность 1'!M10*0.3)+'численность 1'!G10+(('численность 1'!C10-'численность 1'!G10)*0.6)</f>
        <v>502.8</v>
      </c>
      <c r="J10" s="122">
        <f>G10+(D10*0.2)+('численность 1'!N10*0.3)+'численность 1'!H10+(('численность 1'!D10-'численность 1'!H10)*0.6)</f>
        <v>345.5</v>
      </c>
      <c r="K10" s="3">
        <v>6014</v>
      </c>
      <c r="L10" s="3">
        <v>2000</v>
      </c>
      <c r="M10" s="77"/>
    </row>
    <row r="11" spans="1:13" ht="15">
      <c r="A11" s="3">
        <v>6</v>
      </c>
      <c r="B11" s="38" t="s">
        <v>73</v>
      </c>
      <c r="C11" s="88"/>
      <c r="D11" s="88"/>
      <c r="E11" s="89"/>
      <c r="F11" s="3">
        <v>9</v>
      </c>
      <c r="G11" s="3">
        <v>9</v>
      </c>
      <c r="H11" s="89">
        <f t="shared" si="0"/>
        <v>100</v>
      </c>
      <c r="I11" s="122">
        <f>F11+(C11*0.2)+('численность 1'!M11*0.3)+'численность 1'!G11+(('численность 1'!C11-'численность 1'!G11)*0.6)</f>
        <v>208.6</v>
      </c>
      <c r="J11" s="122">
        <f>G11+(D11*0.2)+('численность 1'!N11*0.3)+'численность 1'!H11+(('численность 1'!D11-'численность 1'!H11)*0.6)</f>
        <v>186.39999999999998</v>
      </c>
      <c r="K11" s="88">
        <v>10360</v>
      </c>
      <c r="L11" s="88">
        <v>2240</v>
      </c>
      <c r="M11" s="77"/>
    </row>
    <row r="12" spans="1:13" ht="15">
      <c r="A12" s="3">
        <v>7</v>
      </c>
      <c r="B12" s="22" t="s">
        <v>60</v>
      </c>
      <c r="C12" s="88"/>
      <c r="D12" s="88"/>
      <c r="E12" s="89"/>
      <c r="F12" s="88">
        <v>3</v>
      </c>
      <c r="G12" s="88"/>
      <c r="H12" s="89">
        <f t="shared" si="0"/>
        <v>0</v>
      </c>
      <c r="I12" s="122">
        <f>F12+(C12*0.2)+('численность 1'!M12*0.3)+'численность 1'!G12+(('численность 1'!C12-'численность 1'!G12)*0.6)</f>
        <v>63</v>
      </c>
      <c r="J12" s="122">
        <f>G12+(D12*0.2)+('численность 1'!N12*0.3)+'численность 1'!H12+(('численность 1'!D12-'численность 1'!H12)*0.6)</f>
        <v>0</v>
      </c>
      <c r="K12" s="88"/>
      <c r="L12" s="88"/>
      <c r="M12" s="77"/>
    </row>
    <row r="13" spans="1:13" ht="15">
      <c r="A13" s="3">
        <v>8</v>
      </c>
      <c r="B13" s="32" t="s">
        <v>87</v>
      </c>
      <c r="C13" s="88"/>
      <c r="D13" s="88"/>
      <c r="E13" s="89"/>
      <c r="F13" s="88"/>
      <c r="G13" s="88">
        <v>3</v>
      </c>
      <c r="H13" s="89"/>
      <c r="I13" s="122">
        <f>F13+(C13*0.2)+('численность 1'!M13*0.3)+'численность 1'!G13+(('численность 1'!C13-'численность 1'!G13)*0.6)</f>
        <v>89.6</v>
      </c>
      <c r="J13" s="122">
        <f>G13+(D13*0.2)+('численность 1'!N13*0.3)+'численность 1'!H13+(('численность 1'!D13-'численность 1'!H13)*0.6)</f>
        <v>177.2</v>
      </c>
      <c r="K13" s="88">
        <v>5840</v>
      </c>
      <c r="L13" s="119">
        <v>1584</v>
      </c>
      <c r="M13" s="77"/>
    </row>
    <row r="14" spans="1:13" ht="15">
      <c r="A14" s="3">
        <v>9</v>
      </c>
      <c r="B14" s="32" t="s">
        <v>72</v>
      </c>
      <c r="C14" s="88">
        <v>132</v>
      </c>
      <c r="D14" s="88">
        <v>190</v>
      </c>
      <c r="E14" s="89">
        <f>D14*100/C14</f>
        <v>143.93939393939394</v>
      </c>
      <c r="F14" s="3">
        <v>6</v>
      </c>
      <c r="G14" s="3">
        <v>3</v>
      </c>
      <c r="H14" s="89">
        <f t="shared" si="0"/>
        <v>50</v>
      </c>
      <c r="I14" s="122">
        <f>F14+(C14*0.2)+('численность 1'!M14*0.3)+'численность 1'!G14+(('численность 1'!C14-'численность 1'!G14)*0.6)</f>
        <v>203.4</v>
      </c>
      <c r="J14" s="122">
        <f>G14+(D14*0.2)+('численность 1'!N14*0.3)+'численность 1'!H14+(('численность 1'!D14-'численность 1'!H14)*0.6)</f>
        <v>221</v>
      </c>
      <c r="K14" s="88">
        <v>55028</v>
      </c>
      <c r="L14" s="88">
        <v>2080</v>
      </c>
      <c r="M14" s="77"/>
    </row>
    <row r="15" spans="1:13" ht="15">
      <c r="A15" s="3">
        <v>10</v>
      </c>
      <c r="B15" s="22" t="s">
        <v>61</v>
      </c>
      <c r="C15" s="88"/>
      <c r="D15" s="88"/>
      <c r="E15" s="89"/>
      <c r="F15" s="3">
        <v>5</v>
      </c>
      <c r="G15" s="3">
        <v>4</v>
      </c>
      <c r="H15" s="89">
        <f t="shared" si="0"/>
        <v>80</v>
      </c>
      <c r="I15" s="122">
        <f>F15+(C15*0.2)+('численность 1'!M15*0.3)+'численность 1'!G15+(('численность 1'!C15-'численность 1'!G15)*0.6)</f>
        <v>189.6</v>
      </c>
      <c r="J15" s="122">
        <f>G15+(D15*0.2)+('численность 1'!N15*0.3)+'численность 1'!H15+(('численность 1'!D15-'численность 1'!H15)*0.6)</f>
        <v>192.2</v>
      </c>
      <c r="K15" s="88">
        <v>5753</v>
      </c>
      <c r="L15" s="88">
        <v>1260</v>
      </c>
      <c r="M15" s="77"/>
    </row>
    <row r="16" spans="1:13" ht="15">
      <c r="A16" s="3">
        <v>11</v>
      </c>
      <c r="B16" s="22" t="s">
        <v>62</v>
      </c>
      <c r="C16" s="88"/>
      <c r="D16" s="88"/>
      <c r="E16" s="89"/>
      <c r="F16" s="3">
        <v>1</v>
      </c>
      <c r="G16" s="3">
        <v>1</v>
      </c>
      <c r="H16" s="89">
        <f t="shared" si="0"/>
        <v>100</v>
      </c>
      <c r="I16" s="122">
        <f>F16+(C16*0.2)+('численность 1'!M16*0.3)+'численность 1'!G16+(('численность 1'!C16-'численность 1'!G16)*0.6)</f>
        <v>51.4</v>
      </c>
      <c r="J16" s="122">
        <f>G16+(D16*0.2)+('численность 1'!N16*0.3)+'численность 1'!H16+(('численность 1'!D16-'численность 1'!H16)*0.6)</f>
        <v>44.8</v>
      </c>
      <c r="K16" s="88">
        <v>2860</v>
      </c>
      <c r="L16" s="88">
        <v>500</v>
      </c>
      <c r="M16" s="77"/>
    </row>
    <row r="17" spans="1:13" ht="15">
      <c r="A17" s="3">
        <v>12</v>
      </c>
      <c r="B17" s="22" t="s">
        <v>63</v>
      </c>
      <c r="C17" s="88"/>
      <c r="D17" s="88"/>
      <c r="E17" s="89"/>
      <c r="F17" s="3">
        <v>1</v>
      </c>
      <c r="G17" s="3">
        <v>1</v>
      </c>
      <c r="H17" s="89">
        <f t="shared" si="0"/>
        <v>100</v>
      </c>
      <c r="I17" s="122">
        <f>F17+(C17*0.2)+('численность 1'!M17*0.3)+'численность 1'!G17+(('численность 1'!C17-'численность 1'!G17)*0.6)</f>
        <v>2779</v>
      </c>
      <c r="J17" s="122">
        <f>G17+(D17*0.2)+('численность 1'!N17*0.3)+'численность 1'!H17+(('численность 1'!D17-'численность 1'!H17)*0.6)</f>
        <v>3016</v>
      </c>
      <c r="K17" s="88">
        <v>7720</v>
      </c>
      <c r="L17" s="88">
        <v>7720</v>
      </c>
      <c r="M17" s="77"/>
    </row>
    <row r="18" spans="1:13" ht="15">
      <c r="A18" s="3">
        <v>13</v>
      </c>
      <c r="B18" s="32" t="s">
        <v>71</v>
      </c>
      <c r="C18" s="88"/>
      <c r="D18" s="88"/>
      <c r="E18" s="89"/>
      <c r="F18" s="3">
        <v>145</v>
      </c>
      <c r="G18" s="3">
        <v>169</v>
      </c>
      <c r="H18" s="89">
        <f t="shared" si="0"/>
        <v>116.55172413793103</v>
      </c>
      <c r="I18" s="122">
        <f>F18+(C18*0.2)+('численность 1'!M18*0.3)+'численность 1'!G18+(('численность 1'!C18-'численность 1'!G18)*0.6)</f>
        <v>145</v>
      </c>
      <c r="J18" s="122">
        <f>G18+(D18*0.2)+('численность 1'!N18*0.3)+'численность 1'!H18+(('численность 1'!D18-'численность 1'!H18)*0.6)</f>
        <v>169</v>
      </c>
      <c r="K18" s="88">
        <v>6732</v>
      </c>
      <c r="L18" s="88"/>
      <c r="M18" s="77"/>
    </row>
    <row r="19" spans="1:13" ht="15">
      <c r="A19" s="31">
        <v>14</v>
      </c>
      <c r="B19" s="32" t="s">
        <v>124</v>
      </c>
      <c r="C19" s="88"/>
      <c r="D19" s="88">
        <v>262</v>
      </c>
      <c r="E19" s="89"/>
      <c r="F19" s="3"/>
      <c r="G19" s="3"/>
      <c r="H19" s="89"/>
      <c r="I19" s="122"/>
      <c r="J19" s="122">
        <f>G19+(D19*0.2)+('численность 1'!N19*0.3)+'численность 1'!H19+(('численность 1'!D19-'численность 1'!H19)*0.6)</f>
        <v>52.400000000000006</v>
      </c>
      <c r="K19" s="88">
        <v>337</v>
      </c>
      <c r="L19" s="88">
        <v>100</v>
      </c>
      <c r="M19" s="77"/>
    </row>
    <row r="20" spans="1:13" ht="60" customHeight="1">
      <c r="A20" s="159" t="s">
        <v>103</v>
      </c>
      <c r="B20" s="160"/>
      <c r="C20" s="88">
        <f>SUM(C10:C18)</f>
        <v>287</v>
      </c>
      <c r="D20" s="88">
        <f>SUM(D6:D19)</f>
        <v>565</v>
      </c>
      <c r="E20" s="89">
        <f>D20*100/C20</f>
        <v>196.86411149825784</v>
      </c>
      <c r="F20" s="3">
        <f>SUM(F6:F18)</f>
        <v>226</v>
      </c>
      <c r="G20" s="3">
        <f>SUM(G6:G18)</f>
        <v>236</v>
      </c>
      <c r="H20" s="89">
        <f t="shared" si="0"/>
        <v>104.42477876106194</v>
      </c>
      <c r="I20" s="122">
        <f>SUM(I6:I18)</f>
        <v>5545.8</v>
      </c>
      <c r="J20" s="122">
        <f>SUM(J6:J19)</f>
        <v>5703</v>
      </c>
      <c r="K20" s="88">
        <f>SUM(K6:K19)</f>
        <v>132079</v>
      </c>
      <c r="L20" s="88">
        <f>SUM(L6:L19)</f>
        <v>29779</v>
      </c>
      <c r="M20" s="77"/>
    </row>
    <row r="21" spans="1:13" ht="15.75" customHeight="1">
      <c r="A21" s="134">
        <v>1</v>
      </c>
      <c r="B21" s="32" t="s">
        <v>120</v>
      </c>
      <c r="C21" s="88"/>
      <c r="D21" s="88">
        <v>4</v>
      </c>
      <c r="E21" s="89"/>
      <c r="F21" s="3"/>
      <c r="G21" s="3"/>
      <c r="H21" s="89"/>
      <c r="I21" s="122"/>
      <c r="J21" s="122">
        <f>G21+(D21*0.2)+('численность 1'!N21*0.3)+'численность 1'!H21+(('численность 1'!D21-'численность 1'!H21)*0.6)</f>
        <v>16.400000000000002</v>
      </c>
      <c r="K21" s="88">
        <v>315</v>
      </c>
      <c r="L21" s="88">
        <v>70</v>
      </c>
      <c r="M21" s="77"/>
    </row>
    <row r="22" spans="1:13" ht="15.75" customHeight="1">
      <c r="A22" s="134">
        <v>2</v>
      </c>
      <c r="B22" s="32" t="s">
        <v>123</v>
      </c>
      <c r="C22" s="88"/>
      <c r="D22" s="88">
        <v>38</v>
      </c>
      <c r="E22" s="89"/>
      <c r="F22" s="3"/>
      <c r="G22" s="3"/>
      <c r="H22" s="89"/>
      <c r="I22" s="122"/>
      <c r="J22" s="122">
        <f>G22+(D22*0.2)+('численность 1'!N22*0.3)+'численность 1'!H22+(('численность 1'!D22-'численность 1'!H22)*0.6)</f>
        <v>7.6000000000000005</v>
      </c>
      <c r="K22" s="88">
        <v>468</v>
      </c>
      <c r="L22" s="88">
        <v>100</v>
      </c>
      <c r="M22" s="77"/>
    </row>
    <row r="23" spans="1:13" ht="15">
      <c r="A23" s="3">
        <v>3</v>
      </c>
      <c r="B23" s="32" t="s">
        <v>82</v>
      </c>
      <c r="C23" s="88"/>
      <c r="D23" s="88"/>
      <c r="E23" s="89"/>
      <c r="F23" s="3"/>
      <c r="G23" s="3"/>
      <c r="H23" s="89"/>
      <c r="I23" s="122">
        <f>F23+(C23*0.2)+('численность 1'!M23*0.3)+'численность 1'!G23+(('численность 1'!C23-'численность 1'!G23)*0.6)</f>
        <v>28.5</v>
      </c>
      <c r="J23" s="122">
        <f>G23+(D23*0.2)+('численность 1'!N23*0.3)+'численность 1'!H23+(('численность 1'!D23-'численность 1'!H23)*0.6)</f>
        <v>21.3</v>
      </c>
      <c r="K23" s="119">
        <v>220</v>
      </c>
      <c r="L23" s="88">
        <v>220</v>
      </c>
      <c r="M23" s="77"/>
    </row>
    <row r="24" spans="1:13" ht="15">
      <c r="A24" s="3">
        <v>4</v>
      </c>
      <c r="B24" s="32" t="s">
        <v>88</v>
      </c>
      <c r="C24" s="3"/>
      <c r="D24" s="3">
        <v>68</v>
      </c>
      <c r="E24" s="36"/>
      <c r="F24" s="3"/>
      <c r="G24" s="3">
        <v>8</v>
      </c>
      <c r="H24" s="89"/>
      <c r="I24" s="122">
        <f>F24+(C24*0.2)+('численность 1'!M24*0.3)+'численность 1'!G24+(('численность 1'!C24-'численность 1'!G24)*0.6)</f>
        <v>0</v>
      </c>
      <c r="J24" s="122">
        <f>G24+(D24*0.2)+('численность 1'!N24*0.3)+'численность 1'!H24+(('численность 1'!D24-'численность 1'!H24)*0.6)</f>
        <v>21.6</v>
      </c>
      <c r="K24" s="3">
        <v>210</v>
      </c>
      <c r="L24" s="3">
        <v>12</v>
      </c>
      <c r="M24" s="77"/>
    </row>
    <row r="25" spans="1:12" ht="25.5" customHeight="1">
      <c r="A25" s="159" t="s">
        <v>90</v>
      </c>
      <c r="B25" s="160"/>
      <c r="C25" s="88">
        <f>SUM(C24)</f>
        <v>0</v>
      </c>
      <c r="D25" s="88">
        <f>SUM(D21:D24)</f>
        <v>110</v>
      </c>
      <c r="E25" s="36"/>
      <c r="F25" s="88">
        <f>SUM(F23:F24)</f>
        <v>0</v>
      </c>
      <c r="G25" s="88">
        <f>SUM(G23:G24)</f>
        <v>8</v>
      </c>
      <c r="H25" s="89"/>
      <c r="I25" s="122">
        <f>SUM(I21:I24)</f>
        <v>28.5</v>
      </c>
      <c r="J25" s="122">
        <f>SUM(J21:J24)</f>
        <v>66.9</v>
      </c>
      <c r="K25" s="122">
        <f>SUM(K21:K24)</f>
        <v>1213</v>
      </c>
      <c r="L25" s="122">
        <f>SUM(L21:L24)</f>
        <v>402</v>
      </c>
    </row>
    <row r="26" spans="1:12" ht="41.25" customHeight="1">
      <c r="A26" s="161" t="s">
        <v>91</v>
      </c>
      <c r="B26" s="162"/>
      <c r="C26" s="88">
        <f>C20+C25</f>
        <v>287</v>
      </c>
      <c r="D26" s="88">
        <f>D20+D25</f>
        <v>675</v>
      </c>
      <c r="E26" s="36">
        <f>D26/C26*100</f>
        <v>235.19163763066203</v>
      </c>
      <c r="F26" s="88">
        <f>F20+F25</f>
        <v>226</v>
      </c>
      <c r="G26" s="88">
        <f>G20+G25</f>
        <v>244</v>
      </c>
      <c r="H26" s="89">
        <f>G26*100/F26</f>
        <v>107.96460176991151</v>
      </c>
      <c r="I26" s="119">
        <f>I20+I25</f>
        <v>5574.3</v>
      </c>
      <c r="J26" s="119">
        <f>J20+J25</f>
        <v>5769.9</v>
      </c>
      <c r="K26" s="88">
        <f>K20+K25</f>
        <v>133292</v>
      </c>
      <c r="L26" s="88">
        <f>L20+L25</f>
        <v>30181</v>
      </c>
    </row>
  </sheetData>
  <sheetProtection/>
  <mergeCells count="8">
    <mergeCell ref="A25:B25"/>
    <mergeCell ref="A26:B26"/>
    <mergeCell ref="F3:H3"/>
    <mergeCell ref="M3:M5"/>
    <mergeCell ref="K3:L3"/>
    <mergeCell ref="K4:K5"/>
    <mergeCell ref="L4:L5"/>
    <mergeCell ref="A20:B20"/>
  </mergeCells>
  <printOptions/>
  <pageMargins left="0.75" right="0.75" top="1" bottom="1" header="0.5" footer="0.5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6"/>
  <sheetViews>
    <sheetView view="pageBreakPreview" zoomScale="60" zoomScaleNormal="50" zoomScalePageLayoutView="0" workbookViewId="0" topLeftCell="A1">
      <selection activeCell="AA23" sqref="AA23"/>
    </sheetView>
  </sheetViews>
  <sheetFormatPr defaultColWidth="9.00390625" defaultRowHeight="12.75"/>
  <cols>
    <col min="1" max="1" width="5.25390625" style="0" customWidth="1"/>
    <col min="2" max="2" width="38.75390625" style="0" customWidth="1"/>
    <col min="3" max="3" width="9.75390625" style="0" customWidth="1"/>
    <col min="4" max="4" width="9.875" style="0" customWidth="1"/>
    <col min="5" max="5" width="10.75390625" style="0" customWidth="1"/>
    <col min="6" max="6" width="11.75390625" style="0" customWidth="1"/>
    <col min="7" max="7" width="9.875" style="0" customWidth="1"/>
    <col min="8" max="8" width="9.75390625" style="0" customWidth="1"/>
    <col min="9" max="9" width="10.75390625" style="0" customWidth="1"/>
    <col min="10" max="10" width="9.75390625" style="0" customWidth="1"/>
    <col min="11" max="11" width="9.875" style="0" customWidth="1"/>
    <col min="12" max="12" width="10.75390625" style="0" customWidth="1"/>
    <col min="13" max="13" width="9.875" style="0" customWidth="1"/>
    <col min="14" max="14" width="9.75390625" style="0" customWidth="1"/>
    <col min="15" max="15" width="10.75390625" style="0" customWidth="1"/>
    <col min="16" max="17" width="9.75390625" style="0" customWidth="1"/>
    <col min="18" max="18" width="10.875" style="0" customWidth="1"/>
    <col min="19" max="20" width="9.75390625" style="0" customWidth="1"/>
    <col min="21" max="21" width="10.625" style="0" customWidth="1"/>
    <col min="22" max="22" width="7.00390625" style="0" customWidth="1"/>
    <col min="23" max="23" width="14.25390625" style="0" customWidth="1"/>
    <col min="24" max="24" width="6.375" style="0" customWidth="1"/>
    <col min="25" max="25" width="6.00390625" style="0" customWidth="1"/>
    <col min="26" max="26" width="6.875" style="0" customWidth="1"/>
    <col min="27" max="27" width="7.375" style="0" customWidth="1"/>
    <col min="28" max="28" width="7.125" style="0" customWidth="1"/>
    <col min="29" max="29" width="10.00390625" style="0" hidden="1" customWidth="1"/>
    <col min="30" max="31" width="8.25390625" style="0" customWidth="1"/>
    <col min="32" max="32" width="8.125" style="0" customWidth="1"/>
    <col min="33" max="33" width="8.625" style="0" customWidth="1"/>
    <col min="34" max="34" width="3.25390625" style="0" customWidth="1"/>
    <col min="35" max="35" width="22.375" style="0" customWidth="1"/>
    <col min="36" max="36" width="7.125" style="0" customWidth="1"/>
    <col min="37" max="38" width="6.625" style="0" customWidth="1"/>
    <col min="39" max="39" width="7.00390625" style="0" customWidth="1"/>
  </cols>
  <sheetData>
    <row r="1" spans="5:18" ht="20.25">
      <c r="E1" s="47" t="s">
        <v>116</v>
      </c>
      <c r="F1" s="47"/>
      <c r="G1" s="47"/>
      <c r="H1" s="46"/>
      <c r="I1" s="46"/>
      <c r="J1" s="46"/>
      <c r="K1" s="46"/>
      <c r="L1" s="46"/>
      <c r="M1" s="46"/>
      <c r="N1" s="46"/>
      <c r="O1" s="46"/>
      <c r="P1" s="14"/>
      <c r="Q1" s="43"/>
      <c r="R1" s="1"/>
    </row>
    <row r="2" spans="5:17" ht="20.25">
      <c r="E2" s="46"/>
      <c r="F2" s="46"/>
      <c r="G2" s="46"/>
      <c r="H2" s="48" t="s">
        <v>53</v>
      </c>
      <c r="I2" s="48"/>
      <c r="J2" s="48"/>
      <c r="K2" s="48"/>
      <c r="L2" s="48"/>
      <c r="M2" s="48"/>
      <c r="N2" s="46"/>
      <c r="O2" s="46"/>
      <c r="P2" s="14"/>
      <c r="Q2" s="14"/>
    </row>
    <row r="3" spans="1:21" s="20" customFormat="1" ht="44.25" customHeight="1">
      <c r="A3" s="23" t="s">
        <v>2</v>
      </c>
      <c r="B3" s="151" t="s">
        <v>3</v>
      </c>
      <c r="C3" s="146" t="s">
        <v>75</v>
      </c>
      <c r="D3" s="175"/>
      <c r="E3" s="176"/>
      <c r="F3" s="153" t="s">
        <v>74</v>
      </c>
      <c r="G3" s="146" t="s">
        <v>8</v>
      </c>
      <c r="H3" s="175"/>
      <c r="I3" s="176"/>
      <c r="J3" s="177" t="s">
        <v>67</v>
      </c>
      <c r="K3" s="178"/>
      <c r="L3" s="179"/>
      <c r="M3" s="146" t="s">
        <v>9</v>
      </c>
      <c r="N3" s="175"/>
      <c r="O3" s="175"/>
      <c r="P3" s="175"/>
      <c r="Q3" s="175"/>
      <c r="R3" s="175"/>
      <c r="S3" s="175"/>
      <c r="T3" s="175"/>
      <c r="U3" s="176"/>
    </row>
    <row r="4" spans="1:21" s="20" customFormat="1" ht="23.25" customHeight="1">
      <c r="A4" s="33"/>
      <c r="B4" s="174"/>
      <c r="C4" s="151">
        <v>2011</v>
      </c>
      <c r="D4" s="151">
        <v>2012</v>
      </c>
      <c r="E4" s="100" t="s">
        <v>4</v>
      </c>
      <c r="F4" s="154"/>
      <c r="G4" s="151">
        <v>2011</v>
      </c>
      <c r="H4" s="151">
        <v>2012</v>
      </c>
      <c r="I4" s="100" t="s">
        <v>4</v>
      </c>
      <c r="J4" s="151">
        <v>2011</v>
      </c>
      <c r="K4" s="151">
        <v>2012</v>
      </c>
      <c r="L4" s="100" t="s">
        <v>4</v>
      </c>
      <c r="M4" s="151">
        <v>2011</v>
      </c>
      <c r="N4" s="151">
        <v>2012</v>
      </c>
      <c r="O4" s="100" t="s">
        <v>4</v>
      </c>
      <c r="P4" s="97" t="s">
        <v>5</v>
      </c>
      <c r="Q4" s="101" t="s">
        <v>66</v>
      </c>
      <c r="R4" s="153" t="s">
        <v>102</v>
      </c>
      <c r="S4" s="97" t="s">
        <v>50</v>
      </c>
      <c r="T4" s="102"/>
      <c r="U4" s="153" t="s">
        <v>102</v>
      </c>
    </row>
    <row r="5" spans="1:21" s="20" customFormat="1" ht="23.25" customHeight="1">
      <c r="A5" s="29"/>
      <c r="B5" s="152"/>
      <c r="C5" s="173"/>
      <c r="D5" s="173"/>
      <c r="E5" s="103">
        <v>2011</v>
      </c>
      <c r="F5" s="155"/>
      <c r="G5" s="173"/>
      <c r="H5" s="173"/>
      <c r="I5" s="103">
        <v>2011</v>
      </c>
      <c r="J5" s="173"/>
      <c r="K5" s="173"/>
      <c r="L5" s="103">
        <v>2011</v>
      </c>
      <c r="M5" s="173"/>
      <c r="N5" s="173"/>
      <c r="O5" s="103">
        <v>2011</v>
      </c>
      <c r="P5" s="98">
        <v>2011</v>
      </c>
      <c r="Q5" s="98">
        <v>2012</v>
      </c>
      <c r="R5" s="172"/>
      <c r="S5" s="98">
        <v>2011</v>
      </c>
      <c r="T5" s="98">
        <v>2012</v>
      </c>
      <c r="U5" s="172"/>
    </row>
    <row r="6" spans="1:34" s="20" customFormat="1" ht="24.75" customHeight="1">
      <c r="A6" s="3">
        <v>1</v>
      </c>
      <c r="B6" s="22" t="s">
        <v>55</v>
      </c>
      <c r="C6" s="3">
        <v>333</v>
      </c>
      <c r="D6" s="3">
        <v>256</v>
      </c>
      <c r="E6" s="36">
        <f aca="true" t="shared" si="0" ref="E6:E16">D6*100/C6</f>
        <v>76.87687687687688</v>
      </c>
      <c r="F6" s="3"/>
      <c r="G6" s="3">
        <v>180</v>
      </c>
      <c r="H6" s="3">
        <v>180</v>
      </c>
      <c r="I6" s="36">
        <f aca="true" t="shared" si="1" ref="I6:I16">H6*100/G6</f>
        <v>100</v>
      </c>
      <c r="J6" s="3">
        <v>180</v>
      </c>
      <c r="K6" s="3">
        <v>180</v>
      </c>
      <c r="L6" s="36">
        <f aca="true" t="shared" si="2" ref="L6:L26">K6*100/J6</f>
        <v>100</v>
      </c>
      <c r="M6" s="66"/>
      <c r="N6" s="3"/>
      <c r="O6" s="36"/>
      <c r="P6" s="66"/>
      <c r="Q6" s="3"/>
      <c r="R6" s="36"/>
      <c r="S6" s="110"/>
      <c r="T6" s="36"/>
      <c r="U6" s="36"/>
      <c r="AH6" s="86"/>
    </row>
    <row r="7" spans="1:34" s="20" customFormat="1" ht="24.75" customHeight="1">
      <c r="A7" s="3">
        <v>2</v>
      </c>
      <c r="B7" s="22" t="s">
        <v>56</v>
      </c>
      <c r="C7" s="3">
        <v>208</v>
      </c>
      <c r="D7" s="3">
        <v>217</v>
      </c>
      <c r="E7" s="36">
        <f t="shared" si="0"/>
        <v>104.32692307692308</v>
      </c>
      <c r="F7" s="3">
        <v>7</v>
      </c>
      <c r="G7" s="3">
        <v>105</v>
      </c>
      <c r="H7" s="3">
        <v>105</v>
      </c>
      <c r="I7" s="36">
        <f t="shared" si="1"/>
        <v>100</v>
      </c>
      <c r="J7" s="3">
        <v>105</v>
      </c>
      <c r="K7" s="3">
        <v>105</v>
      </c>
      <c r="L7" s="36">
        <f t="shared" si="2"/>
        <v>100</v>
      </c>
      <c r="M7" s="66"/>
      <c r="N7" s="3"/>
      <c r="O7" s="36"/>
      <c r="P7" s="66"/>
      <c r="Q7" s="3"/>
      <c r="R7" s="36"/>
      <c r="S7" s="110"/>
      <c r="T7" s="36"/>
      <c r="U7" s="36"/>
      <c r="AH7" s="86"/>
    </row>
    <row r="8" spans="1:34" s="20" customFormat="1" ht="24.75" customHeight="1">
      <c r="A8" s="3">
        <v>3</v>
      </c>
      <c r="B8" s="22" t="s">
        <v>57</v>
      </c>
      <c r="C8" s="3">
        <v>125</v>
      </c>
      <c r="D8" s="3">
        <v>115</v>
      </c>
      <c r="E8" s="36">
        <f t="shared" si="0"/>
        <v>92</v>
      </c>
      <c r="F8" s="88">
        <v>2</v>
      </c>
      <c r="G8" s="3">
        <v>60</v>
      </c>
      <c r="H8" s="3">
        <v>60</v>
      </c>
      <c r="I8" s="36">
        <f t="shared" si="1"/>
        <v>100</v>
      </c>
      <c r="J8" s="3">
        <v>60</v>
      </c>
      <c r="K8" s="3">
        <v>60</v>
      </c>
      <c r="L8" s="36">
        <f t="shared" si="2"/>
        <v>100</v>
      </c>
      <c r="M8" s="66"/>
      <c r="N8" s="3"/>
      <c r="O8" s="99"/>
      <c r="P8" s="66"/>
      <c r="Q8" s="3"/>
      <c r="R8" s="36"/>
      <c r="S8" s="110"/>
      <c r="T8" s="36"/>
      <c r="U8" s="36"/>
      <c r="AH8" s="86"/>
    </row>
    <row r="9" spans="1:34" s="20" customFormat="1" ht="24.75" customHeight="1">
      <c r="A9" s="3">
        <v>4</v>
      </c>
      <c r="B9" s="22" t="s">
        <v>58</v>
      </c>
      <c r="C9" s="3">
        <v>794</v>
      </c>
      <c r="D9" s="3">
        <v>842</v>
      </c>
      <c r="E9" s="36">
        <f t="shared" si="0"/>
        <v>106.04534005037783</v>
      </c>
      <c r="F9" s="3">
        <v>32</v>
      </c>
      <c r="G9" s="3">
        <v>308</v>
      </c>
      <c r="H9" s="3">
        <v>308</v>
      </c>
      <c r="I9" s="36">
        <f t="shared" si="1"/>
        <v>100</v>
      </c>
      <c r="J9" s="3">
        <v>308</v>
      </c>
      <c r="K9" s="3">
        <v>308</v>
      </c>
      <c r="L9" s="36">
        <f t="shared" si="2"/>
        <v>100</v>
      </c>
      <c r="M9" s="3">
        <v>454</v>
      </c>
      <c r="N9" s="3">
        <v>481</v>
      </c>
      <c r="O9" s="36">
        <f>N9*100/M9</f>
        <v>105.94713656387665</v>
      </c>
      <c r="P9" s="3">
        <v>20</v>
      </c>
      <c r="Q9" s="3">
        <v>28</v>
      </c>
      <c r="R9" s="36">
        <f>Q9*100/P9</f>
        <v>140</v>
      </c>
      <c r="S9" s="3">
        <v>24</v>
      </c>
      <c r="T9" s="3">
        <v>28</v>
      </c>
      <c r="U9" s="36">
        <f>T9*100/S9</f>
        <v>116.66666666666667</v>
      </c>
      <c r="AH9" s="86"/>
    </row>
    <row r="10" spans="1:34" s="20" customFormat="1" ht="24.75" customHeight="1">
      <c r="A10" s="3">
        <v>5</v>
      </c>
      <c r="B10" s="22" t="s">
        <v>59</v>
      </c>
      <c r="C10" s="3">
        <v>410</v>
      </c>
      <c r="D10" s="3">
        <v>307</v>
      </c>
      <c r="E10" s="36">
        <f t="shared" si="0"/>
        <v>74.8780487804878</v>
      </c>
      <c r="F10" s="119"/>
      <c r="G10" s="3">
        <v>280</v>
      </c>
      <c r="H10" s="3">
        <v>200</v>
      </c>
      <c r="I10" s="36">
        <f t="shared" si="1"/>
        <v>71.42857142857143</v>
      </c>
      <c r="J10" s="3">
        <v>280</v>
      </c>
      <c r="K10" s="3">
        <v>228</v>
      </c>
      <c r="L10" s="36">
        <f t="shared" si="2"/>
        <v>81.42857142857143</v>
      </c>
      <c r="M10" s="3">
        <v>326</v>
      </c>
      <c r="N10" s="3">
        <v>159</v>
      </c>
      <c r="O10" s="36">
        <f>N10*100/M10</f>
        <v>48.77300613496933</v>
      </c>
      <c r="P10" s="3">
        <v>80</v>
      </c>
      <c r="Q10" s="3">
        <v>54</v>
      </c>
      <c r="R10" s="36">
        <f>Q10*100/P10</f>
        <v>67.5</v>
      </c>
      <c r="S10" s="3"/>
      <c r="T10" s="3"/>
      <c r="U10" s="36"/>
      <c r="AH10" s="86"/>
    </row>
    <row r="11" spans="1:34" s="20" customFormat="1" ht="24.75" customHeight="1">
      <c r="A11" s="3">
        <v>6</v>
      </c>
      <c r="B11" s="38" t="s">
        <v>73</v>
      </c>
      <c r="C11" s="3">
        <v>276</v>
      </c>
      <c r="D11" s="3">
        <v>239</v>
      </c>
      <c r="E11" s="36">
        <f t="shared" si="0"/>
        <v>86.59420289855072</v>
      </c>
      <c r="F11" s="119">
        <v>26</v>
      </c>
      <c r="G11" s="3">
        <v>85</v>
      </c>
      <c r="H11" s="3">
        <v>85</v>
      </c>
      <c r="I11" s="36">
        <f t="shared" si="1"/>
        <v>100</v>
      </c>
      <c r="J11" s="3">
        <v>85</v>
      </c>
      <c r="K11" s="3">
        <v>85</v>
      </c>
      <c r="L11" s="36">
        <f t="shared" si="2"/>
        <v>100</v>
      </c>
      <c r="M11" s="3"/>
      <c r="N11" s="3"/>
      <c r="O11" s="36"/>
      <c r="P11" s="3"/>
      <c r="Q11" s="3"/>
      <c r="R11" s="36"/>
      <c r="S11" s="3"/>
      <c r="T11" s="3"/>
      <c r="U11" s="36"/>
      <c r="AH11" s="86"/>
    </row>
    <row r="12" spans="1:34" s="20" customFormat="1" ht="24.75" customHeight="1">
      <c r="A12" s="3">
        <v>7</v>
      </c>
      <c r="B12" s="22" t="s">
        <v>60</v>
      </c>
      <c r="C12" s="3">
        <v>60</v>
      </c>
      <c r="D12" s="3"/>
      <c r="E12" s="36">
        <f t="shared" si="0"/>
        <v>0</v>
      </c>
      <c r="F12" s="3"/>
      <c r="G12" s="3">
        <v>60</v>
      </c>
      <c r="H12" s="3"/>
      <c r="I12" s="36">
        <f t="shared" si="1"/>
        <v>0</v>
      </c>
      <c r="J12" s="3">
        <v>60</v>
      </c>
      <c r="K12" s="3"/>
      <c r="L12" s="36">
        <f t="shared" si="2"/>
        <v>0</v>
      </c>
      <c r="M12" s="3"/>
      <c r="N12" s="3"/>
      <c r="O12" s="36"/>
      <c r="P12" s="3"/>
      <c r="Q12" s="3"/>
      <c r="R12" s="36"/>
      <c r="S12" s="3"/>
      <c r="T12" s="3"/>
      <c r="U12" s="36"/>
      <c r="AH12" s="86"/>
    </row>
    <row r="13" spans="1:34" s="20" customFormat="1" ht="24.75" customHeight="1">
      <c r="A13" s="3">
        <v>8</v>
      </c>
      <c r="B13" s="32" t="s">
        <v>87</v>
      </c>
      <c r="C13" s="3">
        <v>146</v>
      </c>
      <c r="D13" s="3">
        <v>247</v>
      </c>
      <c r="E13" s="36">
        <f t="shared" si="0"/>
        <v>169.17808219178082</v>
      </c>
      <c r="F13" s="3">
        <v>15</v>
      </c>
      <c r="G13" s="3">
        <v>5</v>
      </c>
      <c r="H13" s="3">
        <v>65</v>
      </c>
      <c r="I13" s="36">
        <f t="shared" si="1"/>
        <v>1300</v>
      </c>
      <c r="J13" s="3"/>
      <c r="K13" s="3">
        <v>65</v>
      </c>
      <c r="L13" s="36"/>
      <c r="M13" s="3"/>
      <c r="N13" s="3"/>
      <c r="O13" s="36"/>
      <c r="P13" s="3"/>
      <c r="Q13" s="3"/>
      <c r="R13" s="36"/>
      <c r="S13" s="3"/>
      <c r="T13" s="3"/>
      <c r="U13" s="36"/>
      <c r="AH13" s="86"/>
    </row>
    <row r="14" spans="1:34" s="20" customFormat="1" ht="24.75" customHeight="1">
      <c r="A14" s="3">
        <v>9</v>
      </c>
      <c r="B14" s="32" t="s">
        <v>72</v>
      </c>
      <c r="C14" s="3">
        <v>233</v>
      </c>
      <c r="D14" s="3">
        <v>248</v>
      </c>
      <c r="E14" s="36">
        <f t="shared" si="0"/>
        <v>106.43776824034335</v>
      </c>
      <c r="F14" s="3">
        <v>20</v>
      </c>
      <c r="G14" s="3">
        <v>78</v>
      </c>
      <c r="H14" s="3">
        <v>78</v>
      </c>
      <c r="I14" s="36">
        <f t="shared" si="1"/>
        <v>100</v>
      </c>
      <c r="J14" s="3">
        <v>78</v>
      </c>
      <c r="K14" s="3">
        <v>78</v>
      </c>
      <c r="L14" s="36">
        <f t="shared" si="2"/>
        <v>100</v>
      </c>
      <c r="M14" s="3"/>
      <c r="N14" s="3"/>
      <c r="O14" s="36"/>
      <c r="P14" s="3"/>
      <c r="Q14" s="3"/>
      <c r="R14" s="36"/>
      <c r="S14" s="3"/>
      <c r="T14" s="3"/>
      <c r="U14" s="36"/>
      <c r="AH14" s="86"/>
    </row>
    <row r="15" spans="1:34" s="20" customFormat="1" ht="24.75" customHeight="1">
      <c r="A15" s="3">
        <v>10</v>
      </c>
      <c r="B15" s="22" t="s">
        <v>61</v>
      </c>
      <c r="C15" s="3">
        <v>241</v>
      </c>
      <c r="D15" s="3">
        <v>247</v>
      </c>
      <c r="E15" s="36">
        <f t="shared" si="0"/>
        <v>102.4896265560166</v>
      </c>
      <c r="F15" s="3">
        <v>16</v>
      </c>
      <c r="G15" s="3">
        <v>100</v>
      </c>
      <c r="H15" s="3">
        <v>100</v>
      </c>
      <c r="I15" s="36">
        <f t="shared" si="1"/>
        <v>100</v>
      </c>
      <c r="J15" s="3">
        <v>100</v>
      </c>
      <c r="K15" s="3">
        <v>100</v>
      </c>
      <c r="L15" s="36">
        <f t="shared" si="2"/>
        <v>100</v>
      </c>
      <c r="M15" s="3"/>
      <c r="N15" s="3"/>
      <c r="O15" s="36"/>
      <c r="P15" s="3"/>
      <c r="Q15" s="3"/>
      <c r="R15" s="36"/>
      <c r="S15" s="3"/>
      <c r="T15" s="3"/>
      <c r="U15" s="36"/>
      <c r="AH15" s="86"/>
    </row>
    <row r="16" spans="1:34" s="20" customFormat="1" ht="24.75" customHeight="1">
      <c r="A16" s="3">
        <v>11</v>
      </c>
      <c r="B16" s="22" t="s">
        <v>62</v>
      </c>
      <c r="C16" s="3">
        <v>56</v>
      </c>
      <c r="D16" s="3">
        <v>45</v>
      </c>
      <c r="E16" s="36">
        <f t="shared" si="0"/>
        <v>80.35714285714286</v>
      </c>
      <c r="F16" s="3"/>
      <c r="G16" s="3">
        <v>42</v>
      </c>
      <c r="H16" s="3">
        <v>42</v>
      </c>
      <c r="I16" s="36">
        <f t="shared" si="1"/>
        <v>100</v>
      </c>
      <c r="J16" s="3">
        <v>42</v>
      </c>
      <c r="K16" s="3">
        <v>41</v>
      </c>
      <c r="L16" s="36">
        <f t="shared" si="2"/>
        <v>97.61904761904762</v>
      </c>
      <c r="M16" s="3"/>
      <c r="N16" s="3"/>
      <c r="O16" s="36"/>
      <c r="P16" s="3"/>
      <c r="Q16" s="3"/>
      <c r="R16" s="36"/>
      <c r="S16" s="3"/>
      <c r="T16" s="3"/>
      <c r="U16" s="36"/>
      <c r="AH16" s="86"/>
    </row>
    <row r="17" spans="1:34" s="20" customFormat="1" ht="24.75" customHeight="1">
      <c r="A17" s="3">
        <v>12</v>
      </c>
      <c r="B17" s="22" t="s">
        <v>63</v>
      </c>
      <c r="C17" s="3"/>
      <c r="D17" s="3"/>
      <c r="E17" s="36"/>
      <c r="F17" s="3"/>
      <c r="G17" s="3"/>
      <c r="H17" s="3"/>
      <c r="I17" s="36"/>
      <c r="J17" s="3"/>
      <c r="K17" s="3"/>
      <c r="L17" s="36"/>
      <c r="M17" s="3">
        <v>9260</v>
      </c>
      <c r="N17" s="3">
        <v>10050</v>
      </c>
      <c r="O17" s="36">
        <f>N17*100/M17</f>
        <v>108.53131749460043</v>
      </c>
      <c r="P17" s="3">
        <v>240</v>
      </c>
      <c r="Q17" s="3">
        <v>240</v>
      </c>
      <c r="R17" s="36">
        <f>Q17*100/P17</f>
        <v>100</v>
      </c>
      <c r="S17" s="3">
        <v>386</v>
      </c>
      <c r="T17" s="3">
        <v>480</v>
      </c>
      <c r="U17" s="36">
        <f>T17*100/S17</f>
        <v>124.35233160621762</v>
      </c>
      <c r="AH17" s="86"/>
    </row>
    <row r="18" spans="1:34" s="20" customFormat="1" ht="24.75" customHeight="1">
      <c r="A18" s="3">
        <v>13</v>
      </c>
      <c r="B18" s="32" t="s">
        <v>71</v>
      </c>
      <c r="C18" s="3"/>
      <c r="D18" s="3"/>
      <c r="E18" s="36"/>
      <c r="F18" s="3"/>
      <c r="G18" s="3"/>
      <c r="H18" s="3"/>
      <c r="I18" s="36"/>
      <c r="J18" s="3"/>
      <c r="K18" s="3"/>
      <c r="L18" s="36"/>
      <c r="M18" s="3"/>
      <c r="N18" s="3"/>
      <c r="O18" s="36"/>
      <c r="P18" s="3"/>
      <c r="Q18" s="3"/>
      <c r="R18" s="36"/>
      <c r="S18" s="3"/>
      <c r="T18" s="3"/>
      <c r="U18" s="36"/>
      <c r="AH18" s="86"/>
    </row>
    <row r="19" spans="1:34" s="20" customFormat="1" ht="24.75" customHeight="1">
      <c r="A19" s="31">
        <v>14</v>
      </c>
      <c r="B19" s="32" t="s">
        <v>124</v>
      </c>
      <c r="C19" s="3"/>
      <c r="D19" s="3"/>
      <c r="E19" s="36"/>
      <c r="F19" s="3"/>
      <c r="G19" s="3"/>
      <c r="H19" s="3"/>
      <c r="I19" s="36"/>
      <c r="J19" s="3"/>
      <c r="K19" s="3"/>
      <c r="L19" s="36"/>
      <c r="M19" s="3"/>
      <c r="N19" s="3"/>
      <c r="O19" s="36"/>
      <c r="P19" s="3"/>
      <c r="Q19" s="3"/>
      <c r="R19" s="36"/>
      <c r="S19" s="3"/>
      <c r="T19" s="3"/>
      <c r="U19" s="36"/>
      <c r="AH19" s="86"/>
    </row>
    <row r="20" spans="1:21" s="20" customFormat="1" ht="57" customHeight="1">
      <c r="A20" s="159" t="s">
        <v>103</v>
      </c>
      <c r="B20" s="160"/>
      <c r="C20" s="3">
        <f>SUM(C6:C18)</f>
        <v>2882</v>
      </c>
      <c r="D20" s="3">
        <f>SUM(D6:D18)</f>
        <v>2763</v>
      </c>
      <c r="E20" s="36">
        <f>D20*100/C20</f>
        <v>95.87092297015961</v>
      </c>
      <c r="F20" s="3">
        <f>SUM(F6:F18)</f>
        <v>118</v>
      </c>
      <c r="G20" s="3">
        <f>SUM(G6:G18)</f>
        <v>1303</v>
      </c>
      <c r="H20" s="3">
        <f>SUM(H6:H18)</f>
        <v>1223</v>
      </c>
      <c r="I20" s="36">
        <f>H20*100/G20</f>
        <v>93.86032233307752</v>
      </c>
      <c r="J20" s="3">
        <f>SUM(J6:J18)</f>
        <v>1298</v>
      </c>
      <c r="K20" s="3">
        <f>SUM(K6:K18)</f>
        <v>1250</v>
      </c>
      <c r="L20" s="36">
        <f t="shared" si="2"/>
        <v>96.3020030816641</v>
      </c>
      <c r="M20" s="3">
        <f>SUM(M9:M18)</f>
        <v>10040</v>
      </c>
      <c r="N20" s="3">
        <f>SUM(N9:N18)</f>
        <v>10690</v>
      </c>
      <c r="O20" s="36">
        <f>N20*100/M20</f>
        <v>106.47410358565737</v>
      </c>
      <c r="P20" s="3">
        <f>SUM(P9:P18)</f>
        <v>340</v>
      </c>
      <c r="Q20" s="3">
        <f>SUM(Q9:Q18)</f>
        <v>322</v>
      </c>
      <c r="R20" s="36">
        <f>Q20*100/P20</f>
        <v>94.70588235294117</v>
      </c>
      <c r="S20" s="3">
        <f>SUM(S9:S18)</f>
        <v>410</v>
      </c>
      <c r="T20" s="36">
        <f>SUM(T9:T18)</f>
        <v>508</v>
      </c>
      <c r="U20" s="36">
        <f>T20*100/S20</f>
        <v>123.90243902439025</v>
      </c>
    </row>
    <row r="21" spans="1:21" s="20" customFormat="1" ht="24.75" customHeight="1">
      <c r="A21" s="134">
        <v>1</v>
      </c>
      <c r="B21" s="32" t="s">
        <v>120</v>
      </c>
      <c r="C21" s="3"/>
      <c r="D21" s="3">
        <v>16</v>
      </c>
      <c r="E21" s="36"/>
      <c r="F21" s="3"/>
      <c r="G21" s="3"/>
      <c r="H21" s="3">
        <v>15</v>
      </c>
      <c r="I21" s="36"/>
      <c r="J21" s="3"/>
      <c r="K21" s="3">
        <v>8</v>
      </c>
      <c r="L21" s="36"/>
      <c r="M21" s="3"/>
      <c r="N21" s="3"/>
      <c r="O21" s="36"/>
      <c r="P21" s="3"/>
      <c r="Q21" s="3"/>
      <c r="R21" s="36"/>
      <c r="S21" s="3"/>
      <c r="T21" s="36"/>
      <c r="U21" s="36"/>
    </row>
    <row r="22" spans="1:21" s="20" customFormat="1" ht="24.75" customHeight="1">
      <c r="A22" s="134">
        <v>2</v>
      </c>
      <c r="B22" s="32" t="s">
        <v>123</v>
      </c>
      <c r="C22" s="3"/>
      <c r="D22" s="3"/>
      <c r="E22" s="36"/>
      <c r="F22" s="3"/>
      <c r="G22" s="3"/>
      <c r="H22" s="3"/>
      <c r="I22" s="36"/>
      <c r="J22" s="3"/>
      <c r="K22" s="3"/>
      <c r="L22" s="36"/>
      <c r="M22" s="3"/>
      <c r="N22" s="3"/>
      <c r="O22" s="36"/>
      <c r="P22" s="3"/>
      <c r="Q22" s="3"/>
      <c r="R22" s="36"/>
      <c r="S22" s="3"/>
      <c r="T22" s="36"/>
      <c r="U22" s="36"/>
    </row>
    <row r="23" spans="1:34" s="20" customFormat="1" ht="24.75" customHeight="1">
      <c r="A23" s="3">
        <v>3</v>
      </c>
      <c r="B23" s="32" t="s">
        <v>82</v>
      </c>
      <c r="C23" s="3"/>
      <c r="D23" s="3"/>
      <c r="E23" s="36"/>
      <c r="F23" s="3"/>
      <c r="G23" s="3"/>
      <c r="H23" s="3"/>
      <c r="I23" s="36"/>
      <c r="J23" s="3"/>
      <c r="K23" s="3"/>
      <c r="L23" s="36"/>
      <c r="M23" s="3">
        <v>95</v>
      </c>
      <c r="N23" s="3">
        <v>71</v>
      </c>
      <c r="O23" s="36">
        <f>N23*100/M23</f>
        <v>74.73684210526316</v>
      </c>
      <c r="P23" s="3">
        <v>10</v>
      </c>
      <c r="Q23" s="3">
        <v>8</v>
      </c>
      <c r="R23" s="36">
        <f>Q23*100/P23</f>
        <v>80</v>
      </c>
      <c r="S23" s="3">
        <v>2</v>
      </c>
      <c r="T23" s="3">
        <v>5</v>
      </c>
      <c r="U23" s="36">
        <f>T23*100/S23</f>
        <v>250</v>
      </c>
      <c r="AH23" s="86"/>
    </row>
    <row r="24" spans="1:34" s="20" customFormat="1" ht="24.75" customHeight="1">
      <c r="A24" s="3">
        <v>4</v>
      </c>
      <c r="B24" s="32" t="s">
        <v>88</v>
      </c>
      <c r="C24" s="3"/>
      <c r="D24" s="3"/>
      <c r="E24" s="36"/>
      <c r="F24" s="3"/>
      <c r="G24" s="3"/>
      <c r="H24" s="3"/>
      <c r="I24" s="36"/>
      <c r="J24" s="3"/>
      <c r="K24" s="3"/>
      <c r="L24" s="36"/>
      <c r="M24" s="3"/>
      <c r="N24" s="3"/>
      <c r="O24" s="36"/>
      <c r="P24" s="3"/>
      <c r="Q24" s="3"/>
      <c r="R24" s="36"/>
      <c r="S24" s="3"/>
      <c r="T24" s="3"/>
      <c r="U24" s="36"/>
      <c r="AH24" s="86"/>
    </row>
    <row r="25" spans="1:34" s="20" customFormat="1" ht="24.75" customHeight="1">
      <c r="A25" s="159" t="s">
        <v>90</v>
      </c>
      <c r="B25" s="160"/>
      <c r="C25" s="3"/>
      <c r="D25" s="3">
        <f>SUM(D21:D24)</f>
        <v>16</v>
      </c>
      <c r="E25" s="36"/>
      <c r="F25" s="3"/>
      <c r="G25" s="3"/>
      <c r="H25" s="3">
        <f>SUM(H21:H24)</f>
        <v>15</v>
      </c>
      <c r="I25" s="36"/>
      <c r="J25" s="3"/>
      <c r="K25" s="3">
        <f>K21+K23+K24</f>
        <v>8</v>
      </c>
      <c r="L25" s="36"/>
      <c r="M25" s="3">
        <f>SUM(M23:M24)</f>
        <v>95</v>
      </c>
      <c r="N25" s="3">
        <f>SUM(N23:N24)</f>
        <v>71</v>
      </c>
      <c r="O25" s="36">
        <f>N25*100/M25</f>
        <v>74.73684210526316</v>
      </c>
      <c r="P25" s="3">
        <f>SUM(P23:P24)</f>
        <v>10</v>
      </c>
      <c r="Q25" s="3">
        <f>SUM(Q23:Q24)</f>
        <v>8</v>
      </c>
      <c r="R25" s="36">
        <f>Q25*100/P25</f>
        <v>80</v>
      </c>
      <c r="S25" s="3">
        <f>SUM(S23:S24)</f>
        <v>2</v>
      </c>
      <c r="T25" s="3">
        <f>SUM(T23:T24)</f>
        <v>5</v>
      </c>
      <c r="U25" s="36">
        <f>T25*100/S25</f>
        <v>250</v>
      </c>
      <c r="AH25" s="86"/>
    </row>
    <row r="26" spans="1:34" s="20" customFormat="1" ht="36" customHeight="1">
      <c r="A26" s="161" t="s">
        <v>91</v>
      </c>
      <c r="B26" s="162"/>
      <c r="C26" s="3">
        <f>C20+C25</f>
        <v>2882</v>
      </c>
      <c r="D26" s="3">
        <f>D20+D25</f>
        <v>2779</v>
      </c>
      <c r="E26" s="36">
        <f>D26*100/C26</f>
        <v>96.42609299097849</v>
      </c>
      <c r="F26" s="3">
        <f>F20+F25</f>
        <v>118</v>
      </c>
      <c r="G26" s="3">
        <f>G20+G25</f>
        <v>1303</v>
      </c>
      <c r="H26" s="3">
        <f>H20+H25</f>
        <v>1238</v>
      </c>
      <c r="I26" s="36">
        <f>H26*100/G26</f>
        <v>95.01151189562547</v>
      </c>
      <c r="J26" s="3">
        <f>J20+J25</f>
        <v>1298</v>
      </c>
      <c r="K26" s="3">
        <f>K20+K25</f>
        <v>1258</v>
      </c>
      <c r="L26" s="36">
        <f t="shared" si="2"/>
        <v>96.91833590138675</v>
      </c>
      <c r="M26" s="3">
        <f>M20+M25</f>
        <v>10135</v>
      </c>
      <c r="N26" s="3">
        <f>N20+N25</f>
        <v>10761</v>
      </c>
      <c r="O26" s="36">
        <f>N26*100/M26</f>
        <v>106.17661568820918</v>
      </c>
      <c r="P26" s="3">
        <f>P20+P25</f>
        <v>350</v>
      </c>
      <c r="Q26" s="3">
        <f>Q20+Q25</f>
        <v>330</v>
      </c>
      <c r="R26" s="36">
        <f>Q26*100/P26</f>
        <v>94.28571428571429</v>
      </c>
      <c r="S26" s="3">
        <f>S20+S25</f>
        <v>412</v>
      </c>
      <c r="T26" s="3">
        <f>T20+T25</f>
        <v>513</v>
      </c>
      <c r="U26" s="36">
        <f>T26*100/S26</f>
        <v>124.51456310679612</v>
      </c>
      <c r="AH26" s="86"/>
    </row>
  </sheetData>
  <sheetProtection/>
  <mergeCells count="19">
    <mergeCell ref="F3:F5"/>
    <mergeCell ref="C3:E3"/>
    <mergeCell ref="A20:B20"/>
    <mergeCell ref="J3:L3"/>
    <mergeCell ref="J4:J5"/>
    <mergeCell ref="K4:K5"/>
    <mergeCell ref="M3:U3"/>
    <mergeCell ref="N4:N5"/>
    <mergeCell ref="R4:R5"/>
    <mergeCell ref="A25:B25"/>
    <mergeCell ref="A26:B26"/>
    <mergeCell ref="U4:U5"/>
    <mergeCell ref="M4:M5"/>
    <mergeCell ref="B3:B5"/>
    <mergeCell ref="G4:G5"/>
    <mergeCell ref="H4:H5"/>
    <mergeCell ref="D4:D5"/>
    <mergeCell ref="C4:C5"/>
    <mergeCell ref="G3:I3"/>
  </mergeCells>
  <printOptions/>
  <pageMargins left="0.75" right="0.75" top="1" bottom="1" header="0.5" footer="0.5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6"/>
  <sheetViews>
    <sheetView view="pageBreakPreview" zoomScale="75" zoomScaleNormal="75" zoomScaleSheetLayoutView="75" zoomScalePageLayoutView="0" workbookViewId="0" topLeftCell="A1">
      <selection activeCell="R12" sqref="R12"/>
    </sheetView>
  </sheetViews>
  <sheetFormatPr defaultColWidth="9.00390625" defaultRowHeight="12.75"/>
  <cols>
    <col min="1" max="1" width="4.00390625" style="0" customWidth="1"/>
    <col min="2" max="2" width="32.00390625" style="0" customWidth="1"/>
    <col min="3" max="4" width="9.75390625" style="0" customWidth="1"/>
    <col min="5" max="5" width="11.125" style="0" customWidth="1"/>
    <col min="6" max="8" width="9.75390625" style="0" customWidth="1"/>
    <col min="9" max="9" width="9.625" style="0" customWidth="1"/>
    <col min="10" max="10" width="10.75390625" style="0" customWidth="1"/>
    <col min="11" max="11" width="10.125" style="0" customWidth="1"/>
    <col min="12" max="12" width="12.125" style="0" customWidth="1"/>
    <col min="13" max="13" width="9.375" style="0" customWidth="1"/>
    <col min="14" max="14" width="9.625" style="0" customWidth="1"/>
  </cols>
  <sheetData>
    <row r="2" spans="1:14" ht="15.75">
      <c r="A2" s="20"/>
      <c r="B2" s="20"/>
      <c r="C2" s="20"/>
      <c r="D2" s="1" t="s">
        <v>115</v>
      </c>
      <c r="E2" s="1"/>
      <c r="F2" s="1"/>
      <c r="G2" s="1"/>
      <c r="H2" s="1"/>
      <c r="I2" s="1"/>
      <c r="J2" s="1"/>
      <c r="K2" s="1"/>
      <c r="L2" s="20"/>
      <c r="M2" s="20"/>
      <c r="N2" s="20"/>
    </row>
    <row r="3" spans="1:14" ht="15">
      <c r="A3" s="183" t="s">
        <v>106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ht="12.75">
      <c r="A4" s="151" t="s">
        <v>2</v>
      </c>
      <c r="B4" s="153" t="s">
        <v>3</v>
      </c>
      <c r="C4" s="157" t="s">
        <v>79</v>
      </c>
      <c r="D4" s="192"/>
      <c r="E4" s="189"/>
      <c r="F4" s="184" t="s">
        <v>64</v>
      </c>
      <c r="G4" s="185"/>
      <c r="H4" s="184" t="s">
        <v>78</v>
      </c>
      <c r="I4" s="188"/>
      <c r="J4" s="189"/>
      <c r="K4" s="184" t="s">
        <v>76</v>
      </c>
      <c r="L4" s="185"/>
      <c r="M4" s="184" t="s">
        <v>77</v>
      </c>
      <c r="N4" s="185"/>
    </row>
    <row r="5" spans="1:14" ht="31.5" customHeight="1">
      <c r="A5" s="174"/>
      <c r="B5" s="154"/>
      <c r="C5" s="193"/>
      <c r="D5" s="194"/>
      <c r="E5" s="195"/>
      <c r="F5" s="186"/>
      <c r="G5" s="187"/>
      <c r="H5" s="186"/>
      <c r="I5" s="190"/>
      <c r="J5" s="191"/>
      <c r="K5" s="186"/>
      <c r="L5" s="187"/>
      <c r="M5" s="186"/>
      <c r="N5" s="187"/>
    </row>
    <row r="6" spans="1:14" ht="30">
      <c r="A6" s="152"/>
      <c r="B6" s="155"/>
      <c r="C6" s="3">
        <v>2011</v>
      </c>
      <c r="D6" s="19">
        <v>2012</v>
      </c>
      <c r="E6" s="95" t="s">
        <v>109</v>
      </c>
      <c r="F6" s="3">
        <v>2011</v>
      </c>
      <c r="G6" s="19">
        <v>2012</v>
      </c>
      <c r="H6" s="3">
        <v>2011</v>
      </c>
      <c r="I6" s="19">
        <v>2012</v>
      </c>
      <c r="J6" s="95" t="s">
        <v>109</v>
      </c>
      <c r="K6" s="22" t="s">
        <v>1</v>
      </c>
      <c r="L6" s="24" t="s">
        <v>32</v>
      </c>
      <c r="M6" s="38" t="s">
        <v>44</v>
      </c>
      <c r="N6" s="51" t="s">
        <v>45</v>
      </c>
    </row>
    <row r="7" spans="1:14" ht="16.5" customHeight="1">
      <c r="A7" s="31">
        <v>1</v>
      </c>
      <c r="B7" s="22" t="s">
        <v>58</v>
      </c>
      <c r="C7" s="31">
        <v>556</v>
      </c>
      <c r="D7" s="31">
        <v>741</v>
      </c>
      <c r="E7" s="31">
        <f aca="true" t="shared" si="0" ref="E7:E13">D7-C7</f>
        <v>185</v>
      </c>
      <c r="F7" s="31">
        <v>289</v>
      </c>
      <c r="G7" s="31">
        <v>404</v>
      </c>
      <c r="H7" s="75">
        <f>F7*100/20</f>
        <v>1445</v>
      </c>
      <c r="I7" s="75">
        <f>G7*100/28</f>
        <v>1442.857142857143</v>
      </c>
      <c r="J7" s="74">
        <f aca="true" t="shared" si="1" ref="J7:J13">I7-H7</f>
        <v>-2.1428571428571104</v>
      </c>
      <c r="K7" s="31">
        <v>88</v>
      </c>
      <c r="L7" s="31">
        <v>45</v>
      </c>
      <c r="M7" s="93">
        <f aca="true" t="shared" si="2" ref="M7:M13">G7/L7</f>
        <v>8.977777777777778</v>
      </c>
      <c r="N7" s="93">
        <f aca="true" t="shared" si="3" ref="N7:N13">(D7-G7)/(K7-L7)</f>
        <v>7.837209302325581</v>
      </c>
    </row>
    <row r="8" spans="1:15" ht="16.5" customHeight="1">
      <c r="A8" s="31">
        <v>2</v>
      </c>
      <c r="B8" s="31" t="s">
        <v>59</v>
      </c>
      <c r="C8" s="31">
        <v>398</v>
      </c>
      <c r="D8" s="31">
        <v>163</v>
      </c>
      <c r="E8" s="31">
        <f t="shared" si="0"/>
        <v>-235</v>
      </c>
      <c r="F8" s="31">
        <v>386</v>
      </c>
      <c r="G8" s="31">
        <v>145</v>
      </c>
      <c r="H8" s="75">
        <f>F8*100/80</f>
        <v>482.5</v>
      </c>
      <c r="I8" s="75">
        <f>G8*100/80</f>
        <v>181.25</v>
      </c>
      <c r="J8" s="74">
        <f t="shared" si="1"/>
        <v>-301.25</v>
      </c>
      <c r="K8" s="32">
        <v>26</v>
      </c>
      <c r="L8" s="32">
        <v>23</v>
      </c>
      <c r="M8" s="93">
        <f t="shared" si="2"/>
        <v>6.304347826086956</v>
      </c>
      <c r="N8" s="93">
        <f t="shared" si="3"/>
        <v>6</v>
      </c>
      <c r="O8" s="15"/>
    </row>
    <row r="9" spans="1:14" ht="16.5" customHeight="1">
      <c r="A9" s="31">
        <v>3</v>
      </c>
      <c r="B9" s="32" t="s">
        <v>63</v>
      </c>
      <c r="C9" s="31">
        <v>11107</v>
      </c>
      <c r="D9" s="31">
        <v>11169</v>
      </c>
      <c r="E9" s="31">
        <f t="shared" si="0"/>
        <v>62</v>
      </c>
      <c r="F9" s="31">
        <v>5707</v>
      </c>
      <c r="G9" s="31">
        <v>6500</v>
      </c>
      <c r="H9" s="75">
        <f>F9*100/226</f>
        <v>2525.221238938053</v>
      </c>
      <c r="I9" s="75">
        <f>G9*100/240</f>
        <v>2708.3333333333335</v>
      </c>
      <c r="J9" s="74">
        <f t="shared" si="1"/>
        <v>183.11209439528056</v>
      </c>
      <c r="K9" s="32">
        <v>1252</v>
      </c>
      <c r="L9" s="32">
        <v>667</v>
      </c>
      <c r="M9" s="116">
        <f t="shared" si="2"/>
        <v>9.745127436281859</v>
      </c>
      <c r="N9" s="116">
        <f t="shared" si="3"/>
        <v>7.981196581196581</v>
      </c>
    </row>
    <row r="10" spans="1:14" ht="42.75" customHeight="1">
      <c r="A10" s="181" t="s">
        <v>101</v>
      </c>
      <c r="B10" s="182"/>
      <c r="C10" s="31">
        <f>SUM(C7:C9)</f>
        <v>12061</v>
      </c>
      <c r="D10" s="31">
        <f>SUM(D7:D9)</f>
        <v>12073</v>
      </c>
      <c r="E10" s="31">
        <f t="shared" si="0"/>
        <v>12</v>
      </c>
      <c r="F10" s="31">
        <f>SUM(F7:F9)</f>
        <v>6382</v>
      </c>
      <c r="G10" s="31">
        <f>SUM(G7:G9)</f>
        <v>7049</v>
      </c>
      <c r="H10" s="75">
        <f>F10*100/326</f>
        <v>1957.6687116564417</v>
      </c>
      <c r="I10" s="75">
        <f>G10*100/348</f>
        <v>2025.5747126436781</v>
      </c>
      <c r="J10" s="74">
        <f t="shared" si="1"/>
        <v>67.90600098723644</v>
      </c>
      <c r="K10" s="74">
        <f>SUM(K7:K9)</f>
        <v>1366</v>
      </c>
      <c r="L10" s="74">
        <f>SUM(L7:L9)</f>
        <v>735</v>
      </c>
      <c r="M10" s="93">
        <f t="shared" si="2"/>
        <v>9.59047619047619</v>
      </c>
      <c r="N10" s="93">
        <f t="shared" si="3"/>
        <v>7.961965134706815</v>
      </c>
    </row>
    <row r="11" spans="1:14" ht="15">
      <c r="A11" s="31">
        <v>1</v>
      </c>
      <c r="B11" s="32" t="s">
        <v>82</v>
      </c>
      <c r="C11" s="31">
        <v>15</v>
      </c>
      <c r="D11" s="31">
        <v>38</v>
      </c>
      <c r="E11" s="31">
        <f t="shared" si="0"/>
        <v>23</v>
      </c>
      <c r="F11" s="22">
        <v>15</v>
      </c>
      <c r="G11" s="22">
        <v>38</v>
      </c>
      <c r="H11" s="75">
        <f>F11*100/11</f>
        <v>136.36363636363637</v>
      </c>
      <c r="I11" s="75">
        <f>G11*100/10</f>
        <v>380</v>
      </c>
      <c r="J11" s="74">
        <f t="shared" si="1"/>
        <v>243.63636363636363</v>
      </c>
      <c r="K11" s="74">
        <v>5</v>
      </c>
      <c r="L11" s="22">
        <v>5</v>
      </c>
      <c r="M11" s="93">
        <f t="shared" si="2"/>
        <v>7.6</v>
      </c>
      <c r="N11" s="93"/>
    </row>
    <row r="12" spans="1:14" ht="25.5" customHeight="1">
      <c r="A12" s="159" t="s">
        <v>90</v>
      </c>
      <c r="B12" s="160"/>
      <c r="C12" s="31">
        <f>SUM(C11)</f>
        <v>15</v>
      </c>
      <c r="D12" s="31">
        <f>SUM(D11)</f>
        <v>38</v>
      </c>
      <c r="E12" s="31">
        <f t="shared" si="0"/>
        <v>23</v>
      </c>
      <c r="F12" s="31">
        <f>SUM(F11)</f>
        <v>15</v>
      </c>
      <c r="G12" s="31">
        <f>SUM(G11)</f>
        <v>38</v>
      </c>
      <c r="H12" s="75">
        <f>F12*100/11</f>
        <v>136.36363636363637</v>
      </c>
      <c r="I12" s="75">
        <f>G12*100/10</f>
        <v>380</v>
      </c>
      <c r="J12" s="74">
        <f t="shared" si="1"/>
        <v>243.63636363636363</v>
      </c>
      <c r="K12" s="31">
        <f>SUM(K11)</f>
        <v>5</v>
      </c>
      <c r="L12" s="31">
        <f>SUM(L11)</f>
        <v>5</v>
      </c>
      <c r="M12" s="93">
        <f t="shared" si="2"/>
        <v>7.6</v>
      </c>
      <c r="N12" s="93"/>
    </row>
    <row r="13" spans="1:14" ht="28.5" customHeight="1">
      <c r="A13" s="180" t="s">
        <v>91</v>
      </c>
      <c r="B13" s="180"/>
      <c r="C13" s="31">
        <f>C10+C12</f>
        <v>12076</v>
      </c>
      <c r="D13" s="31">
        <f>SUM(D10:D11)</f>
        <v>12111</v>
      </c>
      <c r="E13" s="31">
        <f t="shared" si="0"/>
        <v>35</v>
      </c>
      <c r="F13" s="31">
        <f>F10+F12</f>
        <v>6397</v>
      </c>
      <c r="G13" s="31">
        <f>SUM(G10:G11)</f>
        <v>7087</v>
      </c>
      <c r="H13" s="75">
        <f>F13*100/337</f>
        <v>1898.219584569733</v>
      </c>
      <c r="I13" s="75">
        <f>G13*100/358</f>
        <v>1979.608938547486</v>
      </c>
      <c r="J13" s="74">
        <f t="shared" si="1"/>
        <v>81.38935397775322</v>
      </c>
      <c r="K13" s="31">
        <f>K10+K12</f>
        <v>1371</v>
      </c>
      <c r="L13" s="31">
        <f>SUM(L10:L11)</f>
        <v>740</v>
      </c>
      <c r="M13" s="93">
        <f t="shared" si="2"/>
        <v>9.577027027027027</v>
      </c>
      <c r="N13" s="93">
        <f t="shared" si="3"/>
        <v>7.961965134706815</v>
      </c>
    </row>
    <row r="15" spans="2:17" ht="12.75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</row>
    <row r="16" spans="2:17" ht="15">
      <c r="B16" s="72"/>
      <c r="C16" s="111"/>
      <c r="D16" s="111"/>
      <c r="E16" s="111"/>
      <c r="F16" s="111"/>
      <c r="G16" s="111"/>
      <c r="H16" s="112"/>
      <c r="I16" s="113"/>
      <c r="J16" s="112"/>
      <c r="K16" s="111"/>
      <c r="L16" s="111"/>
      <c r="M16" s="114"/>
      <c r="N16" s="114"/>
      <c r="O16" s="72"/>
      <c r="P16" s="72"/>
      <c r="Q16" s="72"/>
    </row>
    <row r="17" spans="2:17" ht="15">
      <c r="B17" s="72"/>
      <c r="C17" s="111"/>
      <c r="D17" s="111"/>
      <c r="E17" s="111"/>
      <c r="F17" s="111"/>
      <c r="G17" s="111"/>
      <c r="H17" s="113"/>
      <c r="I17" s="113"/>
      <c r="J17" s="112"/>
      <c r="K17" s="115"/>
      <c r="L17" s="115"/>
      <c r="M17" s="114"/>
      <c r="N17" s="114"/>
      <c r="O17" s="72"/>
      <c r="P17" s="72"/>
      <c r="Q17" s="72"/>
    </row>
    <row r="18" spans="2:17" ht="15">
      <c r="B18" s="72"/>
      <c r="C18" s="111"/>
      <c r="D18" s="111"/>
      <c r="E18" s="111"/>
      <c r="F18" s="111"/>
      <c r="G18" s="111"/>
      <c r="H18" s="112"/>
      <c r="I18" s="113"/>
      <c r="J18" s="112"/>
      <c r="K18" s="115"/>
      <c r="L18" s="115"/>
      <c r="M18" s="114"/>
      <c r="N18" s="114"/>
      <c r="O18" s="72"/>
      <c r="P18" s="72"/>
      <c r="Q18" s="72"/>
    </row>
    <row r="19" spans="2:17" ht="15">
      <c r="B19" s="72"/>
      <c r="C19" s="111"/>
      <c r="D19" s="111"/>
      <c r="E19" s="111"/>
      <c r="F19" s="111"/>
      <c r="G19" s="111"/>
      <c r="H19" s="112"/>
      <c r="I19" s="113"/>
      <c r="J19" s="112"/>
      <c r="K19" s="115"/>
      <c r="L19" s="115"/>
      <c r="M19" s="114"/>
      <c r="N19" s="114"/>
      <c r="O19" s="72"/>
      <c r="P19" s="72"/>
      <c r="Q19" s="72"/>
    </row>
    <row r="20" spans="2:17" ht="15">
      <c r="B20" s="72"/>
      <c r="C20" s="111"/>
      <c r="D20" s="111"/>
      <c r="E20" s="111"/>
      <c r="F20" s="111"/>
      <c r="G20" s="111"/>
      <c r="H20" s="112"/>
      <c r="I20" s="113"/>
      <c r="J20" s="112"/>
      <c r="K20" s="115"/>
      <c r="L20" s="115"/>
      <c r="M20" s="114"/>
      <c r="N20" s="114"/>
      <c r="O20" s="72"/>
      <c r="P20" s="72"/>
      <c r="Q20" s="72"/>
    </row>
    <row r="21" spans="2:17" ht="15">
      <c r="B21" s="72"/>
      <c r="C21" s="111"/>
      <c r="D21" s="111"/>
      <c r="E21" s="111"/>
      <c r="F21" s="111"/>
      <c r="G21" s="111"/>
      <c r="H21" s="112"/>
      <c r="I21" s="113"/>
      <c r="J21" s="112"/>
      <c r="K21" s="113"/>
      <c r="L21" s="113"/>
      <c r="M21" s="114"/>
      <c r="N21" s="114"/>
      <c r="O21" s="72"/>
      <c r="P21" s="72"/>
      <c r="Q21" s="72"/>
    </row>
    <row r="22" spans="2:17" ht="15">
      <c r="B22" s="72"/>
      <c r="C22" s="111"/>
      <c r="D22" s="111"/>
      <c r="E22" s="111"/>
      <c r="F22" s="111"/>
      <c r="G22" s="111"/>
      <c r="H22" s="112"/>
      <c r="I22" s="113"/>
      <c r="J22" s="112"/>
      <c r="K22" s="115"/>
      <c r="L22" s="115"/>
      <c r="M22" s="114"/>
      <c r="N22" s="114"/>
      <c r="O22" s="72"/>
      <c r="P22" s="72"/>
      <c r="Q22" s="72"/>
    </row>
    <row r="23" spans="2:17" ht="15">
      <c r="B23" s="72"/>
      <c r="C23" s="111"/>
      <c r="D23" s="111"/>
      <c r="E23" s="111"/>
      <c r="F23" s="111"/>
      <c r="G23" s="111"/>
      <c r="H23" s="113"/>
      <c r="I23" s="113"/>
      <c r="J23" s="112"/>
      <c r="K23" s="115"/>
      <c r="L23" s="115"/>
      <c r="M23" s="114"/>
      <c r="N23" s="114"/>
      <c r="O23" s="72"/>
      <c r="P23" s="72"/>
      <c r="Q23" s="72"/>
    </row>
    <row r="24" spans="2:17" ht="12.75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</row>
    <row r="25" spans="2:17" ht="12.75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spans="2:17" ht="12.75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</sheetData>
  <sheetProtection/>
  <mergeCells count="11">
    <mergeCell ref="C4:E5"/>
    <mergeCell ref="A12:B12"/>
    <mergeCell ref="A13:B13"/>
    <mergeCell ref="A10:B10"/>
    <mergeCell ref="A3:N3"/>
    <mergeCell ref="F4:G5"/>
    <mergeCell ref="K4:L5"/>
    <mergeCell ref="M4:N5"/>
    <mergeCell ref="B4:B6"/>
    <mergeCell ref="A4:A6"/>
    <mergeCell ref="H4:J5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65" zoomScaleNormal="75" zoomScaleSheetLayoutView="65" zoomScalePageLayoutView="0" workbookViewId="0" topLeftCell="A1">
      <selection activeCell="Q11" sqref="Q11"/>
    </sheetView>
  </sheetViews>
  <sheetFormatPr defaultColWidth="9.00390625" defaultRowHeight="12.75"/>
  <cols>
    <col min="1" max="1" width="4.125" style="0" customWidth="1"/>
    <col min="2" max="2" width="32.875" style="0" customWidth="1"/>
    <col min="3" max="3" width="10.625" style="0" customWidth="1"/>
    <col min="4" max="4" width="10.25390625" style="0" customWidth="1"/>
    <col min="5" max="5" width="12.125" style="0" customWidth="1"/>
    <col min="6" max="6" width="9.00390625" style="0" customWidth="1"/>
    <col min="7" max="7" width="10.125" style="0" customWidth="1"/>
    <col min="8" max="8" width="11.75390625" style="0" customWidth="1"/>
    <col min="9" max="9" width="10.125" style="0" customWidth="1"/>
    <col min="10" max="10" width="9.375" style="0" customWidth="1"/>
    <col min="11" max="11" width="11.375" style="0" customWidth="1"/>
    <col min="12" max="12" width="9.00390625" style="0" customWidth="1"/>
    <col min="13" max="13" width="10.00390625" style="0" customWidth="1"/>
    <col min="14" max="14" width="13.125" style="0" customWidth="1"/>
  </cols>
  <sheetData>
    <row r="1" spans="1:14" ht="15.75" customHeight="1">
      <c r="A1" s="20"/>
      <c r="B1" s="20"/>
      <c r="C1" s="129" t="s">
        <v>114</v>
      </c>
      <c r="D1" s="129"/>
      <c r="E1" s="129"/>
      <c r="F1" s="129"/>
      <c r="G1" s="129"/>
      <c r="H1" s="129"/>
      <c r="I1" s="129"/>
      <c r="J1" s="129"/>
      <c r="K1" s="129"/>
      <c r="L1" s="20"/>
      <c r="M1" s="20"/>
      <c r="N1" s="20"/>
    </row>
    <row r="2" spans="1:14" ht="15">
      <c r="A2" s="151" t="s">
        <v>2</v>
      </c>
      <c r="B2" s="151" t="s">
        <v>3</v>
      </c>
      <c r="C2" s="24" t="s">
        <v>34</v>
      </c>
      <c r="D2" s="25"/>
      <c r="E2" s="27"/>
      <c r="F2" s="49" t="s">
        <v>35</v>
      </c>
      <c r="G2" s="25"/>
      <c r="H2" s="27"/>
      <c r="I2" s="24" t="s">
        <v>36</v>
      </c>
      <c r="J2" s="25"/>
      <c r="K2" s="27"/>
      <c r="L2" s="24" t="s">
        <v>37</v>
      </c>
      <c r="M2" s="25"/>
      <c r="N2" s="27"/>
    </row>
    <row r="3" spans="1:14" ht="15">
      <c r="A3" s="174"/>
      <c r="B3" s="174"/>
      <c r="C3" s="18">
        <v>2011</v>
      </c>
      <c r="D3" s="19">
        <v>2012</v>
      </c>
      <c r="E3" s="9" t="s">
        <v>33</v>
      </c>
      <c r="F3" s="18">
        <v>2011</v>
      </c>
      <c r="G3" s="19">
        <v>2012</v>
      </c>
      <c r="H3" s="9" t="s">
        <v>33</v>
      </c>
      <c r="I3" s="18">
        <v>2011</v>
      </c>
      <c r="J3" s="19">
        <v>2012</v>
      </c>
      <c r="K3" s="9" t="s">
        <v>33</v>
      </c>
      <c r="L3" s="18">
        <v>2011</v>
      </c>
      <c r="M3" s="19">
        <v>2012</v>
      </c>
      <c r="N3" s="9" t="s">
        <v>33</v>
      </c>
    </row>
    <row r="4" spans="1:14" ht="15">
      <c r="A4" s="152"/>
      <c r="B4" s="152"/>
      <c r="C4" s="29"/>
      <c r="D4" s="29"/>
      <c r="E4" s="45" t="s">
        <v>105</v>
      </c>
      <c r="F4" s="29"/>
      <c r="G4" s="29"/>
      <c r="H4" s="45" t="s">
        <v>107</v>
      </c>
      <c r="I4" s="29"/>
      <c r="J4" s="29"/>
      <c r="K4" s="45" t="s">
        <v>105</v>
      </c>
      <c r="L4" s="29"/>
      <c r="M4" s="29"/>
      <c r="N4" s="45" t="s">
        <v>105</v>
      </c>
    </row>
    <row r="5" spans="1:14" ht="16.5" customHeight="1">
      <c r="A5" s="31">
        <v>1</v>
      </c>
      <c r="B5" s="31" t="s">
        <v>55</v>
      </c>
      <c r="C5" s="12">
        <v>166</v>
      </c>
      <c r="D5" s="12">
        <v>167</v>
      </c>
      <c r="E5" s="16">
        <f aca="true" t="shared" si="0" ref="E5:E15">D5-C5</f>
        <v>1</v>
      </c>
      <c r="F5" s="12">
        <v>6</v>
      </c>
      <c r="G5" s="12">
        <v>20</v>
      </c>
      <c r="H5" s="16">
        <f aca="true" t="shared" si="1" ref="H5:H15">G5-F5</f>
        <v>14</v>
      </c>
      <c r="I5" s="12"/>
      <c r="J5" s="12"/>
      <c r="K5" s="12"/>
      <c r="L5" s="12"/>
      <c r="M5" s="12"/>
      <c r="N5" s="12"/>
    </row>
    <row r="6" spans="1:14" ht="16.5" customHeight="1">
      <c r="A6" s="31">
        <v>2</v>
      </c>
      <c r="B6" s="31" t="s">
        <v>56</v>
      </c>
      <c r="C6" s="12">
        <v>153</v>
      </c>
      <c r="D6" s="12">
        <v>162</v>
      </c>
      <c r="E6" s="16">
        <f t="shared" si="0"/>
        <v>9</v>
      </c>
      <c r="F6" s="12">
        <v>9</v>
      </c>
      <c r="G6" s="12">
        <v>1</v>
      </c>
      <c r="H6" s="16">
        <f t="shared" si="1"/>
        <v>-8</v>
      </c>
      <c r="I6" s="12"/>
      <c r="J6" s="12"/>
      <c r="K6" s="12"/>
      <c r="L6" s="12"/>
      <c r="M6" s="12"/>
      <c r="N6" s="12"/>
    </row>
    <row r="7" spans="1:14" ht="16.5" customHeight="1">
      <c r="A7" s="31">
        <v>3</v>
      </c>
      <c r="B7" s="31" t="s">
        <v>57</v>
      </c>
      <c r="C7" s="12">
        <v>39</v>
      </c>
      <c r="D7" s="12">
        <v>55</v>
      </c>
      <c r="E7" s="16">
        <f t="shared" si="0"/>
        <v>16</v>
      </c>
      <c r="F7" s="12">
        <v>2</v>
      </c>
      <c r="G7" s="12">
        <v>6</v>
      </c>
      <c r="H7" s="16">
        <f t="shared" si="1"/>
        <v>4</v>
      </c>
      <c r="I7" s="12"/>
      <c r="J7" s="12"/>
      <c r="K7" s="12"/>
      <c r="L7" s="12"/>
      <c r="M7" s="12"/>
      <c r="N7" s="12"/>
    </row>
    <row r="8" spans="1:14" ht="16.5" customHeight="1">
      <c r="A8" s="31">
        <v>4</v>
      </c>
      <c r="B8" s="22" t="s">
        <v>58</v>
      </c>
      <c r="C8" s="12">
        <v>251</v>
      </c>
      <c r="D8" s="12">
        <v>393</v>
      </c>
      <c r="E8" s="16">
        <f t="shared" si="0"/>
        <v>142</v>
      </c>
      <c r="F8" s="12">
        <v>30</v>
      </c>
      <c r="G8" s="12">
        <v>12</v>
      </c>
      <c r="H8" s="16">
        <f t="shared" si="1"/>
        <v>-18</v>
      </c>
      <c r="I8" s="16">
        <v>90</v>
      </c>
      <c r="J8" s="16">
        <v>105</v>
      </c>
      <c r="K8" s="12">
        <f>J8-I8</f>
        <v>15</v>
      </c>
      <c r="L8" s="12">
        <v>44</v>
      </c>
      <c r="M8" s="12">
        <v>44</v>
      </c>
      <c r="N8" s="12">
        <f>M8-L8</f>
        <v>0</v>
      </c>
    </row>
    <row r="9" spans="1:14" ht="16.5" customHeight="1">
      <c r="A9" s="31">
        <v>5</v>
      </c>
      <c r="B9" s="31" t="s">
        <v>59</v>
      </c>
      <c r="C9" s="12">
        <v>198</v>
      </c>
      <c r="D9" s="12">
        <v>152</v>
      </c>
      <c r="E9" s="16">
        <f t="shared" si="0"/>
        <v>-46</v>
      </c>
      <c r="F9" s="12">
        <v>6</v>
      </c>
      <c r="G9" s="12"/>
      <c r="H9" s="16">
        <f t="shared" si="1"/>
        <v>-6</v>
      </c>
      <c r="I9" s="12">
        <v>137</v>
      </c>
      <c r="J9" s="12">
        <v>120</v>
      </c>
      <c r="K9" s="12">
        <f>J9-I9</f>
        <v>-17</v>
      </c>
      <c r="L9" s="12">
        <v>20</v>
      </c>
      <c r="M9" s="16">
        <v>12</v>
      </c>
      <c r="N9" s="12">
        <f>M9-L9</f>
        <v>-8</v>
      </c>
    </row>
    <row r="10" spans="1:14" ht="16.5" customHeight="1">
      <c r="A10" s="31">
        <v>6</v>
      </c>
      <c r="B10" s="32" t="s">
        <v>73</v>
      </c>
      <c r="C10" s="12">
        <v>72</v>
      </c>
      <c r="D10" s="12">
        <v>66</v>
      </c>
      <c r="E10" s="16">
        <f t="shared" si="0"/>
        <v>-6</v>
      </c>
      <c r="F10" s="12">
        <v>14</v>
      </c>
      <c r="G10" s="12">
        <v>9</v>
      </c>
      <c r="H10" s="16">
        <f t="shared" si="1"/>
        <v>-5</v>
      </c>
      <c r="I10" s="12"/>
      <c r="J10" s="12"/>
      <c r="K10" s="12"/>
      <c r="L10" s="12"/>
      <c r="M10" s="12"/>
      <c r="N10" s="12"/>
    </row>
    <row r="11" spans="1:14" ht="16.5" customHeight="1">
      <c r="A11" s="31">
        <v>7</v>
      </c>
      <c r="B11" s="32" t="s">
        <v>60</v>
      </c>
      <c r="C11" s="12">
        <v>66</v>
      </c>
      <c r="D11" s="12"/>
      <c r="E11" s="16">
        <f t="shared" si="0"/>
        <v>-66</v>
      </c>
      <c r="F11" s="12">
        <v>10</v>
      </c>
      <c r="G11" s="12"/>
      <c r="H11" s="16">
        <f t="shared" si="1"/>
        <v>-10</v>
      </c>
      <c r="I11" s="12"/>
      <c r="J11" s="12"/>
      <c r="K11" s="12"/>
      <c r="L11" s="12"/>
      <c r="M11" s="12"/>
      <c r="N11" s="12"/>
    </row>
    <row r="12" spans="1:14" ht="16.5" customHeight="1">
      <c r="A12" s="31">
        <v>8</v>
      </c>
      <c r="B12" s="32" t="s">
        <v>87</v>
      </c>
      <c r="C12" s="12"/>
      <c r="D12" s="12">
        <v>84</v>
      </c>
      <c r="E12" s="16">
        <f t="shared" si="0"/>
        <v>84</v>
      </c>
      <c r="F12" s="12"/>
      <c r="G12" s="12">
        <v>21</v>
      </c>
      <c r="H12" s="16"/>
      <c r="I12" s="12"/>
      <c r="J12" s="12"/>
      <c r="K12" s="12"/>
      <c r="L12" s="12"/>
      <c r="M12" s="12"/>
      <c r="N12" s="12"/>
    </row>
    <row r="13" spans="1:14" ht="16.5" customHeight="1">
      <c r="A13" s="31">
        <v>9</v>
      </c>
      <c r="B13" s="32" t="s">
        <v>72</v>
      </c>
      <c r="C13" s="12">
        <v>91</v>
      </c>
      <c r="D13" s="12">
        <v>136</v>
      </c>
      <c r="E13" s="16">
        <f t="shared" si="0"/>
        <v>45</v>
      </c>
      <c r="F13" s="12">
        <v>10</v>
      </c>
      <c r="G13" s="12">
        <v>42</v>
      </c>
      <c r="H13" s="16">
        <f t="shared" si="1"/>
        <v>32</v>
      </c>
      <c r="I13" s="12"/>
      <c r="J13" s="12"/>
      <c r="K13" s="12"/>
      <c r="L13" s="12"/>
      <c r="M13" s="12"/>
      <c r="N13" s="12"/>
    </row>
    <row r="14" spans="1:14" ht="16.5" customHeight="1">
      <c r="A14" s="31">
        <v>10</v>
      </c>
      <c r="B14" s="32" t="s">
        <v>61</v>
      </c>
      <c r="C14" s="12">
        <v>97</v>
      </c>
      <c r="D14" s="12">
        <v>62</v>
      </c>
      <c r="E14" s="16">
        <f t="shared" si="0"/>
        <v>-35</v>
      </c>
      <c r="F14" s="12">
        <v>18</v>
      </c>
      <c r="G14" s="12"/>
      <c r="H14" s="16">
        <f t="shared" si="1"/>
        <v>-18</v>
      </c>
      <c r="I14" s="12"/>
      <c r="J14" s="12"/>
      <c r="K14" s="12"/>
      <c r="L14" s="12"/>
      <c r="M14" s="12"/>
      <c r="N14" s="12"/>
    </row>
    <row r="15" spans="1:14" ht="16.5" customHeight="1">
      <c r="A15" s="31">
        <v>11</v>
      </c>
      <c r="B15" s="32" t="s">
        <v>62</v>
      </c>
      <c r="C15" s="12">
        <v>47</v>
      </c>
      <c r="D15" s="12">
        <v>26</v>
      </c>
      <c r="E15" s="16">
        <f t="shared" si="0"/>
        <v>-21</v>
      </c>
      <c r="F15" s="12">
        <v>7</v>
      </c>
      <c r="G15" s="12"/>
      <c r="H15" s="16">
        <f t="shared" si="1"/>
        <v>-7</v>
      </c>
      <c r="I15" s="12"/>
      <c r="J15" s="12"/>
      <c r="K15" s="12"/>
      <c r="L15" s="12"/>
      <c r="M15" s="12"/>
      <c r="N15" s="12"/>
    </row>
    <row r="16" spans="1:14" ht="16.5" customHeight="1">
      <c r="A16" s="31">
        <v>12</v>
      </c>
      <c r="B16" s="32" t="s">
        <v>63</v>
      </c>
      <c r="C16" s="16"/>
      <c r="D16" s="16"/>
      <c r="E16" s="16"/>
      <c r="F16" s="16"/>
      <c r="G16" s="16"/>
      <c r="H16" s="16"/>
      <c r="I16" s="12">
        <v>2030</v>
      </c>
      <c r="J16" s="12">
        <v>1967</v>
      </c>
      <c r="K16" s="12">
        <f>J16-I16</f>
        <v>-63</v>
      </c>
      <c r="L16" s="12">
        <v>831</v>
      </c>
      <c r="M16" s="12">
        <v>757</v>
      </c>
      <c r="N16" s="12">
        <f>M16-L16</f>
        <v>-74</v>
      </c>
    </row>
    <row r="17" spans="1:14" ht="60.75" customHeight="1">
      <c r="A17" s="159" t="s">
        <v>100</v>
      </c>
      <c r="B17" s="160"/>
      <c r="C17" s="12">
        <f>SUM(C5:C15)</f>
        <v>1180</v>
      </c>
      <c r="D17" s="12">
        <f>SUM(D5:D16)</f>
        <v>1303</v>
      </c>
      <c r="E17" s="12">
        <f>D17-C17</f>
        <v>123</v>
      </c>
      <c r="F17" s="12">
        <f>SUM(F5:F16)</f>
        <v>112</v>
      </c>
      <c r="G17" s="12">
        <f>SUM(G5:G16)</f>
        <v>111</v>
      </c>
      <c r="H17" s="12">
        <f>G17-F17</f>
        <v>-1</v>
      </c>
      <c r="I17" s="12">
        <f>SUM(I8:I16)</f>
        <v>2257</v>
      </c>
      <c r="J17" s="12">
        <f>SUM(J8:J16)</f>
        <v>2192</v>
      </c>
      <c r="K17" s="12">
        <f>J17-I17</f>
        <v>-65</v>
      </c>
      <c r="L17" s="12">
        <f>SUM(L8:L16)</f>
        <v>895</v>
      </c>
      <c r="M17" s="12">
        <f>SUM(M8:M16)</f>
        <v>813</v>
      </c>
      <c r="N17" s="12">
        <f>M17-L17</f>
        <v>-82</v>
      </c>
    </row>
    <row r="18" spans="1:14" ht="16.5" customHeight="1">
      <c r="A18" s="31">
        <v>1</v>
      </c>
      <c r="B18" s="32" t="s">
        <v>82</v>
      </c>
      <c r="C18" s="12"/>
      <c r="D18" s="16"/>
      <c r="E18" s="12"/>
      <c r="F18" s="16"/>
      <c r="G18" s="16"/>
      <c r="H18" s="12"/>
      <c r="I18" s="12">
        <v>7</v>
      </c>
      <c r="J18" s="12"/>
      <c r="K18" s="12">
        <f>J18-I18</f>
        <v>-7</v>
      </c>
      <c r="L18" s="12"/>
      <c r="M18" s="12"/>
      <c r="N18" s="12">
        <f>M18-L18</f>
        <v>0</v>
      </c>
    </row>
    <row r="19" spans="1:14" ht="18.75" customHeight="1">
      <c r="A19" s="159" t="s">
        <v>90</v>
      </c>
      <c r="B19" s="160"/>
      <c r="C19" s="12"/>
      <c r="D19" s="12"/>
      <c r="E19" s="12"/>
      <c r="F19" s="12"/>
      <c r="G19" s="12"/>
      <c r="H19" s="12"/>
      <c r="I19" s="12">
        <f>I18</f>
        <v>7</v>
      </c>
      <c r="J19" s="12">
        <f>J18</f>
        <v>0</v>
      </c>
      <c r="K19" s="12">
        <f>J19-I19</f>
        <v>-7</v>
      </c>
      <c r="L19" s="12">
        <f>L18</f>
        <v>0</v>
      </c>
      <c r="M19" s="12">
        <f>M18</f>
        <v>0</v>
      </c>
      <c r="N19" s="12">
        <f>M19-L19</f>
        <v>0</v>
      </c>
    </row>
    <row r="20" spans="1:14" ht="39" customHeight="1">
      <c r="A20" s="161" t="s">
        <v>91</v>
      </c>
      <c r="B20" s="162"/>
      <c r="C20" s="12">
        <f>C17+C19</f>
        <v>1180</v>
      </c>
      <c r="D20" s="12">
        <f>D17+D19</f>
        <v>1303</v>
      </c>
      <c r="E20" s="12">
        <f>D20-C20</f>
        <v>123</v>
      </c>
      <c r="F20" s="12">
        <f>F17+F19</f>
        <v>112</v>
      </c>
      <c r="G20" s="12">
        <f>G17+G19</f>
        <v>111</v>
      </c>
      <c r="H20" s="12">
        <f>G20-F20</f>
        <v>-1</v>
      </c>
      <c r="I20" s="12">
        <f>I17+I19</f>
        <v>2264</v>
      </c>
      <c r="J20" s="12">
        <f>J17+J19</f>
        <v>2192</v>
      </c>
      <c r="K20" s="12">
        <f>J20-I20</f>
        <v>-72</v>
      </c>
      <c r="L20" s="12">
        <f>L17+L19</f>
        <v>895</v>
      </c>
      <c r="M20" s="12">
        <f>M17+M19</f>
        <v>813</v>
      </c>
      <c r="N20" s="12">
        <f>M20-L20</f>
        <v>-82</v>
      </c>
    </row>
  </sheetData>
  <sheetProtection/>
  <mergeCells count="5">
    <mergeCell ref="B2:B4"/>
    <mergeCell ref="A2:A4"/>
    <mergeCell ref="A17:B17"/>
    <mergeCell ref="A19:B19"/>
    <mergeCell ref="A20:B20"/>
  </mergeCells>
  <printOptions/>
  <pageMargins left="0.75" right="0.75" top="1" bottom="1" header="0.5" footer="0.5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65" zoomScaleNormal="75" zoomScaleSheetLayoutView="65" zoomScalePageLayoutView="0" workbookViewId="0" topLeftCell="A1">
      <selection activeCell="R15" sqref="R15"/>
    </sheetView>
  </sheetViews>
  <sheetFormatPr defaultColWidth="9.00390625" defaultRowHeight="12.75"/>
  <cols>
    <col min="1" max="1" width="4.25390625" style="0" customWidth="1"/>
    <col min="2" max="2" width="27.25390625" style="0" customWidth="1"/>
    <col min="3" max="3" width="8.875" style="0" customWidth="1"/>
    <col min="5" max="5" width="10.875" style="0" customWidth="1"/>
    <col min="6" max="6" width="9.25390625" style="0" customWidth="1"/>
    <col min="8" max="8" width="9.625" style="0" customWidth="1"/>
    <col min="9" max="9" width="9.375" style="0" customWidth="1"/>
    <col min="10" max="10" width="9.625" style="0" customWidth="1"/>
    <col min="11" max="11" width="10.125" style="0" customWidth="1"/>
    <col min="13" max="13" width="9.375" style="0" customWidth="1"/>
    <col min="14" max="14" width="10.375" style="0" customWidth="1"/>
  </cols>
  <sheetData>
    <row r="1" spans="1:14" ht="15.75">
      <c r="A1" s="196" t="s">
        <v>113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4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">
      <c r="A3" s="156" t="s">
        <v>2</v>
      </c>
      <c r="B3" s="156" t="s">
        <v>3</v>
      </c>
      <c r="C3" s="24" t="s">
        <v>24</v>
      </c>
      <c r="D3" s="25"/>
      <c r="E3" s="27"/>
      <c r="F3" s="5" t="s">
        <v>25</v>
      </c>
      <c r="G3" s="7"/>
      <c r="H3" s="23" t="s">
        <v>27</v>
      </c>
      <c r="I3" s="34" t="s">
        <v>28</v>
      </c>
      <c r="J3" s="21"/>
      <c r="K3" s="23" t="s">
        <v>27</v>
      </c>
      <c r="L3" s="50" t="s">
        <v>30</v>
      </c>
      <c r="M3" s="21"/>
      <c r="N3" s="23" t="s">
        <v>27</v>
      </c>
    </row>
    <row r="4" spans="1:14" ht="15">
      <c r="A4" s="199"/>
      <c r="B4" s="199"/>
      <c r="C4" s="18">
        <v>2011</v>
      </c>
      <c r="D4" s="19">
        <v>2012</v>
      </c>
      <c r="E4" s="19" t="s">
        <v>97</v>
      </c>
      <c r="F4" s="18">
        <v>2011</v>
      </c>
      <c r="G4" s="19">
        <v>2012</v>
      </c>
      <c r="H4" s="44" t="s">
        <v>26</v>
      </c>
      <c r="I4" s="30" t="s">
        <v>29</v>
      </c>
      <c r="J4" s="28"/>
      <c r="K4" s="44" t="s">
        <v>26</v>
      </c>
      <c r="L4" s="52" t="s">
        <v>31</v>
      </c>
      <c r="M4" s="28"/>
      <c r="N4" s="44" t="s">
        <v>26</v>
      </c>
    </row>
    <row r="5" spans="1:14" ht="15">
      <c r="A5" s="199"/>
      <c r="B5" s="199"/>
      <c r="C5" s="40"/>
      <c r="D5" s="11"/>
      <c r="E5" s="11" t="s">
        <v>98</v>
      </c>
      <c r="F5" s="29"/>
      <c r="G5" s="28"/>
      <c r="H5" s="29" t="s">
        <v>99</v>
      </c>
      <c r="I5" s="18">
        <v>2011</v>
      </c>
      <c r="J5" s="19">
        <v>2012</v>
      </c>
      <c r="K5" s="29" t="s">
        <v>99</v>
      </c>
      <c r="L5" s="18">
        <v>2011</v>
      </c>
      <c r="M5" s="19">
        <v>2012</v>
      </c>
      <c r="N5" s="29" t="s">
        <v>99</v>
      </c>
    </row>
    <row r="6" spans="1:14" ht="16.5" customHeight="1">
      <c r="A6" s="31">
        <v>1</v>
      </c>
      <c r="B6" s="31" t="s">
        <v>55</v>
      </c>
      <c r="C6" s="36">
        <v>136</v>
      </c>
      <c r="D6" s="36">
        <v>100</v>
      </c>
      <c r="E6" s="36">
        <f aca="true" t="shared" si="0" ref="E6:E17">D6*100/C6</f>
        <v>73.52941176470588</v>
      </c>
      <c r="F6" s="36">
        <v>128</v>
      </c>
      <c r="G6" s="36">
        <v>97</v>
      </c>
      <c r="H6" s="36">
        <f aca="true" t="shared" si="1" ref="H6:H17">G6-F6</f>
        <v>-31</v>
      </c>
      <c r="I6" s="36">
        <f>F6*100/180</f>
        <v>71.11111111111111</v>
      </c>
      <c r="J6" s="36">
        <f>G6*100/180</f>
        <v>53.888888888888886</v>
      </c>
      <c r="K6" s="36">
        <f aca="true" t="shared" si="2" ref="K6:K17">J6-I6</f>
        <v>-17.22222222222223</v>
      </c>
      <c r="L6" s="36">
        <f>(C6-F6)*100/180</f>
        <v>4.444444444444445</v>
      </c>
      <c r="M6" s="36">
        <f>(D6-G6)*100/180</f>
        <v>1.6666666666666667</v>
      </c>
      <c r="N6" s="36">
        <f>M6-L6</f>
        <v>-2.7777777777777777</v>
      </c>
    </row>
    <row r="7" spans="1:14" ht="16.5" customHeight="1">
      <c r="A7" s="31">
        <v>2</v>
      </c>
      <c r="B7" s="31" t="s">
        <v>56</v>
      </c>
      <c r="C7" s="36">
        <v>100</v>
      </c>
      <c r="D7" s="36">
        <v>88</v>
      </c>
      <c r="E7" s="36">
        <f t="shared" si="0"/>
        <v>88</v>
      </c>
      <c r="F7" s="36">
        <v>91</v>
      </c>
      <c r="G7" s="36">
        <v>85</v>
      </c>
      <c r="H7" s="36">
        <f t="shared" si="1"/>
        <v>-6</v>
      </c>
      <c r="I7" s="36">
        <f>F7*100/105</f>
        <v>86.66666666666667</v>
      </c>
      <c r="J7" s="36">
        <f>G7*100/105</f>
        <v>80.95238095238095</v>
      </c>
      <c r="K7" s="36">
        <f>J7-I7</f>
        <v>-5.714285714285722</v>
      </c>
      <c r="L7" s="36">
        <f>(C7-F7)*100/105</f>
        <v>8.571428571428571</v>
      </c>
      <c r="M7" s="36">
        <f>(D7-G7)*100/105</f>
        <v>2.857142857142857</v>
      </c>
      <c r="N7" s="36">
        <f>M7-L7</f>
        <v>-5.7142857142857135</v>
      </c>
    </row>
    <row r="8" spans="1:14" ht="16.5" customHeight="1">
      <c r="A8" s="31">
        <v>3</v>
      </c>
      <c r="B8" s="31" t="s">
        <v>57</v>
      </c>
      <c r="C8" s="36">
        <v>57</v>
      </c>
      <c r="D8" s="36">
        <v>48</v>
      </c>
      <c r="E8" s="36">
        <f t="shared" si="0"/>
        <v>84.21052631578948</v>
      </c>
      <c r="F8" s="36">
        <v>54</v>
      </c>
      <c r="G8" s="36">
        <v>45</v>
      </c>
      <c r="H8" s="36">
        <f t="shared" si="1"/>
        <v>-9</v>
      </c>
      <c r="I8" s="36">
        <f>F8*100/60</f>
        <v>90</v>
      </c>
      <c r="J8" s="36">
        <f>G8*100/60</f>
        <v>75</v>
      </c>
      <c r="K8" s="36">
        <f>J8-I8</f>
        <v>-15</v>
      </c>
      <c r="L8" s="36">
        <f>(C8-F8)*100/60</f>
        <v>5</v>
      </c>
      <c r="M8" s="36">
        <f>(D8-G8)*100/60</f>
        <v>5</v>
      </c>
      <c r="N8" s="36">
        <f>M8-L8</f>
        <v>0</v>
      </c>
    </row>
    <row r="9" spans="1:14" ht="16.5" customHeight="1">
      <c r="A9" s="31">
        <v>4</v>
      </c>
      <c r="B9" s="22" t="s">
        <v>58</v>
      </c>
      <c r="C9" s="36">
        <v>159</v>
      </c>
      <c r="D9" s="36">
        <v>182</v>
      </c>
      <c r="E9" s="36">
        <f t="shared" si="0"/>
        <v>114.46540880503144</v>
      </c>
      <c r="F9" s="36">
        <v>129</v>
      </c>
      <c r="G9" s="36">
        <v>156</v>
      </c>
      <c r="H9" s="36">
        <f t="shared" si="1"/>
        <v>27</v>
      </c>
      <c r="I9" s="36">
        <f>F9*100/308</f>
        <v>41.883116883116884</v>
      </c>
      <c r="J9" s="36">
        <f>G9*100/308</f>
        <v>50.64935064935065</v>
      </c>
      <c r="K9" s="36">
        <f t="shared" si="2"/>
        <v>8.766233766233768</v>
      </c>
      <c r="L9" s="36">
        <f>(C9-F9)*100/308</f>
        <v>9.74025974025974</v>
      </c>
      <c r="M9" s="36">
        <f>(D9-G9)*100/308</f>
        <v>8.441558441558442</v>
      </c>
      <c r="N9" s="36">
        <f aca="true" t="shared" si="3" ref="N9:N17">M9-L9</f>
        <v>-1.2987012987012978</v>
      </c>
    </row>
    <row r="10" spans="1:14" ht="16.5" customHeight="1">
      <c r="A10" s="31">
        <v>5</v>
      </c>
      <c r="B10" s="31" t="s">
        <v>59</v>
      </c>
      <c r="C10" s="36">
        <v>89</v>
      </c>
      <c r="D10" s="36">
        <v>123</v>
      </c>
      <c r="E10" s="36">
        <f t="shared" si="0"/>
        <v>138.20224719101122</v>
      </c>
      <c r="F10" s="36">
        <v>81</v>
      </c>
      <c r="G10" s="36">
        <v>109</v>
      </c>
      <c r="H10" s="36">
        <f t="shared" si="1"/>
        <v>28</v>
      </c>
      <c r="I10" s="36">
        <f>F10*100/280</f>
        <v>28.928571428571427</v>
      </c>
      <c r="J10" s="36">
        <f>G10*100/280</f>
        <v>38.92857142857143</v>
      </c>
      <c r="K10" s="36">
        <f t="shared" si="2"/>
        <v>10.000000000000004</v>
      </c>
      <c r="L10" s="36">
        <f>(C10-F10)*100/280</f>
        <v>2.857142857142857</v>
      </c>
      <c r="M10" s="36">
        <f>(D10-G10)*100/280</f>
        <v>5</v>
      </c>
      <c r="N10" s="36">
        <f t="shared" si="3"/>
        <v>2.142857142857143</v>
      </c>
    </row>
    <row r="11" spans="1:14" ht="16.5" customHeight="1">
      <c r="A11" s="31">
        <v>6</v>
      </c>
      <c r="B11" s="32" t="s">
        <v>73</v>
      </c>
      <c r="C11" s="89">
        <v>80</v>
      </c>
      <c r="D11" s="89">
        <v>67</v>
      </c>
      <c r="E11" s="36">
        <f t="shared" si="0"/>
        <v>83.75</v>
      </c>
      <c r="F11" s="89">
        <v>68</v>
      </c>
      <c r="G11" s="89">
        <v>54</v>
      </c>
      <c r="H11" s="36">
        <f t="shared" si="1"/>
        <v>-14</v>
      </c>
      <c r="I11" s="89">
        <f>F11*100/85</f>
        <v>80</v>
      </c>
      <c r="J11" s="89">
        <f>G11*100/85</f>
        <v>63.529411764705884</v>
      </c>
      <c r="K11" s="36">
        <f t="shared" si="2"/>
        <v>-16.470588235294116</v>
      </c>
      <c r="L11" s="36">
        <f>(C11-F11)*100/85</f>
        <v>14.117647058823529</v>
      </c>
      <c r="M11" s="36">
        <f>(D11-G11)*100/85</f>
        <v>15.294117647058824</v>
      </c>
      <c r="N11" s="89">
        <f t="shared" si="3"/>
        <v>1.1764705882352953</v>
      </c>
    </row>
    <row r="12" spans="1:14" ht="16.5" customHeight="1">
      <c r="A12" s="31">
        <v>7</v>
      </c>
      <c r="B12" s="32" t="s">
        <v>60</v>
      </c>
      <c r="C12" s="89">
        <v>66</v>
      </c>
      <c r="D12" s="89"/>
      <c r="E12" s="36">
        <f t="shared" si="0"/>
        <v>0</v>
      </c>
      <c r="F12" s="89">
        <v>58</v>
      </c>
      <c r="G12" s="89"/>
      <c r="H12" s="36">
        <f t="shared" si="1"/>
        <v>-58</v>
      </c>
      <c r="I12" s="89">
        <f>F12*100/60</f>
        <v>96.66666666666667</v>
      </c>
      <c r="J12" s="89">
        <f>G12*100/60</f>
        <v>0</v>
      </c>
      <c r="K12" s="36">
        <f t="shared" si="2"/>
        <v>-96.66666666666667</v>
      </c>
      <c r="L12" s="36">
        <f>(C12-F12)*100/60</f>
        <v>13.333333333333334</v>
      </c>
      <c r="M12" s="36">
        <f>(D12-G12)*100/60</f>
        <v>0</v>
      </c>
      <c r="N12" s="89">
        <f t="shared" si="3"/>
        <v>-13.333333333333334</v>
      </c>
    </row>
    <row r="13" spans="1:14" ht="16.5" customHeight="1">
      <c r="A13" s="31">
        <v>8</v>
      </c>
      <c r="B13" s="32" t="s">
        <v>87</v>
      </c>
      <c r="C13" s="117">
        <v>5</v>
      </c>
      <c r="D13" s="89">
        <v>86</v>
      </c>
      <c r="E13" s="36">
        <f>D13*100/C14</f>
        <v>102.38095238095238</v>
      </c>
      <c r="F13" s="89"/>
      <c r="G13" s="89">
        <v>72</v>
      </c>
      <c r="H13" s="36">
        <f t="shared" si="1"/>
        <v>72</v>
      </c>
      <c r="I13" s="89"/>
      <c r="J13" s="89">
        <f>G13*100/5</f>
        <v>1440</v>
      </c>
      <c r="K13" s="36"/>
      <c r="L13" s="36"/>
      <c r="M13" s="36">
        <f>(D13-G13)*100/5</f>
        <v>280</v>
      </c>
      <c r="N13" s="89"/>
    </row>
    <row r="14" spans="1:14" ht="16.5" customHeight="1">
      <c r="A14" s="31">
        <v>9</v>
      </c>
      <c r="B14" s="32" t="s">
        <v>72</v>
      </c>
      <c r="C14" s="89">
        <v>84</v>
      </c>
      <c r="D14" s="89">
        <v>69</v>
      </c>
      <c r="E14" s="36">
        <f>D14*100/C15</f>
        <v>97.1830985915493</v>
      </c>
      <c r="F14" s="89">
        <v>72</v>
      </c>
      <c r="G14" s="89">
        <v>60</v>
      </c>
      <c r="H14" s="36">
        <f t="shared" si="1"/>
        <v>-12</v>
      </c>
      <c r="I14" s="89">
        <f>F14*100/78</f>
        <v>92.3076923076923</v>
      </c>
      <c r="J14" s="89">
        <f>G14*100/78</f>
        <v>76.92307692307692</v>
      </c>
      <c r="K14" s="36">
        <f t="shared" si="2"/>
        <v>-15.384615384615387</v>
      </c>
      <c r="L14" s="36">
        <f>(C14-F14)*100/78</f>
        <v>15.384615384615385</v>
      </c>
      <c r="M14" s="36">
        <f>(D14-G14)*100/78</f>
        <v>11.538461538461538</v>
      </c>
      <c r="N14" s="89">
        <f t="shared" si="3"/>
        <v>-3.8461538461538467</v>
      </c>
    </row>
    <row r="15" spans="1:14" ht="16.5" customHeight="1">
      <c r="A15" s="31">
        <v>10</v>
      </c>
      <c r="B15" s="32" t="s">
        <v>61</v>
      </c>
      <c r="C15" s="89">
        <v>71</v>
      </c>
      <c r="D15" s="89">
        <v>97</v>
      </c>
      <c r="E15" s="36">
        <f>D15*100/C16</f>
        <v>334.48275862068965</v>
      </c>
      <c r="F15" s="89">
        <v>68</v>
      </c>
      <c r="G15" s="89">
        <v>81</v>
      </c>
      <c r="H15" s="36">
        <f t="shared" si="1"/>
        <v>13</v>
      </c>
      <c r="I15" s="89">
        <f>F15*100/100</f>
        <v>68</v>
      </c>
      <c r="J15" s="89">
        <f>G15*100/100</f>
        <v>81</v>
      </c>
      <c r="K15" s="36">
        <f t="shared" si="2"/>
        <v>13</v>
      </c>
      <c r="L15" s="36">
        <f>(C15-F15)*100/100</f>
        <v>3</v>
      </c>
      <c r="M15" s="36">
        <f>(D15-G15)*100/100</f>
        <v>16</v>
      </c>
      <c r="N15" s="89">
        <f t="shared" si="3"/>
        <v>13</v>
      </c>
    </row>
    <row r="16" spans="1:14" ht="16.5" customHeight="1">
      <c r="A16" s="31">
        <v>11</v>
      </c>
      <c r="B16" s="32" t="s">
        <v>62</v>
      </c>
      <c r="C16" s="89">
        <v>29</v>
      </c>
      <c r="D16" s="89">
        <v>31</v>
      </c>
      <c r="E16" s="36">
        <f>D16*100/C17</f>
        <v>3.538812785388128</v>
      </c>
      <c r="F16" s="89">
        <v>29</v>
      </c>
      <c r="G16" s="89">
        <v>31</v>
      </c>
      <c r="H16" s="36">
        <f t="shared" si="1"/>
        <v>2</v>
      </c>
      <c r="I16" s="89">
        <f>F16*100/42</f>
        <v>69.04761904761905</v>
      </c>
      <c r="J16" s="89">
        <f>G16*100/42</f>
        <v>73.80952380952381</v>
      </c>
      <c r="K16" s="36">
        <f t="shared" si="2"/>
        <v>4.761904761904759</v>
      </c>
      <c r="L16" s="36">
        <f>(C16-F16)*100/42</f>
        <v>0</v>
      </c>
      <c r="M16" s="36">
        <f>(D16-G16)*100/42</f>
        <v>0</v>
      </c>
      <c r="N16" s="89">
        <f t="shared" si="3"/>
        <v>0</v>
      </c>
    </row>
    <row r="17" spans="1:14" ht="61.5" customHeight="1">
      <c r="A17" s="197" t="s">
        <v>96</v>
      </c>
      <c r="B17" s="198"/>
      <c r="C17" s="36">
        <f>SUM(C6:C16)</f>
        <v>876</v>
      </c>
      <c r="D17" s="3">
        <f>SUM(D6:D16)</f>
        <v>891</v>
      </c>
      <c r="E17" s="36">
        <f t="shared" si="0"/>
        <v>101.71232876712328</v>
      </c>
      <c r="F17" s="3">
        <f>SUM(F6:F16)</f>
        <v>778</v>
      </c>
      <c r="G17" s="3">
        <f>SUM(G6:G16)</f>
        <v>790</v>
      </c>
      <c r="H17" s="36">
        <f t="shared" si="1"/>
        <v>12</v>
      </c>
      <c r="I17" s="36">
        <f>F17*100/1298</f>
        <v>59.93836671802774</v>
      </c>
      <c r="J17" s="36">
        <f>G17*100/1303</f>
        <v>60.629316960859555</v>
      </c>
      <c r="K17" s="36">
        <f t="shared" si="2"/>
        <v>0.6909502428318177</v>
      </c>
      <c r="L17" s="36">
        <f>(C17-F17)*100/1298</f>
        <v>7.550077041602465</v>
      </c>
      <c r="M17" s="36">
        <f>(D17-G17)*100/1303</f>
        <v>7.751343054489639</v>
      </c>
      <c r="N17" s="36">
        <f t="shared" si="3"/>
        <v>0.2012660128871735</v>
      </c>
    </row>
  </sheetData>
  <sheetProtection/>
  <mergeCells count="4">
    <mergeCell ref="A1:N1"/>
    <mergeCell ref="A17:B17"/>
    <mergeCell ref="B3:B5"/>
    <mergeCell ref="A3:A5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70" zoomScaleNormal="75" zoomScaleSheetLayoutView="70" zoomScalePageLayoutView="0" workbookViewId="0" topLeftCell="A1">
      <selection activeCell="M3" sqref="M3"/>
    </sheetView>
  </sheetViews>
  <sheetFormatPr defaultColWidth="9.00390625" defaultRowHeight="12.75"/>
  <cols>
    <col min="1" max="1" width="3.75390625" style="20" customWidth="1"/>
    <col min="2" max="2" width="29.75390625" style="20" customWidth="1"/>
    <col min="3" max="3" width="12.125" style="20" customWidth="1"/>
    <col min="4" max="4" width="14.625" style="20" customWidth="1"/>
    <col min="5" max="5" width="13.00390625" style="20" customWidth="1"/>
    <col min="6" max="6" width="13.25390625" style="20" customWidth="1"/>
    <col min="7" max="16384" width="9.125" style="20" customWidth="1"/>
  </cols>
  <sheetData>
    <row r="1" spans="1:9" ht="15.75" customHeight="1">
      <c r="A1" s="200" t="s">
        <v>108</v>
      </c>
      <c r="B1" s="200"/>
      <c r="C1" s="200"/>
      <c r="D1" s="200"/>
      <c r="E1" s="200"/>
      <c r="F1" s="200"/>
      <c r="G1" s="76"/>
      <c r="H1" s="76"/>
      <c r="I1" s="76"/>
    </row>
    <row r="2" spans="1:9" ht="15.75">
      <c r="A2" s="201" t="s">
        <v>112</v>
      </c>
      <c r="B2" s="201"/>
      <c r="C2" s="201"/>
      <c r="D2" s="201"/>
      <c r="E2" s="201"/>
      <c r="F2" s="201"/>
      <c r="G2" s="76"/>
      <c r="H2" s="76"/>
      <c r="I2" s="76"/>
    </row>
    <row r="3" spans="1:9" ht="15">
      <c r="A3" s="4" t="s">
        <v>2</v>
      </c>
      <c r="B3" s="4" t="s">
        <v>3</v>
      </c>
      <c r="C3" s="5" t="s">
        <v>42</v>
      </c>
      <c r="D3" s="6"/>
      <c r="E3" s="5" t="s">
        <v>43</v>
      </c>
      <c r="F3" s="7"/>
      <c r="G3" s="76"/>
      <c r="H3" s="76"/>
      <c r="I3" s="76"/>
    </row>
    <row r="4" spans="1:9" ht="15">
      <c r="A4" s="8"/>
      <c r="B4" s="8"/>
      <c r="C4" s="18">
        <v>2010</v>
      </c>
      <c r="D4" s="19">
        <v>2011</v>
      </c>
      <c r="E4" s="18">
        <v>2010</v>
      </c>
      <c r="F4" s="19">
        <v>2011</v>
      </c>
      <c r="G4" s="76"/>
      <c r="H4" s="76"/>
      <c r="I4" s="76"/>
    </row>
    <row r="5" spans="1:9" ht="15">
      <c r="A5" s="3">
        <v>1</v>
      </c>
      <c r="B5" s="22" t="s">
        <v>55</v>
      </c>
      <c r="C5" s="36">
        <f>(молоко!C7*1000)/1875</f>
        <v>185.6</v>
      </c>
      <c r="D5" s="36">
        <f>(молоко!D7*1000)/1875</f>
        <v>156.53333333333333</v>
      </c>
      <c r="E5" s="36">
        <f>(мясо!C6*1000)/1875</f>
        <v>17.92</v>
      </c>
      <c r="F5" s="36">
        <f>(мясо!D6*1000)/1875</f>
        <v>19.893333333333334</v>
      </c>
      <c r="H5" s="76"/>
      <c r="I5" s="76"/>
    </row>
    <row r="6" spans="1:9" ht="15">
      <c r="A6" s="3">
        <v>2</v>
      </c>
      <c r="B6" s="22" t="s">
        <v>56</v>
      </c>
      <c r="C6" s="36">
        <f>(молоко!C8*1000)/799</f>
        <v>292.8660826032541</v>
      </c>
      <c r="D6" s="36">
        <f>(молоко!D8*1000)/799</f>
        <v>304.93617021276594</v>
      </c>
      <c r="E6" s="36">
        <f>(мясо!C7*1000)/799</f>
        <v>20.02503128911139</v>
      </c>
      <c r="F6" s="36">
        <f>(мясо!D7*1000)/799</f>
        <v>10.586983729662078</v>
      </c>
      <c r="H6" s="76"/>
      <c r="I6" s="76"/>
    </row>
    <row r="7" spans="1:9" ht="15">
      <c r="A7" s="3">
        <v>3</v>
      </c>
      <c r="B7" s="22" t="s">
        <v>57</v>
      </c>
      <c r="C7" s="36">
        <f>(молоко!C9*1000)/2025</f>
        <v>83.95061728395062</v>
      </c>
      <c r="D7" s="36">
        <f>(молоко!D9*1000)/2025</f>
        <v>86.41975308641975</v>
      </c>
      <c r="E7" s="36">
        <f>(мясо!C8*1000)/2025</f>
        <v>3.753086419753086</v>
      </c>
      <c r="F7" s="36">
        <f>(мясо!D8*1000)/2025</f>
        <v>3.9012345679012346</v>
      </c>
      <c r="H7" s="76"/>
      <c r="I7" s="76"/>
    </row>
    <row r="8" spans="1:9" ht="15">
      <c r="A8" s="3">
        <v>4</v>
      </c>
      <c r="B8" s="38" t="s">
        <v>58</v>
      </c>
      <c r="C8" s="36">
        <f>(молоко!C10*1000)/2478</f>
        <v>284.34221146085554</v>
      </c>
      <c r="D8" s="36">
        <f>(молоко!D10*1000)/2478</f>
        <v>344.0274414850686</v>
      </c>
      <c r="E8" s="36">
        <f>(мясо!C9*1000)/2478</f>
        <v>41.16222760290557</v>
      </c>
      <c r="F8" s="36">
        <f>(мясо!D9*1000)/2478</f>
        <v>25.504439063761097</v>
      </c>
      <c r="H8" s="76"/>
      <c r="I8" s="76"/>
    </row>
    <row r="9" spans="1:9" ht="15">
      <c r="A9" s="3">
        <v>5</v>
      </c>
      <c r="B9" s="22" t="s">
        <v>59</v>
      </c>
      <c r="C9" s="36">
        <f>(молоко!C11*1000)/2157</f>
        <v>181.733889661567</v>
      </c>
      <c r="D9" s="36">
        <f>(молоко!D11*1000)/2157</f>
        <v>152.990264255911</v>
      </c>
      <c r="E9" s="36">
        <f>(мясо!C10*1000)/2157</f>
        <v>27.260083449235047</v>
      </c>
      <c r="F9" s="36">
        <f>(мясо!D10*1000)/2157</f>
        <v>23.319425127491886</v>
      </c>
      <c r="H9" s="76"/>
      <c r="I9" s="76"/>
    </row>
    <row r="10" spans="1:9" ht="15">
      <c r="A10" s="3">
        <v>6</v>
      </c>
      <c r="B10" s="38" t="s">
        <v>73</v>
      </c>
      <c r="C10" s="36">
        <f>(молоко!C12*1000)/859</f>
        <v>343.3643771827707</v>
      </c>
      <c r="D10" s="36">
        <f>(молоко!D12*1000)/859</f>
        <v>305.9930151338766</v>
      </c>
      <c r="E10" s="36">
        <f>(мясо!C11*1000)/859</f>
        <v>29.10360884749709</v>
      </c>
      <c r="F10" s="36">
        <f>(мясо!D11*1000)/859</f>
        <v>24.563445867287545</v>
      </c>
      <c r="H10" s="76"/>
      <c r="I10" s="76"/>
    </row>
    <row r="11" spans="1:9" ht="15">
      <c r="A11" s="3">
        <v>7</v>
      </c>
      <c r="B11" s="38" t="s">
        <v>60</v>
      </c>
      <c r="C11" s="36">
        <f>(молоко!C13*1000)/1482</f>
        <v>129.55465587044534</v>
      </c>
      <c r="D11" s="36">
        <f>(молоко!D13*1000)/1482</f>
        <v>0</v>
      </c>
      <c r="E11" s="36">
        <f>(мясо!C12*1000)/1482</f>
        <v>0.6747638326585695</v>
      </c>
      <c r="F11" s="36">
        <f>(мясо!D12*1000)/1482</f>
        <v>0</v>
      </c>
      <c r="H11" s="76"/>
      <c r="I11" s="76"/>
    </row>
    <row r="12" spans="1:9" ht="15">
      <c r="A12" s="3">
        <v>8</v>
      </c>
      <c r="B12" s="32" t="s">
        <v>87</v>
      </c>
      <c r="C12" s="36"/>
      <c r="D12" s="36"/>
      <c r="E12" s="36"/>
      <c r="F12" s="36"/>
      <c r="H12" s="76"/>
      <c r="I12" s="76"/>
    </row>
    <row r="13" spans="1:9" ht="15.75" customHeight="1">
      <c r="A13" s="3">
        <v>9</v>
      </c>
      <c r="B13" s="32" t="s">
        <v>72</v>
      </c>
      <c r="C13" s="36">
        <f>(молоко!C15*1000)/1077</f>
        <v>325.5431754874652</v>
      </c>
      <c r="D13" s="36">
        <f>(молоко!D15*1000)/1077</f>
        <v>325.636025998143</v>
      </c>
      <c r="E13" s="36">
        <f>(мясо!C14*1000)/1077</f>
        <v>16.100278551532032</v>
      </c>
      <c r="F13" s="36">
        <f>(мясо!D14*1000)/1077</f>
        <v>16.100278551532032</v>
      </c>
      <c r="H13" s="76"/>
      <c r="I13" s="76"/>
    </row>
    <row r="14" spans="1:9" ht="15">
      <c r="A14" s="3">
        <v>10</v>
      </c>
      <c r="B14" s="38" t="s">
        <v>61</v>
      </c>
      <c r="C14" s="36">
        <f>(молоко!C16*1000)/1084</f>
        <v>217.71217712177122</v>
      </c>
      <c r="D14" s="36">
        <f>(молоко!D16*1000)/1084</f>
        <v>225.55350553505534</v>
      </c>
      <c r="E14" s="36">
        <f>(мясо!C15*1000)/1084</f>
        <v>14.944649446494465</v>
      </c>
      <c r="F14" s="36">
        <f>(мясо!D15*1000)/1084</f>
        <v>20.47970479704797</v>
      </c>
      <c r="H14" s="76"/>
      <c r="I14" s="76"/>
    </row>
    <row r="15" spans="1:9" ht="15">
      <c r="A15" s="3">
        <v>11</v>
      </c>
      <c r="B15" s="38" t="s">
        <v>62</v>
      </c>
      <c r="C15" s="36">
        <f>(молоко!C17*1000)/674</f>
        <v>167.65578635014836</v>
      </c>
      <c r="D15" s="36">
        <f>(молоко!D17*1000)/674</f>
        <v>166.61721068249258</v>
      </c>
      <c r="E15" s="36">
        <f>(мясо!C16*1000)/674</f>
        <v>19.13946587537092</v>
      </c>
      <c r="F15" s="36">
        <f>(мясо!D16*1000)/674</f>
        <v>6.379821958456973</v>
      </c>
      <c r="H15" s="76"/>
      <c r="I15" s="76"/>
    </row>
    <row r="16" spans="1:9" ht="15">
      <c r="A16" s="3">
        <v>12</v>
      </c>
      <c r="B16" s="38" t="s">
        <v>63</v>
      </c>
      <c r="C16" s="36"/>
      <c r="D16" s="36"/>
      <c r="E16" s="36">
        <f>(мясо!C17*1000)/983</f>
        <v>760.9359104781282</v>
      </c>
      <c r="F16" s="36">
        <f>(мясо!D17*1000)/983</f>
        <v>944.0488301119024</v>
      </c>
      <c r="H16" s="76"/>
      <c r="I16" s="76"/>
    </row>
    <row r="17" spans="1:6" ht="63.75" customHeight="1">
      <c r="A17" s="197" t="s">
        <v>96</v>
      </c>
      <c r="B17" s="198"/>
      <c r="C17" s="36">
        <f>(молоко!C18*1000)/22877</f>
        <v>132.7802159374044</v>
      </c>
      <c r="D17" s="36">
        <f>(молоко!D18*1000)/22877</f>
        <v>134.89019539275256</v>
      </c>
      <c r="E17" s="36">
        <f>(мясо!C26*1000)/22877</f>
        <v>45.62573764042488</v>
      </c>
      <c r="F17" s="36">
        <f>(мясо!D26*1000)/22877</f>
        <v>51.75429470647375</v>
      </c>
    </row>
  </sheetData>
  <sheetProtection/>
  <mergeCells count="3">
    <mergeCell ref="A1:F1"/>
    <mergeCell ref="A2:F2"/>
    <mergeCell ref="A17:B17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="70" zoomScaleNormal="75" zoomScaleSheetLayoutView="70" zoomScalePageLayoutView="0" workbookViewId="0" topLeftCell="A1">
      <selection activeCell="N15" sqref="N15"/>
    </sheetView>
  </sheetViews>
  <sheetFormatPr defaultColWidth="9.00390625" defaultRowHeight="12.75"/>
  <cols>
    <col min="1" max="1" width="3.375" style="0" customWidth="1"/>
    <col min="2" max="2" width="32.25390625" style="0" customWidth="1"/>
    <col min="3" max="3" width="10.375" style="0" customWidth="1"/>
    <col min="4" max="4" width="11.375" style="0" customWidth="1"/>
    <col min="5" max="5" width="14.25390625" style="0" customWidth="1"/>
    <col min="6" max="6" width="13.875" style="0" customWidth="1"/>
    <col min="7" max="7" width="12.25390625" style="0" customWidth="1"/>
    <col min="8" max="8" width="10.375" style="0" customWidth="1"/>
    <col min="9" max="9" width="10.625" style="0" customWidth="1"/>
    <col min="10" max="10" width="14.75390625" style="0" customWidth="1"/>
    <col min="11" max="11" width="13.625" style="0" customWidth="1"/>
    <col min="12" max="12" width="7.75390625" style="0" customWidth="1"/>
    <col min="13" max="13" width="7.875" style="0" customWidth="1"/>
  </cols>
  <sheetData>
    <row r="1" spans="1:11" ht="18">
      <c r="A1" s="20"/>
      <c r="B1" s="14"/>
      <c r="C1" s="43" t="s">
        <v>111</v>
      </c>
      <c r="D1" s="43"/>
      <c r="E1" s="43"/>
      <c r="F1" s="14"/>
      <c r="G1" s="14"/>
      <c r="H1" s="14"/>
      <c r="I1" s="14"/>
      <c r="J1" s="14"/>
      <c r="K1" s="14"/>
    </row>
    <row r="2" spans="1:11" ht="18" customHeight="1">
      <c r="A2" s="20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9.5" customHeight="1">
      <c r="A3" s="151" t="s">
        <v>2</v>
      </c>
      <c r="B3" s="204" t="s">
        <v>3</v>
      </c>
      <c r="C3" s="205" t="s">
        <v>92</v>
      </c>
      <c r="D3" s="206"/>
      <c r="E3" s="207"/>
      <c r="F3" s="54" t="s">
        <v>11</v>
      </c>
      <c r="G3" s="55" t="s">
        <v>14</v>
      </c>
      <c r="H3" s="56" t="s">
        <v>16</v>
      </c>
      <c r="I3" s="57"/>
      <c r="J3" s="53"/>
      <c r="K3" s="53" t="s">
        <v>17</v>
      </c>
    </row>
    <row r="4" spans="1:11" ht="18">
      <c r="A4" s="174"/>
      <c r="B4" s="174"/>
      <c r="C4" s="58">
        <v>2011</v>
      </c>
      <c r="D4" s="54">
        <v>2012</v>
      </c>
      <c r="E4" s="54" t="s">
        <v>97</v>
      </c>
      <c r="F4" s="59" t="s">
        <v>12</v>
      </c>
      <c r="G4" s="60" t="s">
        <v>15</v>
      </c>
      <c r="H4" s="58">
        <v>2011</v>
      </c>
      <c r="I4" s="54">
        <v>2012</v>
      </c>
      <c r="J4" s="54" t="s">
        <v>97</v>
      </c>
      <c r="K4" s="61" t="s">
        <v>18</v>
      </c>
    </row>
    <row r="5" spans="1:11" ht="18">
      <c r="A5" s="152"/>
      <c r="B5" s="152"/>
      <c r="C5" s="62"/>
      <c r="D5" s="63"/>
      <c r="E5" s="63" t="s">
        <v>98</v>
      </c>
      <c r="F5" s="63" t="s">
        <v>13</v>
      </c>
      <c r="G5" s="64"/>
      <c r="H5" s="62"/>
      <c r="I5" s="63"/>
      <c r="J5" s="63" t="s">
        <v>98</v>
      </c>
      <c r="K5" s="65" t="s">
        <v>0</v>
      </c>
    </row>
    <row r="6" spans="1:11" ht="18" customHeight="1">
      <c r="A6" s="208" t="s">
        <v>93</v>
      </c>
      <c r="B6" s="209"/>
      <c r="C6" s="209"/>
      <c r="D6" s="209"/>
      <c r="E6" s="209"/>
      <c r="F6" s="209"/>
      <c r="G6" s="209"/>
      <c r="H6" s="209"/>
      <c r="I6" s="209"/>
      <c r="J6" s="209"/>
      <c r="K6" s="210"/>
    </row>
    <row r="7" spans="1:11" ht="16.5" customHeight="1">
      <c r="A7" s="31">
        <v>1</v>
      </c>
      <c r="B7" s="66" t="s">
        <v>55</v>
      </c>
      <c r="C7" s="12">
        <v>348</v>
      </c>
      <c r="D7" s="12">
        <v>293.5</v>
      </c>
      <c r="E7" s="13">
        <f aca="true" t="shared" si="0" ref="E7:E17">D7/C7*100</f>
        <v>84.33908045977012</v>
      </c>
      <c r="F7" s="12">
        <v>249.1</v>
      </c>
      <c r="G7" s="13">
        <f aca="true" t="shared" si="1" ref="G7:G17">F7/D7*100</f>
        <v>84.87223168654174</v>
      </c>
      <c r="H7" s="17">
        <f>C7/'численность 1'!J6*1000</f>
        <v>1933.3333333333333</v>
      </c>
      <c r="I7" s="17">
        <f>D7/'численность 1'!K6*1000</f>
        <v>1630.5555555555554</v>
      </c>
      <c r="J7" s="13">
        <f aca="true" t="shared" si="2" ref="J7:J22">I7/H7*100</f>
        <v>84.33908045977012</v>
      </c>
      <c r="K7" s="12"/>
    </row>
    <row r="8" spans="1:11" ht="16.5" customHeight="1">
      <c r="A8" s="31">
        <v>2</v>
      </c>
      <c r="B8" s="66" t="s">
        <v>56</v>
      </c>
      <c r="C8" s="12">
        <v>234</v>
      </c>
      <c r="D8" s="12">
        <v>243.644</v>
      </c>
      <c r="E8" s="13">
        <f t="shared" si="0"/>
        <v>104.12136752136752</v>
      </c>
      <c r="F8" s="12">
        <v>218.843</v>
      </c>
      <c r="G8" s="13">
        <f t="shared" si="1"/>
        <v>89.82080412404983</v>
      </c>
      <c r="H8" s="17">
        <f>C8/'численность 1'!J7*1000</f>
        <v>2228.5714285714284</v>
      </c>
      <c r="I8" s="13">
        <f>D8/'численность 1'!K7*1000</f>
        <v>2320.4190476190474</v>
      </c>
      <c r="J8" s="13">
        <f t="shared" si="2"/>
        <v>104.12136752136752</v>
      </c>
      <c r="K8" s="12"/>
    </row>
    <row r="9" spans="1:11" ht="16.5" customHeight="1">
      <c r="A9" s="31">
        <v>3</v>
      </c>
      <c r="B9" s="66" t="s">
        <v>57</v>
      </c>
      <c r="C9" s="12">
        <v>170</v>
      </c>
      <c r="D9" s="12">
        <v>175</v>
      </c>
      <c r="E9" s="13">
        <f t="shared" si="0"/>
        <v>102.94117647058823</v>
      </c>
      <c r="F9" s="12">
        <v>127</v>
      </c>
      <c r="G9" s="13">
        <f t="shared" si="1"/>
        <v>72.57142857142857</v>
      </c>
      <c r="H9" s="17">
        <f>C9/'численность 1'!J8*1000</f>
        <v>2833.3333333333335</v>
      </c>
      <c r="I9" s="13">
        <f>D9/'численность 1'!K8*1000</f>
        <v>2916.6666666666665</v>
      </c>
      <c r="J9" s="13">
        <f t="shared" si="2"/>
        <v>102.94117647058823</v>
      </c>
      <c r="K9" s="12"/>
    </row>
    <row r="10" spans="1:11" ht="16.5" customHeight="1">
      <c r="A10" s="31">
        <v>4</v>
      </c>
      <c r="B10" s="66" t="s">
        <v>58</v>
      </c>
      <c r="C10" s="12">
        <v>704.6</v>
      </c>
      <c r="D10" s="12">
        <v>852.5</v>
      </c>
      <c r="E10" s="13">
        <f t="shared" si="0"/>
        <v>120.9906329832529</v>
      </c>
      <c r="F10" s="12">
        <v>789.1</v>
      </c>
      <c r="G10" s="13">
        <f t="shared" si="1"/>
        <v>92.56304985337243</v>
      </c>
      <c r="H10" s="17">
        <f>C10/'численность 1'!J9*1000</f>
        <v>2287.662337662338</v>
      </c>
      <c r="I10" s="13">
        <f>D10/'численность 1'!K9*1000</f>
        <v>2767.8571428571427</v>
      </c>
      <c r="J10" s="13">
        <f t="shared" si="2"/>
        <v>120.99063298325288</v>
      </c>
      <c r="K10" s="12"/>
    </row>
    <row r="11" spans="1:11" ht="16.5" customHeight="1">
      <c r="A11" s="31">
        <v>5</v>
      </c>
      <c r="B11" s="67" t="s">
        <v>59</v>
      </c>
      <c r="C11" s="12">
        <v>392</v>
      </c>
      <c r="D11" s="12">
        <v>330</v>
      </c>
      <c r="E11" s="13">
        <f t="shared" si="0"/>
        <v>84.18367346938776</v>
      </c>
      <c r="F11" s="12">
        <v>262.5</v>
      </c>
      <c r="G11" s="13">
        <f t="shared" si="1"/>
        <v>79.54545454545455</v>
      </c>
      <c r="H11" s="17">
        <f>C11/'численность 1'!J10*1000</f>
        <v>1400</v>
      </c>
      <c r="I11" s="130">
        <f>D11/'численность 1'!K10*1000</f>
        <v>1447.3684210526317</v>
      </c>
      <c r="J11" s="13">
        <f t="shared" si="2"/>
        <v>103.38345864661656</v>
      </c>
      <c r="K11" s="12"/>
    </row>
    <row r="12" spans="1:11" ht="16.5" customHeight="1">
      <c r="A12" s="31">
        <v>6</v>
      </c>
      <c r="B12" s="67" t="s">
        <v>73</v>
      </c>
      <c r="C12" s="16">
        <v>294.95</v>
      </c>
      <c r="D12" s="16">
        <v>262.848</v>
      </c>
      <c r="E12" s="13">
        <f t="shared" si="0"/>
        <v>89.1161213765045</v>
      </c>
      <c r="F12" s="16">
        <v>190.188</v>
      </c>
      <c r="G12" s="17">
        <f t="shared" si="1"/>
        <v>72.35664718772826</v>
      </c>
      <c r="H12" s="17">
        <f>C12/'численность 1'!J11*1000</f>
        <v>3469.9999999999995</v>
      </c>
      <c r="I12" s="13">
        <f>D12/'численность 1'!K11*1000</f>
        <v>3092.329411764706</v>
      </c>
      <c r="J12" s="13">
        <f t="shared" si="2"/>
        <v>89.11612137650451</v>
      </c>
      <c r="K12" s="131">
        <v>272.6</v>
      </c>
    </row>
    <row r="13" spans="1:11" ht="16.5" customHeight="1">
      <c r="A13" s="31">
        <v>7</v>
      </c>
      <c r="B13" s="67" t="s">
        <v>60</v>
      </c>
      <c r="C13" s="16">
        <v>192</v>
      </c>
      <c r="D13" s="16"/>
      <c r="E13" s="13">
        <f t="shared" si="0"/>
        <v>0</v>
      </c>
      <c r="F13" s="16"/>
      <c r="G13" s="17"/>
      <c r="H13" s="17">
        <f>C13/'численность 1'!J12*1000</f>
        <v>3200</v>
      </c>
      <c r="I13" s="13"/>
      <c r="J13" s="13"/>
      <c r="K13" s="16"/>
    </row>
    <row r="14" spans="1:11" ht="16.5" customHeight="1">
      <c r="A14" s="31">
        <v>8</v>
      </c>
      <c r="B14" s="67" t="s">
        <v>87</v>
      </c>
      <c r="C14" s="16">
        <v>2.453</v>
      </c>
      <c r="D14" s="16">
        <v>220.881</v>
      </c>
      <c r="E14" s="13">
        <f t="shared" si="0"/>
        <v>9004.525071341215</v>
      </c>
      <c r="F14" s="16">
        <v>147.414</v>
      </c>
      <c r="G14" s="17">
        <f t="shared" si="1"/>
        <v>66.7391038613552</v>
      </c>
      <c r="H14" s="17"/>
      <c r="I14" s="17">
        <f>D14/'численность 1'!K13*1000</f>
        <v>3398.1692307692306</v>
      </c>
      <c r="J14" s="13"/>
      <c r="K14" s="16">
        <v>75.764</v>
      </c>
    </row>
    <row r="15" spans="1:11" ht="16.5" customHeight="1">
      <c r="A15" s="31">
        <v>9</v>
      </c>
      <c r="B15" s="67" t="s">
        <v>72</v>
      </c>
      <c r="C15" s="16">
        <v>350.61</v>
      </c>
      <c r="D15" s="16">
        <v>350.71</v>
      </c>
      <c r="E15" s="17">
        <f t="shared" si="0"/>
        <v>100.02852171928922</v>
      </c>
      <c r="F15" s="16">
        <v>302.58</v>
      </c>
      <c r="G15" s="17">
        <f t="shared" si="1"/>
        <v>86.27641070970317</v>
      </c>
      <c r="H15" s="17">
        <f>C15/'численность 1'!J14*1000</f>
        <v>4495</v>
      </c>
      <c r="I15" s="17">
        <f>D15/'численность 1'!K14*1000</f>
        <v>4496.282051282052</v>
      </c>
      <c r="J15" s="13">
        <f t="shared" si="2"/>
        <v>100.02852171928924</v>
      </c>
      <c r="K15" s="16"/>
    </row>
    <row r="16" spans="1:11" ht="16.5" customHeight="1">
      <c r="A16" s="31">
        <v>10</v>
      </c>
      <c r="B16" s="67" t="s">
        <v>61</v>
      </c>
      <c r="C16" s="16">
        <v>236</v>
      </c>
      <c r="D16" s="16">
        <v>244.5</v>
      </c>
      <c r="E16" s="13">
        <f t="shared" si="0"/>
        <v>103.60169491525424</v>
      </c>
      <c r="F16" s="16">
        <v>201</v>
      </c>
      <c r="G16" s="17">
        <f t="shared" si="1"/>
        <v>82.20858895705521</v>
      </c>
      <c r="H16" s="17">
        <f>C16/'численность 1'!J15*1000</f>
        <v>2360</v>
      </c>
      <c r="I16" s="13">
        <f>D16/'численность 1'!K15*1000</f>
        <v>2445</v>
      </c>
      <c r="J16" s="13">
        <f t="shared" si="2"/>
        <v>103.60169491525424</v>
      </c>
      <c r="K16" s="16">
        <v>6.4</v>
      </c>
    </row>
    <row r="17" spans="1:11" ht="16.5" customHeight="1">
      <c r="A17" s="31">
        <v>11</v>
      </c>
      <c r="B17" s="67" t="s">
        <v>62</v>
      </c>
      <c r="C17" s="16">
        <v>113</v>
      </c>
      <c r="D17" s="16">
        <v>112.3</v>
      </c>
      <c r="E17" s="13">
        <f t="shared" si="0"/>
        <v>99.38053097345131</v>
      </c>
      <c r="F17" s="16">
        <v>102.7</v>
      </c>
      <c r="G17" s="17">
        <f t="shared" si="1"/>
        <v>91.45146927871772</v>
      </c>
      <c r="H17" s="17">
        <f>C17/'численность 1'!J16*1000</f>
        <v>2690.476190476191</v>
      </c>
      <c r="I17" s="13">
        <f>D17/'численность 1'!K16*1000</f>
        <v>2739.0243902439024</v>
      </c>
      <c r="J17" s="13">
        <f t="shared" si="2"/>
        <v>101.80444636304769</v>
      </c>
      <c r="K17" s="16"/>
    </row>
    <row r="18" spans="1:11" ht="57" customHeight="1">
      <c r="A18" s="159" t="s">
        <v>103</v>
      </c>
      <c r="B18" s="160"/>
      <c r="C18" s="16">
        <f>SUM(C7:C17)</f>
        <v>3037.613</v>
      </c>
      <c r="D18" s="68">
        <f>SUM(D7:D17)</f>
        <v>3085.8830000000003</v>
      </c>
      <c r="E18" s="13">
        <f>D18/C18*100</f>
        <v>101.58907668620066</v>
      </c>
      <c r="F18" s="68">
        <f>SUM(F7:F17)</f>
        <v>2590.425</v>
      </c>
      <c r="G18" s="13">
        <f>F18/D18*100</f>
        <v>83.94436859725401</v>
      </c>
      <c r="H18" s="13">
        <f>C18/'численность 1'!J20*1000</f>
        <v>2340.2257318952234</v>
      </c>
      <c r="I18" s="13">
        <f>D18/'численность 1'!K20*1000</f>
        <v>2468.7064000000005</v>
      </c>
      <c r="J18" s="13">
        <f t="shared" si="2"/>
        <v>105.49009723095078</v>
      </c>
      <c r="K18" s="68">
        <f>SUM(K7:K17)</f>
        <v>354.764</v>
      </c>
    </row>
    <row r="19" spans="1:11" ht="19.5" customHeight="1">
      <c r="A19" s="134">
        <v>1</v>
      </c>
      <c r="B19" s="132" t="s">
        <v>122</v>
      </c>
      <c r="C19" s="134"/>
      <c r="D19" s="68">
        <v>25</v>
      </c>
      <c r="E19" s="13"/>
      <c r="F19" s="68">
        <v>17.5</v>
      </c>
      <c r="G19" s="13">
        <f>F19/D19*100</f>
        <v>70</v>
      </c>
      <c r="H19" s="13"/>
      <c r="I19" s="13">
        <f>D19/'численность 1'!K21*1000</f>
        <v>3125</v>
      </c>
      <c r="J19" s="13"/>
      <c r="K19" s="68"/>
    </row>
    <row r="20" spans="1:11" ht="21.75" customHeight="1">
      <c r="A20" s="159" t="s">
        <v>121</v>
      </c>
      <c r="B20" s="211"/>
      <c r="C20" s="16"/>
      <c r="D20" s="68">
        <f>D19</f>
        <v>25</v>
      </c>
      <c r="E20" s="13"/>
      <c r="F20" s="68"/>
      <c r="G20" s="13"/>
      <c r="H20" s="13"/>
      <c r="I20" s="13">
        <f>D20/'численность 1'!K25*1000</f>
        <v>3125</v>
      </c>
      <c r="J20" s="13"/>
      <c r="K20" s="68"/>
    </row>
    <row r="21" spans="1:11" ht="18">
      <c r="A21" s="208" t="s">
        <v>94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10"/>
    </row>
    <row r="22" spans="1:11" ht="17.25" customHeight="1">
      <c r="A22" s="120">
        <v>1</v>
      </c>
      <c r="B22" s="67" t="s">
        <v>72</v>
      </c>
      <c r="C22" s="120">
        <v>26.77</v>
      </c>
      <c r="D22" s="120">
        <v>56.34</v>
      </c>
      <c r="E22" s="13">
        <f>D22/C22*100</f>
        <v>210.45946955547254</v>
      </c>
      <c r="F22" s="120">
        <v>43.68</v>
      </c>
      <c r="G22" s="13">
        <f>F22/D22*100</f>
        <v>77.52928647497338</v>
      </c>
      <c r="H22" s="120">
        <f>C22*1000/50</f>
        <v>535.4</v>
      </c>
      <c r="I22" s="128">
        <f>D22*1000/81</f>
        <v>695.5555555555555</v>
      </c>
      <c r="J22" s="13">
        <f t="shared" si="2"/>
        <v>129.9132528120201</v>
      </c>
      <c r="K22" s="120"/>
    </row>
    <row r="23" spans="1:11" ht="37.5" customHeight="1">
      <c r="A23" s="202" t="s">
        <v>91</v>
      </c>
      <c r="B23" s="203"/>
      <c r="C23" s="120">
        <f>C18+C22</f>
        <v>3064.383</v>
      </c>
      <c r="D23" s="128">
        <f>D18+D22+D20</f>
        <v>3167.2230000000004</v>
      </c>
      <c r="E23" s="13">
        <f>D23/C23*100</f>
        <v>103.35597736966955</v>
      </c>
      <c r="F23" s="120">
        <f>F18+F22</f>
        <v>2634.105</v>
      </c>
      <c r="G23" s="13">
        <f>F23/D23*100</f>
        <v>83.16765191462679</v>
      </c>
      <c r="H23" s="121" t="s">
        <v>95</v>
      </c>
      <c r="I23" s="121" t="s">
        <v>95</v>
      </c>
      <c r="J23" s="121" t="s">
        <v>95</v>
      </c>
      <c r="K23" s="120">
        <f>K18+K22</f>
        <v>354.764</v>
      </c>
    </row>
  </sheetData>
  <sheetProtection/>
  <mergeCells count="8">
    <mergeCell ref="A23:B23"/>
    <mergeCell ref="A3:A5"/>
    <mergeCell ref="B3:B5"/>
    <mergeCell ref="A18:B18"/>
    <mergeCell ref="C3:E3"/>
    <mergeCell ref="A6:K6"/>
    <mergeCell ref="A21:K21"/>
    <mergeCell ref="A20:B20"/>
  </mergeCells>
  <printOptions/>
  <pageMargins left="0.75" right="0.75" top="1" bottom="1" header="0.5" footer="0.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agro5</cp:lastModifiedBy>
  <cp:lastPrinted>2012-11-06T04:31:00Z</cp:lastPrinted>
  <dcterms:created xsi:type="dcterms:W3CDTF">2002-11-05T10:10:22Z</dcterms:created>
  <dcterms:modified xsi:type="dcterms:W3CDTF">2012-11-08T07:39:38Z</dcterms:modified>
  <cp:category/>
  <cp:version/>
  <cp:contentType/>
  <cp:contentStatus/>
</cp:coreProperties>
</file>