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'молоко'!$A$1:$K$17</definedName>
    <definedName name="_xlnm.Print_Area" localSheetId="9">'мясо'!$A$1:$K$21</definedName>
    <definedName name="_xlnm.Print_Area" localSheetId="7">'на 100 га'!$A$1:$F$17</definedName>
    <definedName name="_xlnm.Print_Area" localSheetId="0">'пало1'!$A$1:$T$19</definedName>
    <definedName name="_xlnm.Print_Area" localSheetId="1">'привес'!$A$1:$T$21</definedName>
    <definedName name="_xlnm.Print_Area" localSheetId="4">'приплод 2'!$A$1:$P$11</definedName>
    <definedName name="_xlnm.Print_Area" localSheetId="3">'численность 1'!$A$1:$U$20</definedName>
    <definedName name="_xlnm.Print_Area" localSheetId="2">'численность 2'!$A$1:$N$20</definedName>
  </definedNames>
  <calcPr fullCalcOnLoad="1"/>
</workbook>
</file>

<file path=xl/sharedStrings.xml><?xml version="1.0" encoding="utf-8"?>
<sst xmlns="http://schemas.openxmlformats.org/spreadsheetml/2006/main" count="283" uniqueCount="113">
  <si>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</si>
  <si>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</si>
  <si>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</si>
  <si>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</si>
  <si>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</si>
  <si>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</si>
  <si>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</si>
  <si>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</si>
  <si>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</si>
  <si>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</si>
  <si>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</si>
  <si>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</si>
  <si>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</si>
  <si>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</si>
  <si>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</si>
  <si>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</si>
  <si>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</si>
  <si>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</si>
  <si>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</si>
  <si>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</si>
  <si>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</si>
  <si>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</si>
  <si>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</si>
  <si>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</si>
  <si>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</si>
  <si>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</si>
  <si>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</si>
  <si>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</si>
  <si>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</si>
  <si>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</si>
  <si>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</si>
  <si>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</si>
  <si>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</si>
  <si>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</si>
  <si>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</si>
  <si>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</si>
  <si>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</si>
  <si>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</si>
  <si>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</si>
  <si>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</si>
  <si>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</si>
  <si>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</si>
  <si>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</si>
  <si>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</si>
  <si>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</si>
  <si>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</si>
  <si>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</si>
  <si>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</si>
  <si>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</si>
  <si>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</si>
  <si>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</si>
  <si>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</si>
  <si>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</si>
  <si>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</si>
  <si>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</si>
  <si>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</si>
  <si>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</si>
  <si>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</si>
  <si>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</si>
  <si>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</si>
  <si>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</si>
  <si>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</si>
  <si>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</si>
  <si>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</si>
  <si>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</si>
  <si>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</si>
  <si>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</si>
  <si>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</si>
  <si>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</si>
  <si>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</si>
  <si>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</si>
  <si>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</si>
  <si>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</si>
  <si>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</si>
  <si>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</si>
  <si>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</si>
  <si>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</si>
  <si>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</si>
  <si>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</si>
  <si>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</si>
  <si>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</si>
  <si>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</si>
  <si>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</si>
  <si>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</si>
  <si>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</si>
  <si>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</si>
  <si>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</si>
  <si>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</si>
  <si>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</si>
  <si>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</si>
  <si>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</si>
  <si>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</si>
  <si>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</si>
  <si>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</si>
  <si>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</si>
  <si>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</si>
  <si>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</si>
  <si>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</si>
  <si>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</si>
  <si>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</si>
  <si>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</si>
  <si>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</si>
  <si>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>ООО "А-ф "Трудовик"</t>
  </si>
  <si>
    <t xml:space="preserve">   Производство мяса за январь-ноябрь 2011г.</t>
  </si>
  <si>
    <t xml:space="preserve">            Производство молока за  январь-ноябрь 2011 г. по Ибресинскому району</t>
  </si>
  <si>
    <t>по Ибресинскому району за январь-ноябрь 2011 года (ц)</t>
  </si>
  <si>
    <t>Поступление приплода (телят) за январь-ноябрь 2011 г.</t>
  </si>
  <si>
    <t>СЛУЧЕНО И ОСЕМЕНЕНО за январь-ноябрь 2011 г.по Ибресинскому р-ну</t>
  </si>
  <si>
    <t>Поступление приплода (поросят) за январь- ноябрь 2011 г.</t>
  </si>
  <si>
    <t xml:space="preserve">      ЧИСЛЕННОСТЬ СКОТА по Ибресинскому району на 1.12.2011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</si>
  <si>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1.12.2011 г., (голов)</t>
    </r>
  </si>
  <si>
    <t>Показатели получения привесов за январь-ноябрь 2011 года</t>
  </si>
  <si>
    <t>ПАЛО И ПОГИБЛО - КУПЛЕНО- ПРОДАНО крс, свиней за январь-ноябрь 2011г.по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</si>
</sst>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4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5" sqref="M5"/>
    </sheetView>
  </sheetViews>
  <sheetFormatPr defaultColWidth="9.00390625" defaultRowHeight="12.75"/>
  <cols>
    <col min="1" max="1" width="4.00390625" style="73" customWidth="1"/>
    <col min="2" max="2" width="28.625" style="73" customWidth="1"/>
    <col min="3" max="4" width="8.75390625" style="73" customWidth="1"/>
    <col min="5" max="5" width="8.875" style="73" customWidth="1"/>
    <col min="6" max="7" width="8.75390625" style="73" customWidth="1"/>
    <col min="8" max="8" width="8.875" style="73" customWidth="1"/>
    <col min="9" max="14" width="8.75390625" style="73" customWidth="1"/>
    <col min="15" max="15" width="8.875" style="73" customWidth="1"/>
    <col min="16" max="18" width="8.75390625" style="73" customWidth="1"/>
    <col min="19" max="19" width="8.875" style="73" customWidth="1"/>
    <col min="20" max="20" width="8.75390625" style="73" customWidth="1"/>
    <col min="21" max="16384" width="9.125" style="73" customWidth="1"/>
  </cols>
  <sheetData>
    <row r="1" spans="3:18" ht="15">
      <c r="C1" s="124" t="s">
        <v>112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3:10" ht="15">
      <c r="C2" s="74"/>
      <c r="D2" s="74"/>
      <c r="E2" s="74"/>
      <c r="F2" s="74"/>
      <c r="G2" s="74"/>
      <c r="H2" s="74"/>
      <c r="I2" s="74"/>
      <c r="J2" s="74"/>
    </row>
    <row r="3" spans="1:20" s="20" customFormat="1" ht="18.75" customHeight="1">
      <c r="A3" s="34" t="s">
        <v>2</v>
      </c>
      <c r="B3" s="23" t="s">
        <v>3</v>
      </c>
      <c r="C3" s="125" t="s">
        <v>41</v>
      </c>
      <c r="D3" s="126"/>
      <c r="E3" s="127"/>
      <c r="F3" s="125" t="s">
        <v>55</v>
      </c>
      <c r="G3" s="126"/>
      <c r="H3" s="127"/>
      <c r="I3" s="103"/>
      <c r="J3" s="108" t="s">
        <v>43</v>
      </c>
      <c r="K3" s="108"/>
      <c r="L3" s="108"/>
      <c r="M3" s="110"/>
      <c r="N3" s="110"/>
      <c r="O3" s="110"/>
      <c r="P3" s="110"/>
      <c r="Q3" s="103"/>
      <c r="R3" s="108" t="s">
        <v>44</v>
      </c>
      <c r="S3" s="108"/>
      <c r="T3" s="107"/>
    </row>
    <row r="4" spans="1:20" s="20" customFormat="1" ht="18.75" customHeight="1">
      <c r="A4" s="39"/>
      <c r="B4" s="33"/>
      <c r="C4" s="128">
        <v>2010</v>
      </c>
      <c r="D4" s="128">
        <v>2011</v>
      </c>
      <c r="E4" s="112" t="s">
        <v>42</v>
      </c>
      <c r="F4" s="128">
        <v>2010</v>
      </c>
      <c r="G4" s="128">
        <v>2011</v>
      </c>
      <c r="H4" s="112" t="s">
        <v>42</v>
      </c>
      <c r="I4" s="130" t="s">
        <v>101</v>
      </c>
      <c r="J4" s="131"/>
      <c r="K4" s="130" t="s">
        <v>93</v>
      </c>
      <c r="L4" s="131"/>
      <c r="M4" s="130" t="s">
        <v>89</v>
      </c>
      <c r="N4" s="131"/>
      <c r="O4" s="130" t="s">
        <v>90</v>
      </c>
      <c r="P4" s="131"/>
      <c r="Q4" s="130" t="s">
        <v>92</v>
      </c>
      <c r="R4" s="131"/>
      <c r="S4" s="130" t="s">
        <v>93</v>
      </c>
      <c r="T4" s="131"/>
    </row>
    <row r="5" spans="1:20" s="20" customFormat="1" ht="18.75" customHeight="1">
      <c r="A5" s="30"/>
      <c r="B5" s="29"/>
      <c r="C5" s="129"/>
      <c r="D5" s="129"/>
      <c r="E5" s="113" t="s">
        <v>97</v>
      </c>
      <c r="F5" s="129"/>
      <c r="G5" s="129"/>
      <c r="H5" s="113" t="s">
        <v>97</v>
      </c>
      <c r="I5" s="114">
        <v>2010</v>
      </c>
      <c r="J5" s="115">
        <v>2011</v>
      </c>
      <c r="K5" s="114">
        <v>2010</v>
      </c>
      <c r="L5" s="115">
        <v>2011</v>
      </c>
      <c r="M5" s="114">
        <v>2010</v>
      </c>
      <c r="N5" s="115">
        <v>2011</v>
      </c>
      <c r="O5" s="114">
        <v>2010</v>
      </c>
      <c r="P5" s="115">
        <v>2011</v>
      </c>
      <c r="Q5" s="114">
        <v>2010</v>
      </c>
      <c r="R5" s="115">
        <v>2011</v>
      </c>
      <c r="S5" s="114">
        <v>2010</v>
      </c>
      <c r="T5" s="115">
        <v>2011</v>
      </c>
    </row>
    <row r="6" spans="1:20" s="20" customFormat="1" ht="15" customHeight="1">
      <c r="A6" s="31">
        <v>1</v>
      </c>
      <c r="B6" s="31" t="s">
        <v>61</v>
      </c>
      <c r="C6" s="3">
        <v>1</v>
      </c>
      <c r="D6" s="3">
        <v>1</v>
      </c>
      <c r="E6" s="11">
        <f aca="true" t="shared" si="0" ref="E6:E16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62</v>
      </c>
      <c r="C7" s="3">
        <v>5</v>
      </c>
      <c r="D7" s="3">
        <v>10</v>
      </c>
      <c r="E7" s="11">
        <f t="shared" si="0"/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38</v>
      </c>
      <c r="R7" s="3">
        <v>42</v>
      </c>
      <c r="S7" s="3"/>
      <c r="T7" s="3"/>
    </row>
    <row r="8" spans="1:20" s="20" customFormat="1" ht="13.5" customHeight="1">
      <c r="A8" s="31">
        <v>3</v>
      </c>
      <c r="B8" s="31" t="s">
        <v>63</v>
      </c>
      <c r="C8" s="3">
        <v>1</v>
      </c>
      <c r="D8" s="3"/>
      <c r="E8" s="11">
        <f t="shared" si="0"/>
        <v>-1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12</v>
      </c>
      <c r="R8" s="3">
        <v>17</v>
      </c>
      <c r="S8" s="3"/>
      <c r="T8" s="3"/>
    </row>
    <row r="9" spans="1:20" s="20" customFormat="1" ht="12.75" customHeight="1">
      <c r="A9" s="31">
        <v>4</v>
      </c>
      <c r="B9" s="22" t="s">
        <v>64</v>
      </c>
      <c r="C9" s="3">
        <v>5</v>
      </c>
      <c r="D9" s="3">
        <v>7</v>
      </c>
      <c r="E9" s="11">
        <f t="shared" si="0"/>
        <v>2</v>
      </c>
      <c r="F9" s="3"/>
      <c r="G9" s="3"/>
      <c r="H9" s="3"/>
      <c r="I9" s="3"/>
      <c r="J9" s="3"/>
      <c r="K9" s="3"/>
      <c r="L9" s="3">
        <v>2</v>
      </c>
      <c r="M9" s="3"/>
      <c r="N9" s="3"/>
      <c r="O9" s="3"/>
      <c r="P9" s="3"/>
      <c r="Q9" s="3"/>
      <c r="R9" s="3"/>
      <c r="S9" s="3">
        <v>401</v>
      </c>
      <c r="T9" s="3">
        <v>364</v>
      </c>
    </row>
    <row r="10" spans="1:20" s="20" customFormat="1" ht="13.5" customHeight="1">
      <c r="A10" s="31">
        <v>5</v>
      </c>
      <c r="B10" s="98" t="s">
        <v>65</v>
      </c>
      <c r="C10" s="3"/>
      <c r="D10" s="3"/>
      <c r="E10" s="11">
        <f t="shared" si="0"/>
        <v>0</v>
      </c>
      <c r="F10" s="3">
        <v>121</v>
      </c>
      <c r="G10" s="3">
        <v>32</v>
      </c>
      <c r="H10" s="3">
        <f>G10-F10</f>
        <v>-89</v>
      </c>
      <c r="I10" s="3">
        <v>28</v>
      </c>
      <c r="J10" s="3"/>
      <c r="K10" s="11"/>
      <c r="L10" s="11"/>
      <c r="M10" s="11"/>
      <c r="N10" s="11"/>
      <c r="O10" s="11"/>
      <c r="P10" s="11"/>
      <c r="Q10" s="11">
        <v>5</v>
      </c>
      <c r="R10" s="11"/>
      <c r="S10" s="3">
        <v>322</v>
      </c>
      <c r="T10" s="3">
        <v>262</v>
      </c>
    </row>
    <row r="11" spans="1:20" s="20" customFormat="1" ht="12.75" customHeight="1">
      <c r="A11" s="31">
        <v>6</v>
      </c>
      <c r="B11" s="32" t="s">
        <v>81</v>
      </c>
      <c r="C11" s="3">
        <v>3</v>
      </c>
      <c r="D11" s="3">
        <v>1</v>
      </c>
      <c r="E11" s="11">
        <f t="shared" si="0"/>
        <v>-2</v>
      </c>
      <c r="F11" s="3"/>
      <c r="G11" s="3"/>
      <c r="H11" s="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3"/>
      <c r="T11" s="3"/>
    </row>
    <row r="12" spans="1:20" s="20" customFormat="1" ht="12.75" customHeight="1">
      <c r="A12" s="31">
        <v>7</v>
      </c>
      <c r="B12" s="31" t="s">
        <v>66</v>
      </c>
      <c r="C12" s="3">
        <v>2</v>
      </c>
      <c r="D12" s="3"/>
      <c r="E12" s="11">
        <f t="shared" si="0"/>
        <v>-2</v>
      </c>
      <c r="F12" s="3"/>
      <c r="G12" s="3"/>
      <c r="H12" s="3"/>
      <c r="I12" s="3">
        <v>36</v>
      </c>
      <c r="J12" s="3"/>
      <c r="K12" s="3"/>
      <c r="L12" s="3"/>
      <c r="M12" s="3"/>
      <c r="N12" s="3"/>
      <c r="O12" s="3"/>
      <c r="P12" s="3"/>
      <c r="Q12" s="3">
        <v>27</v>
      </c>
      <c r="R12" s="3">
        <v>148</v>
      </c>
      <c r="S12" s="3"/>
      <c r="T12" s="3"/>
    </row>
    <row r="13" spans="1:20" s="20" customFormat="1" ht="12.75" customHeight="1">
      <c r="A13" s="31">
        <v>8</v>
      </c>
      <c r="B13" s="32" t="s">
        <v>102</v>
      </c>
      <c r="C13" s="3"/>
      <c r="D13" s="3"/>
      <c r="E13" s="11"/>
      <c r="F13" s="3"/>
      <c r="G13" s="3"/>
      <c r="H13" s="3"/>
      <c r="I13" s="3"/>
      <c r="J13" s="3">
        <v>148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80</v>
      </c>
      <c r="C14" s="3">
        <v>2</v>
      </c>
      <c r="D14" s="3">
        <v>1</v>
      </c>
      <c r="E14" s="11">
        <f t="shared" si="0"/>
        <v>-1</v>
      </c>
      <c r="F14" s="3"/>
      <c r="G14" s="3"/>
      <c r="H14" s="3"/>
      <c r="I14" s="3"/>
      <c r="J14" s="3">
        <v>30</v>
      </c>
      <c r="K14" s="3"/>
      <c r="L14" s="3"/>
      <c r="M14" s="3"/>
      <c r="N14" s="3"/>
      <c r="O14" s="3"/>
      <c r="P14" s="3"/>
      <c r="Q14" s="3">
        <v>22</v>
      </c>
      <c r="R14" s="3">
        <v>9</v>
      </c>
      <c r="S14" s="3"/>
      <c r="T14" s="3"/>
    </row>
    <row r="15" spans="1:20" s="20" customFormat="1" ht="12.75" customHeight="1">
      <c r="A15" s="31">
        <v>10</v>
      </c>
      <c r="B15" s="31" t="s">
        <v>67</v>
      </c>
      <c r="C15" s="3"/>
      <c r="D15" s="3"/>
      <c r="E15" s="11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68</v>
      </c>
      <c r="C16" s="3">
        <v>1</v>
      </c>
      <c r="D16" s="3">
        <v>1</v>
      </c>
      <c r="E16" s="11">
        <f t="shared" si="0"/>
        <v>0</v>
      </c>
      <c r="F16" s="3"/>
      <c r="G16" s="3"/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0" customFormat="1" ht="12.75" customHeight="1">
      <c r="A17" s="31">
        <v>12</v>
      </c>
      <c r="B17" s="31" t="s">
        <v>69</v>
      </c>
      <c r="C17" s="3"/>
      <c r="D17" s="3"/>
      <c r="E17" s="11"/>
      <c r="F17" s="3">
        <v>783</v>
      </c>
      <c r="G17" s="3">
        <v>840</v>
      </c>
      <c r="H17" s="3">
        <f>G17-F17</f>
        <v>57</v>
      </c>
      <c r="I17" s="3"/>
      <c r="J17" s="3"/>
      <c r="K17" s="3"/>
      <c r="L17" s="3">
        <v>13</v>
      </c>
      <c r="M17" s="3"/>
      <c r="N17" s="3"/>
      <c r="O17" s="3"/>
      <c r="P17" s="3"/>
      <c r="Q17" s="3"/>
      <c r="R17" s="3"/>
      <c r="S17" s="3">
        <v>1055</v>
      </c>
      <c r="T17" s="3">
        <v>1518</v>
      </c>
    </row>
    <row r="18" spans="1:20" s="20" customFormat="1" ht="12.75" customHeight="1">
      <c r="A18" s="31">
        <v>13</v>
      </c>
      <c r="B18" s="32" t="s">
        <v>78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93">
        <v>88</v>
      </c>
      <c r="N18" s="3">
        <v>5</v>
      </c>
      <c r="O18" s="3"/>
      <c r="P18" s="3"/>
      <c r="Q18" s="3"/>
      <c r="R18" s="3"/>
      <c r="S18" s="117"/>
      <c r="T18" s="22"/>
    </row>
    <row r="19" spans="1:20" s="20" customFormat="1" ht="13.5" customHeight="1">
      <c r="A19" s="132" t="s">
        <v>11</v>
      </c>
      <c r="B19" s="133"/>
      <c r="C19" s="3">
        <f>SUM(C6:C16)</f>
        <v>20</v>
      </c>
      <c r="D19" s="3">
        <f>SUM(D6:D17)</f>
        <v>21</v>
      </c>
      <c r="E19" s="11">
        <f>D19-C19</f>
        <v>1</v>
      </c>
      <c r="F19" s="3">
        <f>SUM(F10:F18)</f>
        <v>904</v>
      </c>
      <c r="G19" s="3">
        <f>SUM(G10:G18)</f>
        <v>872</v>
      </c>
      <c r="H19" s="3">
        <f>G19-F19</f>
        <v>-32</v>
      </c>
      <c r="I19" s="3">
        <f>SUM(I6:I17)</f>
        <v>66</v>
      </c>
      <c r="J19" s="3">
        <f>SUM(J6:J17)</f>
        <v>178</v>
      </c>
      <c r="K19" s="3">
        <f>SUM(K6:K17)</f>
        <v>0</v>
      </c>
      <c r="L19" s="3">
        <f>SUM(L6:L17)</f>
        <v>15</v>
      </c>
      <c r="M19" s="3">
        <f>SUM(M6:M18)</f>
        <v>88</v>
      </c>
      <c r="N19" s="3">
        <f>SUM(N18)</f>
        <v>5</v>
      </c>
      <c r="O19" s="3">
        <f>SUM(O6:O17)</f>
        <v>0</v>
      </c>
      <c r="P19" s="3">
        <f>SUM(P6:P17)</f>
        <v>0</v>
      </c>
      <c r="Q19" s="3">
        <f>SUM(Q6:Q17)</f>
        <v>104</v>
      </c>
      <c r="R19" s="3">
        <f>SUM(R6:R17)</f>
        <v>216</v>
      </c>
      <c r="S19" s="3">
        <f>SUM(S9:S17)</f>
        <v>1778</v>
      </c>
      <c r="T19" s="3">
        <f>SUM(T6:T17)</f>
        <v>2144</v>
      </c>
    </row>
    <row r="20" ht="14.25">
      <c r="B20" s="76"/>
    </row>
  </sheetData>
  <sheetProtection/>
  <mergeCells count="14">
    <mergeCell ref="Q4:R4"/>
    <mergeCell ref="S4:T4"/>
    <mergeCell ref="I4:J4"/>
    <mergeCell ref="K4:L4"/>
    <mergeCell ref="A19:B19"/>
    <mergeCell ref="C1:R1"/>
    <mergeCell ref="F3:H3"/>
    <mergeCell ref="C3:E3"/>
    <mergeCell ref="C4:C5"/>
    <mergeCell ref="D4:D5"/>
    <mergeCell ref="F4:F5"/>
    <mergeCell ref="G4:G5"/>
    <mergeCell ref="M4:N4"/>
    <mergeCell ref="O4:P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75" zoomScaleNormal="65" zoomScaleSheetLayoutView="75" zoomScalePageLayoutView="0" workbookViewId="0" topLeftCell="A1">
      <selection activeCell="I12" sqref="I12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100" t="s">
        <v>103</v>
      </c>
      <c r="D1" s="100"/>
      <c r="E1" s="100"/>
      <c r="F1" s="10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164" t="s">
        <v>60</v>
      </c>
      <c r="D2" s="164"/>
      <c r="E2" s="164"/>
      <c r="F2" s="164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183" t="s">
        <v>2</v>
      </c>
      <c r="B4" s="183" t="s">
        <v>3</v>
      </c>
      <c r="C4" s="24" t="s">
        <v>22</v>
      </c>
      <c r="D4" s="25"/>
      <c r="E4" s="27"/>
      <c r="F4" s="24"/>
      <c r="G4" s="25"/>
      <c r="H4" s="25" t="s">
        <v>23</v>
      </c>
      <c r="I4" s="25"/>
      <c r="J4" s="25"/>
      <c r="K4" s="27"/>
      <c r="L4" s="20"/>
      <c r="M4" s="20"/>
    </row>
    <row r="5" spans="1:13" ht="15">
      <c r="A5" s="184"/>
      <c r="B5" s="184"/>
      <c r="C5" s="18">
        <v>2010</v>
      </c>
      <c r="D5" s="19">
        <v>2011</v>
      </c>
      <c r="E5" s="19" t="s">
        <v>94</v>
      </c>
      <c r="F5" s="24" t="s">
        <v>26</v>
      </c>
      <c r="G5" s="27"/>
      <c r="H5" s="24" t="s">
        <v>24</v>
      </c>
      <c r="I5" s="27"/>
      <c r="J5" s="24" t="s">
        <v>25</v>
      </c>
      <c r="K5" s="27"/>
      <c r="L5" s="20"/>
      <c r="M5" s="20"/>
    </row>
    <row r="6" spans="1:13" ht="15">
      <c r="A6" s="185"/>
      <c r="B6" s="185"/>
      <c r="C6" s="40"/>
      <c r="D6" s="11"/>
      <c r="E6" s="11" t="s">
        <v>95</v>
      </c>
      <c r="F6" s="18">
        <v>2010</v>
      </c>
      <c r="G6" s="19">
        <v>2011</v>
      </c>
      <c r="H6" s="18">
        <v>2010</v>
      </c>
      <c r="I6" s="19">
        <v>2011</v>
      </c>
      <c r="J6" s="18">
        <v>2010</v>
      </c>
      <c r="K6" s="19">
        <v>2011</v>
      </c>
      <c r="L6" s="20"/>
      <c r="M6" s="20"/>
    </row>
    <row r="7" spans="1:13" ht="16.5">
      <c r="A7" s="31">
        <v>1</v>
      </c>
      <c r="B7" s="31" t="s">
        <v>61</v>
      </c>
      <c r="C7" s="87">
        <v>31.1</v>
      </c>
      <c r="D7" s="87">
        <v>36.2</v>
      </c>
      <c r="E7" s="86">
        <f aca="true" t="shared" si="0" ref="E7:E21">D7*100/C7</f>
        <v>116.39871382636657</v>
      </c>
      <c r="F7" s="87">
        <v>30.5</v>
      </c>
      <c r="G7" s="87">
        <v>32.6</v>
      </c>
      <c r="H7" s="87"/>
      <c r="I7" s="87"/>
      <c r="J7" s="87">
        <v>0.6</v>
      </c>
      <c r="K7" s="87">
        <v>3.6</v>
      </c>
      <c r="L7" s="20"/>
      <c r="M7" s="20"/>
    </row>
    <row r="8" spans="1:13" ht="16.5">
      <c r="A8" s="31">
        <v>2</v>
      </c>
      <c r="B8" s="31" t="s">
        <v>62</v>
      </c>
      <c r="C8" s="87">
        <v>8.8</v>
      </c>
      <c r="D8" s="87">
        <v>17</v>
      </c>
      <c r="E8" s="86">
        <f t="shared" si="0"/>
        <v>193.18181818181816</v>
      </c>
      <c r="F8" s="87">
        <v>8</v>
      </c>
      <c r="G8" s="87">
        <v>17</v>
      </c>
      <c r="H8" s="87"/>
      <c r="I8" s="87"/>
      <c r="J8" s="87">
        <v>0.8</v>
      </c>
      <c r="K8" s="87"/>
      <c r="L8" s="20"/>
      <c r="M8" s="20"/>
    </row>
    <row r="9" spans="1:13" ht="16.5">
      <c r="A9" s="31">
        <v>3</v>
      </c>
      <c r="B9" s="31" t="s">
        <v>63</v>
      </c>
      <c r="C9" s="87">
        <v>6.1</v>
      </c>
      <c r="D9" s="87">
        <v>8.92</v>
      </c>
      <c r="E9" s="86">
        <f t="shared" si="0"/>
        <v>146.22950819672133</v>
      </c>
      <c r="F9" s="87">
        <v>5.6</v>
      </c>
      <c r="G9" s="87">
        <v>8.42</v>
      </c>
      <c r="H9" s="87"/>
      <c r="I9" s="87"/>
      <c r="J9" s="87">
        <v>0.5</v>
      </c>
      <c r="K9" s="87">
        <v>0.5</v>
      </c>
      <c r="L9" s="20"/>
      <c r="M9" s="20"/>
    </row>
    <row r="10" spans="1:13" ht="16.5">
      <c r="A10" s="31">
        <v>4</v>
      </c>
      <c r="B10" s="41" t="s">
        <v>64</v>
      </c>
      <c r="C10" s="87">
        <v>84.9</v>
      </c>
      <c r="D10" s="87">
        <v>121.8</v>
      </c>
      <c r="E10" s="86">
        <f t="shared" si="0"/>
        <v>143.46289752650176</v>
      </c>
      <c r="F10" s="87">
        <v>61.9</v>
      </c>
      <c r="G10" s="87">
        <v>89.7</v>
      </c>
      <c r="H10" s="87">
        <v>19.2</v>
      </c>
      <c r="I10" s="87">
        <v>28.9</v>
      </c>
      <c r="J10" s="87">
        <v>3.8</v>
      </c>
      <c r="K10" s="87">
        <v>3.2</v>
      </c>
      <c r="L10" s="20"/>
      <c r="M10" s="20"/>
    </row>
    <row r="11" spans="1:13" ht="16.5">
      <c r="A11" s="31">
        <v>5</v>
      </c>
      <c r="B11" s="31" t="s">
        <v>65</v>
      </c>
      <c r="C11" s="87">
        <v>61</v>
      </c>
      <c r="D11" s="87">
        <v>67.3</v>
      </c>
      <c r="E11" s="86">
        <f t="shared" si="0"/>
        <v>110.32786885245902</v>
      </c>
      <c r="F11" s="87">
        <v>38</v>
      </c>
      <c r="G11" s="87">
        <v>45</v>
      </c>
      <c r="H11" s="87">
        <v>16</v>
      </c>
      <c r="I11" s="87">
        <v>16.5</v>
      </c>
      <c r="J11" s="87">
        <v>7</v>
      </c>
      <c r="K11" s="87">
        <v>5.8</v>
      </c>
      <c r="L11" s="20"/>
      <c r="M11" s="20"/>
    </row>
    <row r="12" spans="1:13" ht="16.5">
      <c r="A12" s="31">
        <v>6</v>
      </c>
      <c r="B12" s="32" t="s">
        <v>81</v>
      </c>
      <c r="C12" s="87">
        <v>22.8</v>
      </c>
      <c r="D12" s="87">
        <v>29.1</v>
      </c>
      <c r="E12" s="86">
        <f t="shared" si="0"/>
        <v>127.63157894736841</v>
      </c>
      <c r="F12" s="88">
        <v>20.7</v>
      </c>
      <c r="G12" s="88">
        <v>28</v>
      </c>
      <c r="H12" s="88"/>
      <c r="I12" s="88"/>
      <c r="J12" s="88">
        <v>2.1</v>
      </c>
      <c r="K12" s="88">
        <v>1.1</v>
      </c>
      <c r="L12" s="20"/>
      <c r="M12" s="20"/>
    </row>
    <row r="13" spans="1:13" ht="16.5">
      <c r="A13" s="31">
        <v>7</v>
      </c>
      <c r="B13" s="32" t="s">
        <v>66</v>
      </c>
      <c r="C13" s="87">
        <v>8.72</v>
      </c>
      <c r="D13" s="87">
        <v>1</v>
      </c>
      <c r="E13" s="86">
        <f t="shared" si="0"/>
        <v>11.467889908256879</v>
      </c>
      <c r="F13" s="88">
        <v>8.27</v>
      </c>
      <c r="G13" s="88">
        <v>1</v>
      </c>
      <c r="H13" s="88"/>
      <c r="I13" s="88"/>
      <c r="J13" s="88">
        <v>0.45</v>
      </c>
      <c r="K13" s="88"/>
      <c r="L13" s="20"/>
      <c r="M13" s="20"/>
    </row>
    <row r="14" spans="1:13" ht="16.5">
      <c r="A14" s="31">
        <v>8</v>
      </c>
      <c r="B14" s="32" t="s">
        <v>102</v>
      </c>
      <c r="C14" s="87"/>
      <c r="D14" s="87">
        <v>3.76</v>
      </c>
      <c r="E14" s="86"/>
      <c r="F14" s="88"/>
      <c r="G14" s="88">
        <v>3.76</v>
      </c>
      <c r="H14" s="88"/>
      <c r="I14" s="88"/>
      <c r="J14" s="88"/>
      <c r="K14" s="88"/>
      <c r="L14" s="20"/>
      <c r="M14" s="20"/>
    </row>
    <row r="15" spans="1:13" ht="16.5">
      <c r="A15" s="31">
        <v>9</v>
      </c>
      <c r="B15" s="32" t="s">
        <v>80</v>
      </c>
      <c r="C15" s="87">
        <v>11.3</v>
      </c>
      <c r="D15" s="87">
        <v>18.49</v>
      </c>
      <c r="E15" s="86">
        <f t="shared" si="0"/>
        <v>163.62831858407077</v>
      </c>
      <c r="F15" s="88">
        <v>11</v>
      </c>
      <c r="G15" s="88">
        <v>16.7</v>
      </c>
      <c r="H15" s="88"/>
      <c r="I15" s="88"/>
      <c r="J15" s="88">
        <v>0.3</v>
      </c>
      <c r="K15" s="88">
        <v>1.79</v>
      </c>
      <c r="L15" s="20"/>
      <c r="M15" s="20"/>
    </row>
    <row r="16" spans="1:13" ht="16.5">
      <c r="A16" s="31">
        <v>10</v>
      </c>
      <c r="B16" s="32" t="s">
        <v>67</v>
      </c>
      <c r="C16" s="87">
        <v>18.06</v>
      </c>
      <c r="D16" s="87">
        <v>16.2</v>
      </c>
      <c r="E16" s="86">
        <f t="shared" si="0"/>
        <v>89.70099667774087</v>
      </c>
      <c r="F16" s="88">
        <v>14.96</v>
      </c>
      <c r="G16" s="88">
        <v>16.2</v>
      </c>
      <c r="H16" s="88"/>
      <c r="I16" s="88"/>
      <c r="J16" s="88">
        <v>3.1</v>
      </c>
      <c r="K16" s="88"/>
      <c r="L16" s="20"/>
      <c r="M16" s="20"/>
    </row>
    <row r="17" spans="1:13" ht="16.5">
      <c r="A17" s="31">
        <v>11</v>
      </c>
      <c r="B17" s="32" t="s">
        <v>68</v>
      </c>
      <c r="C17" s="87">
        <v>6.6</v>
      </c>
      <c r="D17" s="87">
        <v>13.8</v>
      </c>
      <c r="E17" s="86">
        <f t="shared" si="0"/>
        <v>209.0909090909091</v>
      </c>
      <c r="F17" s="88">
        <v>6.4</v>
      </c>
      <c r="G17" s="88">
        <v>13.4</v>
      </c>
      <c r="H17" s="88"/>
      <c r="I17" s="88"/>
      <c r="J17" s="88">
        <v>0.2</v>
      </c>
      <c r="K17" s="88">
        <v>0.4</v>
      </c>
      <c r="L17" s="20"/>
      <c r="M17" s="20"/>
    </row>
    <row r="18" spans="1:13" ht="16.5">
      <c r="A18" s="31">
        <v>12</v>
      </c>
      <c r="B18" s="32" t="s">
        <v>69</v>
      </c>
      <c r="C18" s="87">
        <v>676</v>
      </c>
      <c r="D18" s="87">
        <v>823</v>
      </c>
      <c r="E18" s="86">
        <f t="shared" si="0"/>
        <v>121.74556213017752</v>
      </c>
      <c r="F18" s="88"/>
      <c r="G18" s="88"/>
      <c r="H18" s="88">
        <v>676</v>
      </c>
      <c r="I18" s="88">
        <v>823</v>
      </c>
      <c r="J18" s="88"/>
      <c r="K18" s="88"/>
      <c r="L18" s="20"/>
      <c r="M18" s="20"/>
    </row>
    <row r="19" spans="1:13" ht="16.5">
      <c r="A19" s="31">
        <v>13</v>
      </c>
      <c r="B19" s="32" t="s">
        <v>91</v>
      </c>
      <c r="C19" s="87"/>
      <c r="D19" s="87">
        <v>0.5</v>
      </c>
      <c r="E19" s="86"/>
      <c r="F19" s="88"/>
      <c r="G19" s="88"/>
      <c r="H19" s="88"/>
      <c r="I19" s="88">
        <v>0.5</v>
      </c>
      <c r="J19" s="88"/>
      <c r="K19" s="88"/>
      <c r="L19" s="20"/>
      <c r="M19" s="20"/>
    </row>
    <row r="20" spans="1:13" ht="18">
      <c r="A20" s="31">
        <v>14</v>
      </c>
      <c r="B20" s="32" t="s">
        <v>78</v>
      </c>
      <c r="C20" s="87">
        <v>3</v>
      </c>
      <c r="D20" s="87">
        <v>3.2</v>
      </c>
      <c r="E20" s="86">
        <f t="shared" si="0"/>
        <v>106.66666666666667</v>
      </c>
      <c r="F20" s="16"/>
      <c r="G20" s="88"/>
      <c r="H20" s="16"/>
      <c r="I20" s="88"/>
      <c r="J20" s="88">
        <v>3</v>
      </c>
      <c r="K20" s="88">
        <v>3.2</v>
      </c>
      <c r="L20" s="20"/>
      <c r="M20" s="20"/>
    </row>
    <row r="21" spans="1:13" ht="16.5">
      <c r="A21" s="132" t="s">
        <v>11</v>
      </c>
      <c r="B21" s="133"/>
      <c r="C21" s="90">
        <f>SUM(C7:C20)</f>
        <v>938.3800000000001</v>
      </c>
      <c r="D21" s="90">
        <f>SUM(D7:D20)</f>
        <v>1160.2700000000002</v>
      </c>
      <c r="E21" s="86">
        <f t="shared" si="0"/>
        <v>123.64607088812635</v>
      </c>
      <c r="F21" s="89">
        <f>SUM(F7:F18)</f>
        <v>205.33</v>
      </c>
      <c r="G21" s="90">
        <f>SUM(G7:G18)</f>
        <v>271.78</v>
      </c>
      <c r="H21" s="90">
        <f>SUM(H7:H20)</f>
        <v>711.2</v>
      </c>
      <c r="I21" s="90">
        <f>SUM(I7:I20)</f>
        <v>868.9</v>
      </c>
      <c r="J21" s="90">
        <f>SUM(J7:J20)</f>
        <v>21.849999999999998</v>
      </c>
      <c r="K21" s="90">
        <f>SUM(K7:K20)</f>
        <v>19.589999999999996</v>
      </c>
      <c r="L21" s="20"/>
      <c r="M21" s="20"/>
    </row>
  </sheetData>
  <sheetProtection/>
  <mergeCells count="4">
    <mergeCell ref="C2:F2"/>
    <mergeCell ref="A21:B21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L15" sqref="L15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 t="s">
        <v>58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81"/>
      <c r="B4" s="23" t="s">
        <v>3</v>
      </c>
      <c r="C4" s="26" t="s">
        <v>71</v>
      </c>
      <c r="D4" s="110"/>
      <c r="E4" s="110"/>
      <c r="F4" s="108"/>
      <c r="G4" s="108"/>
      <c r="H4" s="111"/>
      <c r="I4" s="103" t="s">
        <v>49</v>
      </c>
      <c r="J4" s="108"/>
      <c r="K4" s="110"/>
      <c r="L4" s="108"/>
      <c r="M4" s="108"/>
      <c r="N4" s="111"/>
      <c r="O4" s="103" t="s">
        <v>50</v>
      </c>
      <c r="P4" s="108"/>
      <c r="Q4" s="110"/>
      <c r="R4" s="108"/>
      <c r="S4" s="108"/>
      <c r="T4" s="111"/>
    </row>
    <row r="5" spans="1:20" ht="15" customHeight="1">
      <c r="A5" s="82" t="s">
        <v>2</v>
      </c>
      <c r="B5" s="33"/>
      <c r="C5" s="25" t="s">
        <v>51</v>
      </c>
      <c r="D5" s="108"/>
      <c r="E5" s="136" t="s">
        <v>100</v>
      </c>
      <c r="F5" s="103" t="s">
        <v>52</v>
      </c>
      <c r="G5" s="107"/>
      <c r="H5" s="136" t="s">
        <v>100</v>
      </c>
      <c r="I5" s="141" t="s">
        <v>51</v>
      </c>
      <c r="J5" s="141"/>
      <c r="K5" s="136" t="s">
        <v>100</v>
      </c>
      <c r="L5" s="141" t="s">
        <v>52</v>
      </c>
      <c r="M5" s="141"/>
      <c r="N5" s="136" t="s">
        <v>100</v>
      </c>
      <c r="O5" s="108" t="s">
        <v>51</v>
      </c>
      <c r="P5" s="108"/>
      <c r="Q5" s="136" t="s">
        <v>100</v>
      </c>
      <c r="R5" s="142" t="s">
        <v>52</v>
      </c>
      <c r="S5" s="143"/>
      <c r="T5" s="136" t="s">
        <v>100</v>
      </c>
    </row>
    <row r="6" spans="1:20" ht="15">
      <c r="A6" s="82" t="s">
        <v>77</v>
      </c>
      <c r="B6" s="33"/>
      <c r="C6" s="139">
        <v>2010</v>
      </c>
      <c r="D6" s="134">
        <v>2011</v>
      </c>
      <c r="E6" s="137"/>
      <c r="F6" s="134">
        <v>2010</v>
      </c>
      <c r="G6" s="134">
        <v>2011</v>
      </c>
      <c r="H6" s="137"/>
      <c r="I6" s="134">
        <v>2010</v>
      </c>
      <c r="J6" s="134">
        <v>2011</v>
      </c>
      <c r="K6" s="137"/>
      <c r="L6" s="134">
        <v>2010</v>
      </c>
      <c r="M6" s="134">
        <v>2011</v>
      </c>
      <c r="N6" s="137"/>
      <c r="O6" s="134">
        <v>2010</v>
      </c>
      <c r="P6" s="134">
        <v>2011</v>
      </c>
      <c r="Q6" s="137"/>
      <c r="R6" s="134">
        <v>2010</v>
      </c>
      <c r="S6" s="134">
        <v>2011</v>
      </c>
      <c r="T6" s="137"/>
    </row>
    <row r="7" spans="1:20" ht="15">
      <c r="A7" s="83"/>
      <c r="B7" s="29"/>
      <c r="C7" s="140"/>
      <c r="D7" s="135"/>
      <c r="E7" s="138"/>
      <c r="F7" s="135"/>
      <c r="G7" s="135"/>
      <c r="H7" s="138"/>
      <c r="I7" s="135"/>
      <c r="J7" s="135"/>
      <c r="K7" s="138"/>
      <c r="L7" s="135"/>
      <c r="M7" s="135"/>
      <c r="N7" s="138"/>
      <c r="O7" s="135"/>
      <c r="P7" s="135"/>
      <c r="Q7" s="138"/>
      <c r="R7" s="135"/>
      <c r="S7" s="135"/>
      <c r="T7" s="138"/>
    </row>
    <row r="8" spans="1:20" ht="15">
      <c r="A8" s="2">
        <v>1</v>
      </c>
      <c r="B8" s="22" t="s">
        <v>61</v>
      </c>
      <c r="C8" s="3">
        <v>268</v>
      </c>
      <c r="D8" s="3">
        <v>238</v>
      </c>
      <c r="E8" s="36">
        <f aca="true" t="shared" si="0" ref="E8:E18">D8/C8*100</f>
        <v>88.80597014925374</v>
      </c>
      <c r="F8" s="3"/>
      <c r="G8" s="3"/>
      <c r="H8" s="36"/>
      <c r="I8" s="3">
        <v>56113</v>
      </c>
      <c r="J8" s="3">
        <v>56936</v>
      </c>
      <c r="K8" s="36">
        <f>J8*100/I8</f>
        <v>101.46668329977011</v>
      </c>
      <c r="L8" s="3"/>
      <c r="M8" s="3"/>
      <c r="N8" s="36"/>
      <c r="O8" s="36">
        <f aca="true" t="shared" si="1" ref="O8:O18">C8/I8*100000</f>
        <v>477.6076844937893</v>
      </c>
      <c r="P8" s="36">
        <f aca="true" t="shared" si="2" ref="P8:P17">D8/J8*100000</f>
        <v>418.0132078122805</v>
      </c>
      <c r="Q8" s="36">
        <f aca="true" t="shared" si="3" ref="Q8:Q18">P8/O8*100</f>
        <v>87.52229526108394</v>
      </c>
      <c r="R8" s="36"/>
      <c r="S8" s="36"/>
      <c r="T8" s="36"/>
    </row>
    <row r="9" spans="1:20" ht="15">
      <c r="A9" s="2">
        <v>2</v>
      </c>
      <c r="B9" s="22" t="s">
        <v>62</v>
      </c>
      <c r="C9" s="3">
        <v>79.26</v>
      </c>
      <c r="D9" s="3">
        <v>136</v>
      </c>
      <c r="E9" s="36">
        <f t="shared" si="0"/>
        <v>171.58718142821095</v>
      </c>
      <c r="F9" s="3"/>
      <c r="G9" s="3"/>
      <c r="H9" s="36"/>
      <c r="I9" s="3">
        <v>33715</v>
      </c>
      <c r="J9" s="3">
        <v>41342</v>
      </c>
      <c r="K9" s="36">
        <f aca="true" t="shared" si="4" ref="K9:K21">J9*100/I9</f>
        <v>122.62197834791635</v>
      </c>
      <c r="L9" s="3"/>
      <c r="M9" s="3"/>
      <c r="N9" s="36"/>
      <c r="O9" s="36">
        <f t="shared" si="1"/>
        <v>235.0882396559395</v>
      </c>
      <c r="P9" s="36">
        <f t="shared" si="2"/>
        <v>328.9632818925064</v>
      </c>
      <c r="Q9" s="36">
        <f t="shared" si="3"/>
        <v>139.9318325637882</v>
      </c>
      <c r="R9" s="36"/>
      <c r="S9" s="36"/>
      <c r="T9" s="36"/>
    </row>
    <row r="10" spans="1:20" ht="15">
      <c r="A10" s="2">
        <v>3</v>
      </c>
      <c r="B10" s="37" t="s">
        <v>63</v>
      </c>
      <c r="C10" s="19">
        <v>69</v>
      </c>
      <c r="D10" s="19">
        <v>97</v>
      </c>
      <c r="E10" s="36">
        <f t="shared" si="0"/>
        <v>140.57971014492753</v>
      </c>
      <c r="F10" s="19"/>
      <c r="G10" s="19"/>
      <c r="H10" s="36"/>
      <c r="I10" s="3">
        <v>12764</v>
      </c>
      <c r="J10" s="3">
        <v>15905</v>
      </c>
      <c r="K10" s="36">
        <f t="shared" si="4"/>
        <v>124.60827326856784</v>
      </c>
      <c r="L10" s="19"/>
      <c r="M10" s="19"/>
      <c r="N10" s="92"/>
      <c r="O10" s="36">
        <f t="shared" si="1"/>
        <v>540.582889376371</v>
      </c>
      <c r="P10" s="36">
        <f t="shared" si="2"/>
        <v>609.8711097139264</v>
      </c>
      <c r="Q10" s="36">
        <f t="shared" si="3"/>
        <v>112.81731658534142</v>
      </c>
      <c r="R10" s="92"/>
      <c r="S10" s="92"/>
      <c r="T10" s="92"/>
    </row>
    <row r="11" spans="1:20" ht="15">
      <c r="A11" s="2">
        <v>4</v>
      </c>
      <c r="B11" s="22" t="s">
        <v>64</v>
      </c>
      <c r="C11" s="3">
        <v>578.3</v>
      </c>
      <c r="D11" s="3">
        <v>647</v>
      </c>
      <c r="E11" s="36">
        <f t="shared" si="0"/>
        <v>111.87964724191598</v>
      </c>
      <c r="F11" s="3">
        <v>204.7</v>
      </c>
      <c r="G11" s="3">
        <v>273.8</v>
      </c>
      <c r="H11" s="36">
        <f>G11/F11*100</f>
        <v>133.75671714704447</v>
      </c>
      <c r="I11" s="3">
        <v>156976</v>
      </c>
      <c r="J11" s="3">
        <v>151110</v>
      </c>
      <c r="K11" s="36">
        <f t="shared" si="4"/>
        <v>96.26312302517583</v>
      </c>
      <c r="L11" s="3">
        <v>61722</v>
      </c>
      <c r="M11" s="3">
        <v>63690</v>
      </c>
      <c r="N11" s="36">
        <f>M11/L11*100</f>
        <v>103.18849032759793</v>
      </c>
      <c r="O11" s="36">
        <f t="shared" si="1"/>
        <v>368.4002650086637</v>
      </c>
      <c r="P11" s="36">
        <f t="shared" si="2"/>
        <v>428.1649129773013</v>
      </c>
      <c r="Q11" s="36">
        <f t="shared" si="3"/>
        <v>116.22274836507842</v>
      </c>
      <c r="R11" s="36">
        <f>F11/L11*100000</f>
        <v>331.6483587699686</v>
      </c>
      <c r="S11" s="36">
        <f>G11/M11*100000</f>
        <v>429.8948029517978</v>
      </c>
      <c r="T11" s="36">
        <f>S11/R11*100</f>
        <v>129.6236786897453</v>
      </c>
    </row>
    <row r="12" spans="1:20" ht="15">
      <c r="A12" s="2">
        <v>5</v>
      </c>
      <c r="B12" s="22" t="s">
        <v>65</v>
      </c>
      <c r="C12" s="93">
        <v>329</v>
      </c>
      <c r="D12" s="93">
        <v>212</v>
      </c>
      <c r="E12" s="94">
        <f t="shared" si="0"/>
        <v>64.43768996960486</v>
      </c>
      <c r="F12" s="93">
        <v>99</v>
      </c>
      <c r="G12" s="93">
        <v>171</v>
      </c>
      <c r="H12" s="36">
        <f>G12/F12*100</f>
        <v>172.72727272727272</v>
      </c>
      <c r="I12" s="3">
        <v>65531</v>
      </c>
      <c r="J12" s="3">
        <v>44145</v>
      </c>
      <c r="K12" s="36">
        <f t="shared" si="4"/>
        <v>67.36506386290458</v>
      </c>
      <c r="L12" s="3">
        <v>32013</v>
      </c>
      <c r="M12" s="3">
        <v>47381</v>
      </c>
      <c r="N12" s="36">
        <f>M12/L12*100</f>
        <v>148.00549776653236</v>
      </c>
      <c r="O12" s="36">
        <f t="shared" si="1"/>
        <v>502.05246371946106</v>
      </c>
      <c r="P12" s="36">
        <f t="shared" si="2"/>
        <v>480.2355872692264</v>
      </c>
      <c r="Q12" s="36">
        <f t="shared" si="3"/>
        <v>95.65446282474065</v>
      </c>
      <c r="R12" s="36">
        <f>F12/L12*100000</f>
        <v>309.2493674444757</v>
      </c>
      <c r="S12" s="36">
        <f>G12/M12*100000</f>
        <v>360.9041598953167</v>
      </c>
      <c r="T12" s="36">
        <f>S12/R12*100</f>
        <v>116.70328152251285</v>
      </c>
    </row>
    <row r="13" spans="1:20" ht="15">
      <c r="A13" s="2">
        <v>6</v>
      </c>
      <c r="B13" s="38" t="s">
        <v>81</v>
      </c>
      <c r="C13" s="93">
        <v>133</v>
      </c>
      <c r="D13" s="93">
        <v>153</v>
      </c>
      <c r="E13" s="94">
        <f t="shared" si="0"/>
        <v>115.0375939849624</v>
      </c>
      <c r="F13" s="93"/>
      <c r="G13" s="93"/>
      <c r="H13" s="94"/>
      <c r="I13" s="93">
        <v>42184</v>
      </c>
      <c r="J13" s="93">
        <v>42086</v>
      </c>
      <c r="K13" s="36">
        <f t="shared" si="4"/>
        <v>99.76768443011568</v>
      </c>
      <c r="L13" s="93"/>
      <c r="M13" s="93"/>
      <c r="N13" s="94"/>
      <c r="O13" s="36">
        <f t="shared" si="1"/>
        <v>315.28541627157216</v>
      </c>
      <c r="P13" s="36">
        <f t="shared" si="2"/>
        <v>363.54132015397045</v>
      </c>
      <c r="Q13" s="36">
        <f t="shared" si="3"/>
        <v>115.3054665366548</v>
      </c>
      <c r="R13" s="36"/>
      <c r="S13" s="36"/>
      <c r="T13" s="94"/>
    </row>
    <row r="14" spans="1:20" ht="15">
      <c r="A14" s="2">
        <v>7</v>
      </c>
      <c r="B14" s="38" t="s">
        <v>66</v>
      </c>
      <c r="C14" s="93">
        <v>106.5</v>
      </c>
      <c r="D14" s="93">
        <v>52.7</v>
      </c>
      <c r="E14" s="94">
        <f t="shared" si="0"/>
        <v>49.483568075117375</v>
      </c>
      <c r="F14" s="93"/>
      <c r="G14" s="93"/>
      <c r="H14" s="94"/>
      <c r="I14" s="93">
        <v>29828</v>
      </c>
      <c r="J14" s="93">
        <v>22350</v>
      </c>
      <c r="K14" s="36">
        <f t="shared" si="4"/>
        <v>74.92959635242055</v>
      </c>
      <c r="L14" s="93"/>
      <c r="M14" s="93"/>
      <c r="N14" s="94"/>
      <c r="O14" s="36">
        <f t="shared" si="1"/>
        <v>357.0470698672388</v>
      </c>
      <c r="P14" s="36">
        <f t="shared" si="2"/>
        <v>235.79418344519019</v>
      </c>
      <c r="Q14" s="94">
        <f t="shared" si="3"/>
        <v>66.04008360378529</v>
      </c>
      <c r="R14" s="36"/>
      <c r="S14" s="3"/>
      <c r="T14" s="94"/>
    </row>
    <row r="15" spans="1:20" ht="15">
      <c r="A15" s="2">
        <v>8</v>
      </c>
      <c r="B15" s="32" t="s">
        <v>102</v>
      </c>
      <c r="C15" s="93"/>
      <c r="D15" s="93">
        <v>69.2</v>
      </c>
      <c r="E15" s="94"/>
      <c r="F15" s="93"/>
      <c r="G15" s="93"/>
      <c r="H15" s="94"/>
      <c r="I15" s="93"/>
      <c r="J15" s="93">
        <v>19931</v>
      </c>
      <c r="K15" s="36"/>
      <c r="L15" s="93"/>
      <c r="M15" s="93"/>
      <c r="N15" s="94"/>
      <c r="O15" s="36"/>
      <c r="P15" s="36">
        <f t="shared" si="2"/>
        <v>347.1978325222016</v>
      </c>
      <c r="Q15" s="94"/>
      <c r="R15" s="36"/>
      <c r="S15" s="3"/>
      <c r="T15" s="94"/>
    </row>
    <row r="16" spans="1:20" s="72" customFormat="1" ht="15">
      <c r="A16" s="2">
        <v>9</v>
      </c>
      <c r="B16" s="32" t="s">
        <v>80</v>
      </c>
      <c r="C16" s="95">
        <v>249</v>
      </c>
      <c r="D16" s="95">
        <v>127.61</v>
      </c>
      <c r="E16" s="96">
        <f t="shared" si="0"/>
        <v>51.24899598393574</v>
      </c>
      <c r="F16" s="95"/>
      <c r="G16" s="95"/>
      <c r="H16" s="96"/>
      <c r="I16" s="95">
        <v>39730</v>
      </c>
      <c r="J16" s="95">
        <v>31441</v>
      </c>
      <c r="K16" s="36">
        <f t="shared" si="4"/>
        <v>79.13667253964259</v>
      </c>
      <c r="L16" s="95"/>
      <c r="M16" s="95"/>
      <c r="N16" s="96"/>
      <c r="O16" s="36">
        <f t="shared" si="1"/>
        <v>626.7304304052353</v>
      </c>
      <c r="P16" s="36">
        <f t="shared" si="2"/>
        <v>405.8713145256194</v>
      </c>
      <c r="Q16" s="96">
        <f t="shared" si="3"/>
        <v>64.76010974338499</v>
      </c>
      <c r="R16" s="36"/>
      <c r="S16" s="36"/>
      <c r="T16" s="36"/>
    </row>
    <row r="17" spans="1:20" ht="15">
      <c r="A17" s="2">
        <v>10</v>
      </c>
      <c r="B17" s="38" t="s">
        <v>67</v>
      </c>
      <c r="C17" s="93">
        <v>120</v>
      </c>
      <c r="D17" s="93">
        <v>180</v>
      </c>
      <c r="E17" s="94">
        <f t="shared" si="0"/>
        <v>150</v>
      </c>
      <c r="F17" s="93"/>
      <c r="G17" s="93"/>
      <c r="H17" s="94"/>
      <c r="I17" s="93">
        <v>33728</v>
      </c>
      <c r="J17" s="93">
        <v>42454</v>
      </c>
      <c r="K17" s="36">
        <f t="shared" si="4"/>
        <v>125.87167931688805</v>
      </c>
      <c r="L17" s="93"/>
      <c r="M17" s="93"/>
      <c r="N17" s="94"/>
      <c r="O17" s="36">
        <f t="shared" si="1"/>
        <v>355.7874762808349</v>
      </c>
      <c r="P17" s="36">
        <f t="shared" si="2"/>
        <v>423.98831676638247</v>
      </c>
      <c r="Q17" s="94">
        <f t="shared" si="3"/>
        <v>119.16898289913792</v>
      </c>
      <c r="R17" s="36"/>
      <c r="S17" s="36"/>
      <c r="T17" s="94"/>
    </row>
    <row r="18" spans="1:20" ht="15">
      <c r="A18" s="2">
        <v>11</v>
      </c>
      <c r="B18" s="38" t="s">
        <v>68</v>
      </c>
      <c r="C18" s="93">
        <v>64.1</v>
      </c>
      <c r="D18" s="93">
        <v>67.1</v>
      </c>
      <c r="E18" s="94">
        <f t="shared" si="0"/>
        <v>104.6801872074883</v>
      </c>
      <c r="F18" s="93"/>
      <c r="G18" s="93"/>
      <c r="H18" s="94"/>
      <c r="I18" s="93">
        <v>12040</v>
      </c>
      <c r="J18" s="93">
        <v>12430</v>
      </c>
      <c r="K18" s="36">
        <f t="shared" si="4"/>
        <v>103.23920265780731</v>
      </c>
      <c r="L18" s="93"/>
      <c r="M18" s="93"/>
      <c r="N18" s="94"/>
      <c r="O18" s="36">
        <f t="shared" si="1"/>
        <v>532.392026578073</v>
      </c>
      <c r="P18" s="36">
        <f>D18/J18*100000</f>
        <v>539.8230088495575</v>
      </c>
      <c r="Q18" s="94">
        <f t="shared" si="3"/>
        <v>101.3957726450651</v>
      </c>
      <c r="R18" s="36"/>
      <c r="S18" s="36"/>
      <c r="T18" s="94"/>
    </row>
    <row r="19" spans="1:20" ht="15">
      <c r="A19" s="2">
        <v>12</v>
      </c>
      <c r="B19" s="84" t="s">
        <v>69</v>
      </c>
      <c r="C19" s="93"/>
      <c r="D19" s="93"/>
      <c r="E19" s="94"/>
      <c r="F19" s="93">
        <v>7223</v>
      </c>
      <c r="G19" s="93">
        <v>8350</v>
      </c>
      <c r="H19" s="94">
        <f>G19/F19*100</f>
        <v>115.60293506853108</v>
      </c>
      <c r="I19" s="3"/>
      <c r="J19" s="93"/>
      <c r="K19" s="36"/>
      <c r="L19" s="93">
        <v>1908836</v>
      </c>
      <c r="M19" s="93">
        <v>2231598</v>
      </c>
      <c r="N19" s="94">
        <f>M19/L19*100</f>
        <v>116.90883868493678</v>
      </c>
      <c r="O19" s="36"/>
      <c r="P19" s="36"/>
      <c r="Q19" s="94"/>
      <c r="R19" s="36">
        <f>F19/L19*100000</f>
        <v>378.3981442093506</v>
      </c>
      <c r="S19" s="36">
        <f>G19/M19*100000</f>
        <v>374.17133372587716</v>
      </c>
      <c r="T19" s="94">
        <f>S19/R19*100</f>
        <v>98.88297272379461</v>
      </c>
    </row>
    <row r="20" spans="1:20" ht="15">
      <c r="A20" s="2">
        <v>13</v>
      </c>
      <c r="B20" s="32" t="s">
        <v>91</v>
      </c>
      <c r="C20" s="102"/>
      <c r="D20" s="93"/>
      <c r="E20" s="94"/>
      <c r="F20" s="93">
        <v>8</v>
      </c>
      <c r="G20" s="93">
        <v>20</v>
      </c>
      <c r="H20" s="94"/>
      <c r="I20" s="3"/>
      <c r="J20" s="93"/>
      <c r="K20" s="36"/>
      <c r="L20" s="93">
        <v>8569</v>
      </c>
      <c r="M20" s="93">
        <v>21674</v>
      </c>
      <c r="N20" s="94"/>
      <c r="O20" s="36"/>
      <c r="P20" s="36"/>
      <c r="Q20" s="94"/>
      <c r="R20" s="36"/>
      <c r="S20" s="36">
        <f>G20/M20*100000</f>
        <v>92.27646027498385</v>
      </c>
      <c r="T20" s="94"/>
    </row>
    <row r="21" spans="1:20" ht="15">
      <c r="A21" s="85"/>
      <c r="B21" s="27" t="s">
        <v>11</v>
      </c>
      <c r="C21" s="97">
        <f>SUM(C8:C19)</f>
        <v>1996.1599999999999</v>
      </c>
      <c r="D21" s="3">
        <f>SUM(D8:D19)</f>
        <v>1979.61</v>
      </c>
      <c r="E21" s="36">
        <f>D21/C21*100</f>
        <v>99.17090814363578</v>
      </c>
      <c r="F21" s="36">
        <f>SUM(F11:F20)</f>
        <v>7534.7</v>
      </c>
      <c r="G21" s="3">
        <f>SUM(G8:G20)</f>
        <v>8814.8</v>
      </c>
      <c r="H21" s="36">
        <f>G21/F21*100</f>
        <v>116.98939572909339</v>
      </c>
      <c r="I21" s="3">
        <f>SUM(I8:I18)</f>
        <v>482609</v>
      </c>
      <c r="J21" s="3">
        <f>SUM(J8:J19)</f>
        <v>480130</v>
      </c>
      <c r="K21" s="36">
        <f t="shared" si="4"/>
        <v>99.48633365726707</v>
      </c>
      <c r="L21" s="3">
        <f>SUM(L11:L20)</f>
        <v>2011140</v>
      </c>
      <c r="M21" s="3">
        <f>SUM(M8:M20)</f>
        <v>2364343</v>
      </c>
      <c r="N21" s="36">
        <f>M21/L21*100</f>
        <v>117.56232783396482</v>
      </c>
      <c r="O21" s="36">
        <f>C21/I21*100000</f>
        <v>413.61847789825714</v>
      </c>
      <c r="P21" s="36">
        <f>D21/J21*100000</f>
        <v>412.30708349821924</v>
      </c>
      <c r="Q21" s="36">
        <f>P21/O21*100</f>
        <v>99.68294588609736</v>
      </c>
      <c r="R21" s="36">
        <f>F21/L21*100000</f>
        <v>374.6482094732341</v>
      </c>
      <c r="S21" s="36">
        <f>G21/M21*100000</f>
        <v>372.8223865995754</v>
      </c>
      <c r="T21" s="36">
        <f>S21/R21*100</f>
        <v>99.5126567196929</v>
      </c>
    </row>
  </sheetData>
  <sheetProtection/>
  <mergeCells count="21">
    <mergeCell ref="T5:T7"/>
    <mergeCell ref="L5:M5"/>
    <mergeCell ref="R5:S5"/>
    <mergeCell ref="L6:L7"/>
    <mergeCell ref="M6:M7"/>
    <mergeCell ref="Q5:Q7"/>
    <mergeCell ref="N5:N7"/>
    <mergeCell ref="P6:P7"/>
    <mergeCell ref="J6:J7"/>
    <mergeCell ref="F6:F7"/>
    <mergeCell ref="S6:S7"/>
    <mergeCell ref="I6:I7"/>
    <mergeCell ref="R6:R7"/>
    <mergeCell ref="G6:G7"/>
    <mergeCell ref="H5:H7"/>
    <mergeCell ref="O6:O7"/>
    <mergeCell ref="C6:C7"/>
    <mergeCell ref="D6:D7"/>
    <mergeCell ref="K5:K7"/>
    <mergeCell ref="E5:E7"/>
    <mergeCell ref="I5:J5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50" zoomScaleSheetLayoutView="75" zoomScalePageLayoutView="0" workbookViewId="0" topLeftCell="A1">
      <selection activeCell="K18" sqref="K18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5" customWidth="1"/>
  </cols>
  <sheetData>
    <row r="1" ht="15.75">
      <c r="C1" s="1" t="s">
        <v>110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57</v>
      </c>
      <c r="I2" s="20"/>
      <c r="J2" s="20"/>
      <c r="K2" s="20"/>
      <c r="L2" s="20"/>
    </row>
    <row r="3" spans="1:14" ht="15" customHeight="1">
      <c r="A3" s="23" t="s">
        <v>2</v>
      </c>
      <c r="B3" s="23" t="s">
        <v>3</v>
      </c>
      <c r="C3" s="25"/>
      <c r="D3" s="25" t="s">
        <v>54</v>
      </c>
      <c r="E3" s="27"/>
      <c r="F3" s="144" t="s">
        <v>10</v>
      </c>
      <c r="G3" s="145"/>
      <c r="H3" s="146"/>
      <c r="I3" s="25" t="s">
        <v>6</v>
      </c>
      <c r="J3" s="21" t="s">
        <v>7</v>
      </c>
      <c r="K3" s="149" t="s">
        <v>74</v>
      </c>
      <c r="L3" s="150"/>
      <c r="M3" s="151"/>
      <c r="N3" s="147"/>
    </row>
    <row r="4" spans="1:14" ht="15">
      <c r="A4" s="33"/>
      <c r="B4" s="33"/>
      <c r="C4" s="9">
        <v>2010</v>
      </c>
      <c r="D4" s="42">
        <v>2011</v>
      </c>
      <c r="E4" s="19" t="s">
        <v>4</v>
      </c>
      <c r="F4" s="9">
        <v>2010</v>
      </c>
      <c r="G4" s="42">
        <v>2011</v>
      </c>
      <c r="H4" s="19" t="s">
        <v>4</v>
      </c>
      <c r="I4" s="9">
        <v>2010</v>
      </c>
      <c r="J4" s="42">
        <v>2011</v>
      </c>
      <c r="K4" s="152" t="s">
        <v>1</v>
      </c>
      <c r="L4" s="152" t="s">
        <v>75</v>
      </c>
      <c r="M4" s="154" t="s">
        <v>76</v>
      </c>
      <c r="N4" s="148"/>
    </row>
    <row r="5" spans="1:14" ht="15">
      <c r="A5" s="29"/>
      <c r="B5" s="29"/>
      <c r="C5" s="28"/>
      <c r="D5" s="35"/>
      <c r="E5" s="11">
        <v>2010</v>
      </c>
      <c r="F5" s="28"/>
      <c r="G5" s="35"/>
      <c r="H5" s="11">
        <v>2010</v>
      </c>
      <c r="I5" s="35"/>
      <c r="J5" s="29"/>
      <c r="K5" s="153"/>
      <c r="L5" s="153"/>
      <c r="M5" s="154"/>
      <c r="N5" s="148"/>
    </row>
    <row r="6" spans="1:14" ht="15">
      <c r="A6" s="3">
        <v>1</v>
      </c>
      <c r="B6" s="22" t="s">
        <v>61</v>
      </c>
      <c r="C6" s="3"/>
      <c r="D6" s="3"/>
      <c r="E6" s="36"/>
      <c r="F6" s="3">
        <v>28</v>
      </c>
      <c r="G6" s="3">
        <v>17</v>
      </c>
      <c r="H6" s="94">
        <f aca="true" t="shared" si="0" ref="H6:H18">G6*100/F6</f>
        <v>60.714285714285715</v>
      </c>
      <c r="I6" s="36">
        <f>F6+(C6*0.2)+('численность 1'!M6*0.3)+'численность 1'!G6+(('численность 1'!C6-'численность 1'!G6)*0.6)</f>
        <v>316</v>
      </c>
      <c r="J6" s="36">
        <f>G6+(D6*0.2)+('численность 1'!N6*0.3)+'численность 1'!H6+(('численность 1'!D6-'численность 1'!H6)*0.6)</f>
        <v>283.4</v>
      </c>
      <c r="K6" s="3">
        <v>6225</v>
      </c>
      <c r="L6" s="3">
        <v>1369</v>
      </c>
      <c r="M6" s="36"/>
      <c r="N6" s="80"/>
    </row>
    <row r="7" spans="1:14" ht="15">
      <c r="A7" s="3">
        <v>2</v>
      </c>
      <c r="B7" s="22" t="s">
        <v>62</v>
      </c>
      <c r="C7" s="3"/>
      <c r="D7" s="3"/>
      <c r="E7" s="36"/>
      <c r="F7" s="3">
        <v>5</v>
      </c>
      <c r="G7" s="3">
        <v>5</v>
      </c>
      <c r="H7" s="94">
        <f t="shared" si="0"/>
        <v>100</v>
      </c>
      <c r="I7" s="36">
        <f>F7+(C7*0.2)+('численность 1'!M7*0.3)+'численность 1'!G7+(('численность 1'!C7-'численность 1'!G7)*0.6)</f>
        <v>178.39999999999998</v>
      </c>
      <c r="J7" s="36">
        <f>G7+(D7*0.2)+('численность 1'!N7*0.3)+'численность 1'!H7+(('численность 1'!D7-'численность 1'!H7)*0.6)</f>
        <v>171.2</v>
      </c>
      <c r="K7" s="3">
        <v>10022</v>
      </c>
      <c r="L7" s="3">
        <v>2024</v>
      </c>
      <c r="M7" s="36"/>
      <c r="N7" s="80"/>
    </row>
    <row r="8" spans="1:14" ht="15">
      <c r="A8" s="3">
        <v>3</v>
      </c>
      <c r="B8" s="22" t="s">
        <v>63</v>
      </c>
      <c r="C8" s="3"/>
      <c r="D8" s="3"/>
      <c r="E8" s="36"/>
      <c r="F8" s="3">
        <v>1</v>
      </c>
      <c r="G8" s="3">
        <v>1</v>
      </c>
      <c r="H8" s="94">
        <f t="shared" si="0"/>
        <v>100</v>
      </c>
      <c r="I8" s="36">
        <f>F8+(C8*0.2)+('численность 1'!M8*0.3)+'численность 1'!G8+(('численность 1'!C8-'численность 1'!G8)*0.6)</f>
        <v>93.4</v>
      </c>
      <c r="J8" s="36">
        <f>G8+(D8*0.2)+('численность 1'!N8*0.3)+'численность 1'!H8+(('численность 1'!D8-'численность 1'!H8)*0.6)</f>
        <v>98.19999999999999</v>
      </c>
      <c r="K8" s="3">
        <v>1579</v>
      </c>
      <c r="L8" s="3">
        <v>440</v>
      </c>
      <c r="M8" s="36"/>
      <c r="N8" s="80"/>
    </row>
    <row r="9" spans="1:14" ht="15">
      <c r="A9" s="3">
        <v>4</v>
      </c>
      <c r="B9" s="22" t="s">
        <v>64</v>
      </c>
      <c r="C9" s="3"/>
      <c r="D9" s="3"/>
      <c r="E9" s="3"/>
      <c r="F9" s="3">
        <v>27</v>
      </c>
      <c r="G9" s="3">
        <v>18</v>
      </c>
      <c r="H9" s="94">
        <f t="shared" si="0"/>
        <v>66.66666666666667</v>
      </c>
      <c r="I9" s="36">
        <f>F9+(C9*0.2)+('численность 1'!M9*0.3)+'численность 1'!G9+(('численность 1'!C9-'численность 1'!G9)*0.6)</f>
        <v>817.7</v>
      </c>
      <c r="J9" s="36">
        <f>G9+(D9*0.2)+('численность 1'!N9*0.3)+'численность 1'!H9+(('численность 1'!D9-'численность 1'!H9)*0.6)</f>
        <v>717.2</v>
      </c>
      <c r="K9" s="93">
        <v>14407</v>
      </c>
      <c r="L9" s="93">
        <v>4832</v>
      </c>
      <c r="M9" s="94"/>
      <c r="N9" s="80"/>
    </row>
    <row r="10" spans="1:14" ht="15">
      <c r="A10" s="3">
        <v>5</v>
      </c>
      <c r="B10" s="22" t="s">
        <v>65</v>
      </c>
      <c r="C10" s="91">
        <v>154</v>
      </c>
      <c r="D10" s="3">
        <v>146</v>
      </c>
      <c r="E10" s="94">
        <f>D10*100/C10</f>
        <v>94.8051948051948</v>
      </c>
      <c r="F10" s="3">
        <v>40</v>
      </c>
      <c r="G10" s="3">
        <v>16</v>
      </c>
      <c r="H10" s="94">
        <f t="shared" si="0"/>
        <v>40</v>
      </c>
      <c r="I10" s="36">
        <f>F10+(C10*0.2)+('численность 1'!M10*0.3)+'численность 1'!G10+(('численность 1'!C10-'численность 1'!G10)*0.6)</f>
        <v>658.3</v>
      </c>
      <c r="J10" s="36">
        <f>G10+(C10*0.2)+('численность 1'!N10*0.3)+'численность 1'!H10+(('численность 1'!D10-'численность 1'!H10)*0.6)</f>
        <v>468.1</v>
      </c>
      <c r="K10" s="3">
        <v>9300</v>
      </c>
      <c r="L10" s="3">
        <v>5219</v>
      </c>
      <c r="M10" s="36"/>
      <c r="N10" s="80"/>
    </row>
    <row r="11" spans="1:14" ht="15">
      <c r="A11" s="3">
        <v>6</v>
      </c>
      <c r="B11" s="38" t="s">
        <v>81</v>
      </c>
      <c r="C11" s="93"/>
      <c r="D11" s="93"/>
      <c r="E11" s="94"/>
      <c r="F11" s="3">
        <v>15</v>
      </c>
      <c r="G11" s="3">
        <v>9</v>
      </c>
      <c r="H11" s="94">
        <f t="shared" si="0"/>
        <v>60</v>
      </c>
      <c r="I11" s="36">
        <f>F11+(C11*0.2)+('численность 1'!M11*0.3)+'численность 1'!G11+(('численность 1'!C11-'численность 1'!G11)*0.6)</f>
        <v>238.6</v>
      </c>
      <c r="J11" s="36">
        <f>G11+(C11*0.2)+('численность 1'!N11*0.3)+'численность 1'!H11+(('численность 1'!D11-'численность 1'!H11)*0.6)</f>
        <v>206.2</v>
      </c>
      <c r="K11" s="93">
        <v>11855</v>
      </c>
      <c r="L11" s="93">
        <v>1800</v>
      </c>
      <c r="M11" s="94"/>
      <c r="N11" s="80"/>
    </row>
    <row r="12" spans="1:14" ht="15">
      <c r="A12" s="3">
        <v>7</v>
      </c>
      <c r="B12" s="38" t="s">
        <v>66</v>
      </c>
      <c r="C12" s="93"/>
      <c r="D12" s="93"/>
      <c r="E12" s="94"/>
      <c r="F12" s="93">
        <v>3</v>
      </c>
      <c r="G12" s="93">
        <v>3</v>
      </c>
      <c r="H12" s="94">
        <f t="shared" si="0"/>
        <v>100</v>
      </c>
      <c r="I12" s="36">
        <f>F12+(C12*0.2)+('численность 1'!M12*0.3)+'численность 1'!G12+(('численность 1'!C12-'численность 1'!G12)*0.6)</f>
        <v>115.19999999999999</v>
      </c>
      <c r="J12" s="36">
        <f>G12+(C12*0.2)+('численность 1'!N12*0.3)+'численность 1'!H12+(('численность 1'!D12-'численность 1'!H12)*0.6)</f>
        <v>66.6</v>
      </c>
      <c r="K12" s="93"/>
      <c r="L12" s="93"/>
      <c r="M12" s="36"/>
      <c r="N12" s="80"/>
    </row>
    <row r="13" spans="1:14" ht="15">
      <c r="A13" s="3">
        <v>8</v>
      </c>
      <c r="B13" s="32" t="s">
        <v>102</v>
      </c>
      <c r="C13" s="93"/>
      <c r="D13" s="93"/>
      <c r="E13" s="94"/>
      <c r="F13" s="93"/>
      <c r="G13" s="93"/>
      <c r="H13" s="94"/>
      <c r="I13" s="36">
        <f>F13+(C13*0.2)+('численность 1'!M13*0.3)+'численность 1'!G13+(('численность 1'!C13-'численность 1'!G13)*0.6)</f>
        <v>0</v>
      </c>
      <c r="J13" s="36">
        <f>G13+(C13*0.2)+('численность 1'!N13*0.3)+'численность 1'!H13+(('численность 1'!D13-'численность 1'!H13)*0.6)</f>
        <v>88.39999999999999</v>
      </c>
      <c r="K13" s="93">
        <v>4130</v>
      </c>
      <c r="L13" s="93">
        <v>45</v>
      </c>
      <c r="M13" s="36"/>
      <c r="N13" s="80"/>
    </row>
    <row r="14" spans="1:14" ht="15">
      <c r="A14" s="3">
        <v>9</v>
      </c>
      <c r="B14" s="32" t="s">
        <v>80</v>
      </c>
      <c r="C14" s="93">
        <v>110</v>
      </c>
      <c r="D14" s="93">
        <v>132</v>
      </c>
      <c r="E14" s="94">
        <f>D14*100/C14</f>
        <v>120</v>
      </c>
      <c r="F14" s="3">
        <v>5</v>
      </c>
      <c r="G14" s="3">
        <v>4</v>
      </c>
      <c r="H14" s="94">
        <f t="shared" si="0"/>
        <v>80</v>
      </c>
      <c r="I14" s="36">
        <f>F14+(C14*0.2)+('численность 1'!M14*0.3)+'численность 1'!G14+(('численность 1'!C14-'численность 1'!G14)*0.6)</f>
        <v>177.6</v>
      </c>
      <c r="J14" s="36">
        <f>G14+(C14*0.2)+('численность 1'!N14*0.3)+'численность 1'!H14+(('численность 1'!D14-'численность 1'!H14)*0.6)</f>
        <v>202.39999999999998</v>
      </c>
      <c r="K14" s="93">
        <v>8140</v>
      </c>
      <c r="L14" s="93">
        <v>2780</v>
      </c>
      <c r="M14" s="36"/>
      <c r="N14" s="80"/>
    </row>
    <row r="15" spans="1:14" ht="15">
      <c r="A15" s="3">
        <v>10</v>
      </c>
      <c r="B15" s="38" t="s">
        <v>67</v>
      </c>
      <c r="C15" s="93"/>
      <c r="D15" s="93"/>
      <c r="E15" s="94"/>
      <c r="F15" s="3">
        <v>9</v>
      </c>
      <c r="G15" s="3">
        <v>5</v>
      </c>
      <c r="H15" s="94">
        <f t="shared" si="0"/>
        <v>55.55555555555556</v>
      </c>
      <c r="I15" s="36">
        <f>F15+(C15*0.2)+('численность 1'!M15*0.3)+'численность 1'!G15+(('численность 1'!C15-'численность 1'!G15)*0.6)</f>
        <v>193.6</v>
      </c>
      <c r="J15" s="36">
        <f>G15+(C15*0.2)+('численность 1'!N15*0.3)+'численность 1'!H15+(('численность 1'!D15-'численность 1'!H15)*0.6)</f>
        <v>189.6</v>
      </c>
      <c r="K15" s="93">
        <v>6300</v>
      </c>
      <c r="L15" s="93">
        <v>1260</v>
      </c>
      <c r="M15" s="36"/>
      <c r="N15" s="80"/>
    </row>
    <row r="16" spans="1:14" ht="15">
      <c r="A16" s="3">
        <v>11</v>
      </c>
      <c r="B16" s="38" t="s">
        <v>68</v>
      </c>
      <c r="C16" s="93"/>
      <c r="D16" s="93"/>
      <c r="E16" s="94"/>
      <c r="F16" s="3">
        <v>2</v>
      </c>
      <c r="G16" s="3">
        <v>1</v>
      </c>
      <c r="H16" s="94">
        <f t="shared" si="0"/>
        <v>50</v>
      </c>
      <c r="I16" s="36">
        <f>F16+(C16*0.2)+('численность 1'!M16*0.3)+'численность 1'!G16+(('численность 1'!C16-'численность 1'!G16)*0.6)</f>
        <v>62.599999999999994</v>
      </c>
      <c r="J16" s="36">
        <f>G16+(C16*0.2)+('численность 1'!N16*0.3)+'численность 1'!H16+(('численность 1'!D16-'численность 1'!H16)*0.6)</f>
        <v>49</v>
      </c>
      <c r="K16" s="93">
        <v>2570</v>
      </c>
      <c r="L16" s="93">
        <v>43</v>
      </c>
      <c r="M16" s="36"/>
      <c r="N16" s="80"/>
    </row>
    <row r="17" spans="1:14" ht="15">
      <c r="A17" s="3">
        <v>12</v>
      </c>
      <c r="B17" s="38" t="s">
        <v>69</v>
      </c>
      <c r="C17" s="93"/>
      <c r="D17" s="93"/>
      <c r="E17" s="94"/>
      <c r="F17" s="3">
        <v>1</v>
      </c>
      <c r="G17" s="3">
        <v>1</v>
      </c>
      <c r="H17" s="94">
        <f t="shared" si="0"/>
        <v>100</v>
      </c>
      <c r="I17" s="36">
        <f>F17+(C17*0.2)+('численность 1'!M17*0.3)+'численность 1'!G17+(('численность 1'!C17-'численность 1'!G17)*0.6)</f>
        <v>2688.1</v>
      </c>
      <c r="J17" s="36">
        <f>G17+(C17*0.2)+('численность 1'!N17*0.3)+'численность 1'!H17+(('численность 1'!D17-'численность 1'!H17)*0.6)</f>
        <v>2804.2</v>
      </c>
      <c r="K17" s="93">
        <v>8085</v>
      </c>
      <c r="L17" s="93">
        <v>8085</v>
      </c>
      <c r="M17" s="94"/>
      <c r="N17" s="80"/>
    </row>
    <row r="18" spans="1:14" ht="15">
      <c r="A18" s="3">
        <v>13</v>
      </c>
      <c r="B18" s="32" t="s">
        <v>78</v>
      </c>
      <c r="C18" s="93"/>
      <c r="D18" s="93"/>
      <c r="E18" s="94"/>
      <c r="F18" s="3">
        <v>104</v>
      </c>
      <c r="G18" s="3">
        <v>143</v>
      </c>
      <c r="H18" s="94">
        <f t="shared" si="0"/>
        <v>137.5</v>
      </c>
      <c r="I18" s="36">
        <f>F18+(C18*0.2)+('численность 1'!M18*0.3)+'численность 1'!G18+(('численность 1'!C18-'численность 1'!G18)*0.6)</f>
        <v>104</v>
      </c>
      <c r="J18" s="36">
        <f>G18+(C18*0.2)+('численность 1'!N18*0.3)+'численность 1'!H18+(('численность 1'!D18-'численность 1'!H18)*0.6)</f>
        <v>143</v>
      </c>
      <c r="K18" s="93">
        <v>7940</v>
      </c>
      <c r="L18" s="93"/>
      <c r="M18" s="36"/>
      <c r="N18" s="80"/>
    </row>
    <row r="19" spans="1:14" ht="15">
      <c r="A19" s="3">
        <v>14</v>
      </c>
      <c r="B19" s="32" t="s">
        <v>91</v>
      </c>
      <c r="C19" s="93"/>
      <c r="D19" s="93"/>
      <c r="E19" s="94"/>
      <c r="F19" s="3"/>
      <c r="G19" s="3"/>
      <c r="H19" s="94"/>
      <c r="I19" s="36"/>
      <c r="J19" s="36">
        <f>G19+(C19*0.2)+('численность 1'!N19*0.3)+'численность 1'!H19+(('численность 1'!D19-'численность 1'!H19)*0.6)</f>
        <v>28.5</v>
      </c>
      <c r="K19" s="93">
        <v>60</v>
      </c>
      <c r="L19" s="93">
        <v>60</v>
      </c>
      <c r="M19" s="36"/>
      <c r="N19" s="80"/>
    </row>
    <row r="20" spans="1:14" ht="15">
      <c r="A20" s="132" t="s">
        <v>11</v>
      </c>
      <c r="B20" s="133"/>
      <c r="C20" s="3">
        <f>SUM(C6:C17)</f>
        <v>264</v>
      </c>
      <c r="D20" s="3">
        <f>SUM(D6:D17)</f>
        <v>278</v>
      </c>
      <c r="E20" s="36">
        <f>D20/C20*100</f>
        <v>105.3030303030303</v>
      </c>
      <c r="F20" s="3">
        <f>SUM(F6:F18)</f>
        <v>240</v>
      </c>
      <c r="G20" s="3">
        <f>SUM(G6:G18)</f>
        <v>223</v>
      </c>
      <c r="H20" s="94">
        <f>G20*100/F20</f>
        <v>92.91666666666667</v>
      </c>
      <c r="I20" s="36">
        <f>F20+(C20*0.2)+('численность 1'!M20*0.3)+'численность 1'!G20+(('численность 1'!C20-'численность 1'!G20)*0.6)</f>
        <v>5672</v>
      </c>
      <c r="J20" s="36">
        <f>G20+(D20*0.2)+('численность 1'!N20*0.3)+'численность 1'!H20+(('численность 1'!D20-'численность 1'!H20)*0.6)</f>
        <v>5518.799999999999</v>
      </c>
      <c r="K20" s="3">
        <f>SUM(K6:K19)</f>
        <v>90613</v>
      </c>
      <c r="L20" s="3">
        <f>SUM(L6:L19)</f>
        <v>27957</v>
      </c>
      <c r="M20" s="36">
        <f>SUM(M6:M19)</f>
        <v>0</v>
      </c>
      <c r="N20" s="80"/>
    </row>
  </sheetData>
  <sheetProtection/>
  <mergeCells count="7">
    <mergeCell ref="A20:B20"/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60" zoomScaleNormal="50" zoomScalePageLayoutView="0" workbookViewId="0" topLeftCell="A1">
      <selection activeCell="P13" sqref="P13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109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56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34" t="s">
        <v>3</v>
      </c>
      <c r="C3" s="125" t="s">
        <v>83</v>
      </c>
      <c r="D3" s="158"/>
      <c r="E3" s="159"/>
      <c r="F3" s="136" t="s">
        <v>82</v>
      </c>
      <c r="G3" s="125" t="s">
        <v>8</v>
      </c>
      <c r="H3" s="158"/>
      <c r="I3" s="159"/>
      <c r="J3" s="160" t="s">
        <v>73</v>
      </c>
      <c r="K3" s="161"/>
      <c r="L3" s="162"/>
      <c r="M3" s="125" t="s">
        <v>9</v>
      </c>
      <c r="N3" s="158"/>
      <c r="O3" s="158"/>
      <c r="P3" s="158"/>
      <c r="Q3" s="158"/>
      <c r="R3" s="158"/>
      <c r="S3" s="158"/>
      <c r="T3" s="158"/>
      <c r="U3" s="159"/>
    </row>
    <row r="4" spans="1:21" s="20" customFormat="1" ht="23.25" customHeight="1">
      <c r="A4" s="33"/>
      <c r="B4" s="157"/>
      <c r="C4" s="134">
        <v>2010</v>
      </c>
      <c r="D4" s="134">
        <v>2011</v>
      </c>
      <c r="E4" s="106" t="s">
        <v>4</v>
      </c>
      <c r="F4" s="137"/>
      <c r="G4" s="134">
        <v>2010</v>
      </c>
      <c r="H4" s="134">
        <v>2011</v>
      </c>
      <c r="I4" s="106" t="s">
        <v>4</v>
      </c>
      <c r="J4" s="134">
        <v>2010</v>
      </c>
      <c r="K4" s="134">
        <v>2011</v>
      </c>
      <c r="L4" s="136" t="s">
        <v>99</v>
      </c>
      <c r="M4" s="134">
        <v>2010</v>
      </c>
      <c r="N4" s="134">
        <v>2011</v>
      </c>
      <c r="O4" s="136" t="s">
        <v>99</v>
      </c>
      <c r="P4" s="103" t="s">
        <v>5</v>
      </c>
      <c r="Q4" s="107" t="s">
        <v>72</v>
      </c>
      <c r="R4" s="136" t="s">
        <v>99</v>
      </c>
      <c r="S4" s="103" t="s">
        <v>53</v>
      </c>
      <c r="T4" s="108"/>
      <c r="U4" s="136" t="s">
        <v>99</v>
      </c>
    </row>
    <row r="5" spans="1:21" s="20" customFormat="1" ht="23.25" customHeight="1">
      <c r="A5" s="29"/>
      <c r="B5" s="135"/>
      <c r="C5" s="156"/>
      <c r="D5" s="156"/>
      <c r="E5" s="109">
        <v>2010</v>
      </c>
      <c r="F5" s="138"/>
      <c r="G5" s="156"/>
      <c r="H5" s="156"/>
      <c r="I5" s="109">
        <v>2010</v>
      </c>
      <c r="J5" s="156"/>
      <c r="K5" s="156"/>
      <c r="L5" s="155"/>
      <c r="M5" s="156"/>
      <c r="N5" s="156"/>
      <c r="O5" s="155"/>
      <c r="P5" s="104">
        <v>2010</v>
      </c>
      <c r="Q5" s="104">
        <v>2011</v>
      </c>
      <c r="R5" s="155"/>
      <c r="S5" s="104">
        <v>2010</v>
      </c>
      <c r="T5" s="104">
        <v>2011</v>
      </c>
      <c r="U5" s="155"/>
    </row>
    <row r="6" spans="1:34" s="20" customFormat="1" ht="24.75" customHeight="1">
      <c r="A6" s="3">
        <v>1</v>
      </c>
      <c r="B6" s="22" t="s">
        <v>61</v>
      </c>
      <c r="C6" s="3">
        <v>360</v>
      </c>
      <c r="D6" s="3">
        <v>324</v>
      </c>
      <c r="E6" s="36">
        <f aca="true" t="shared" si="0" ref="E6:E16">D6*100/C6</f>
        <v>90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0">K6*100/J6</f>
        <v>100</v>
      </c>
      <c r="M6" s="69"/>
      <c r="N6" s="3"/>
      <c r="O6" s="36"/>
      <c r="P6" s="69"/>
      <c r="Q6" s="3"/>
      <c r="R6" s="36"/>
      <c r="S6" s="116"/>
      <c r="T6" s="36"/>
      <c r="U6" s="36"/>
      <c r="AH6" s="91"/>
    </row>
    <row r="7" spans="1:34" s="20" customFormat="1" ht="24.75" customHeight="1">
      <c r="A7" s="3">
        <v>2</v>
      </c>
      <c r="B7" s="22" t="s">
        <v>62</v>
      </c>
      <c r="C7" s="3">
        <v>219</v>
      </c>
      <c r="D7" s="3">
        <v>207</v>
      </c>
      <c r="E7" s="36">
        <f t="shared" si="0"/>
        <v>94.52054794520548</v>
      </c>
      <c r="F7" s="3">
        <v>11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9"/>
      <c r="N7" s="3"/>
      <c r="O7" s="36"/>
      <c r="P7" s="69"/>
      <c r="Q7" s="3"/>
      <c r="R7" s="36"/>
      <c r="S7" s="116"/>
      <c r="T7" s="36"/>
      <c r="U7" s="36"/>
      <c r="AH7" s="91"/>
    </row>
    <row r="8" spans="1:34" s="20" customFormat="1" ht="24.75" customHeight="1">
      <c r="A8" s="3">
        <v>3</v>
      </c>
      <c r="B8" s="22" t="s">
        <v>63</v>
      </c>
      <c r="C8" s="3">
        <v>114</v>
      </c>
      <c r="D8" s="3">
        <v>122</v>
      </c>
      <c r="E8" s="36">
        <f t="shared" si="0"/>
        <v>107.01754385964912</v>
      </c>
      <c r="F8" s="93">
        <v>2</v>
      </c>
      <c r="G8" s="3">
        <v>60</v>
      </c>
      <c r="H8" s="3">
        <v>60</v>
      </c>
      <c r="I8" s="36">
        <f t="shared" si="1"/>
        <v>100</v>
      </c>
      <c r="J8" s="3">
        <v>56</v>
      </c>
      <c r="K8" s="3">
        <v>60</v>
      </c>
      <c r="L8" s="36">
        <f t="shared" si="2"/>
        <v>107.14285714285714</v>
      </c>
      <c r="M8" s="69"/>
      <c r="N8" s="3"/>
      <c r="O8" s="105"/>
      <c r="P8" s="69"/>
      <c r="Q8" s="3"/>
      <c r="R8" s="36"/>
      <c r="S8" s="116"/>
      <c r="T8" s="36"/>
      <c r="U8" s="36"/>
      <c r="AH8" s="91"/>
    </row>
    <row r="9" spans="1:34" s="20" customFormat="1" ht="24.75" customHeight="1">
      <c r="A9" s="3">
        <v>4</v>
      </c>
      <c r="B9" s="22" t="s">
        <v>64</v>
      </c>
      <c r="C9" s="3">
        <v>890</v>
      </c>
      <c r="D9" s="3">
        <v>774</v>
      </c>
      <c r="E9" s="36">
        <f t="shared" si="0"/>
        <v>86.96629213483146</v>
      </c>
      <c r="F9" s="3">
        <v>42</v>
      </c>
      <c r="G9" s="3">
        <v>308</v>
      </c>
      <c r="H9" s="3">
        <v>308</v>
      </c>
      <c r="I9" s="36">
        <f t="shared" si="1"/>
        <v>100</v>
      </c>
      <c r="J9" s="3">
        <v>305</v>
      </c>
      <c r="K9" s="3">
        <v>308</v>
      </c>
      <c r="L9" s="36">
        <f t="shared" si="2"/>
        <v>100.98360655737704</v>
      </c>
      <c r="M9" s="3">
        <v>445</v>
      </c>
      <c r="N9" s="3">
        <v>372</v>
      </c>
      <c r="O9" s="36">
        <f>N9*100/M9</f>
        <v>83.59550561797752</v>
      </c>
      <c r="P9" s="3">
        <v>20</v>
      </c>
      <c r="Q9" s="3">
        <v>28</v>
      </c>
      <c r="R9" s="36">
        <f>Q9*100/P9</f>
        <v>140</v>
      </c>
      <c r="S9" s="3">
        <v>25</v>
      </c>
      <c r="T9" s="3">
        <v>39</v>
      </c>
      <c r="U9" s="36">
        <f>T9*100/S9</f>
        <v>156</v>
      </c>
      <c r="AH9" s="91"/>
    </row>
    <row r="10" spans="1:34" s="20" customFormat="1" ht="24.75" customHeight="1">
      <c r="A10" s="3">
        <v>5</v>
      </c>
      <c r="B10" s="22" t="s">
        <v>65</v>
      </c>
      <c r="C10" s="3">
        <v>574</v>
      </c>
      <c r="D10" s="3">
        <v>378</v>
      </c>
      <c r="E10" s="36">
        <f t="shared" si="0"/>
        <v>65.85365853658537</v>
      </c>
      <c r="F10" s="93">
        <v>2</v>
      </c>
      <c r="G10" s="3">
        <v>280</v>
      </c>
      <c r="H10" s="3">
        <v>280</v>
      </c>
      <c r="I10" s="36">
        <f t="shared" si="1"/>
        <v>100</v>
      </c>
      <c r="J10" s="3">
        <v>260</v>
      </c>
      <c r="K10" s="3">
        <v>280</v>
      </c>
      <c r="L10" s="36">
        <f t="shared" si="2"/>
        <v>107.6923076923077</v>
      </c>
      <c r="M10" s="3">
        <v>437</v>
      </c>
      <c r="N10" s="3">
        <v>275</v>
      </c>
      <c r="O10" s="36">
        <f>N10*100/M10</f>
        <v>62.92906178489702</v>
      </c>
      <c r="P10" s="3">
        <v>80</v>
      </c>
      <c r="Q10" s="3">
        <v>80</v>
      </c>
      <c r="R10" s="36">
        <f>Q10*100/P10</f>
        <v>100</v>
      </c>
      <c r="S10" s="3">
        <v>3</v>
      </c>
      <c r="T10" s="3">
        <v>20</v>
      </c>
      <c r="U10" s="36">
        <f>T10*100/S10</f>
        <v>666.6666666666666</v>
      </c>
      <c r="AH10" s="91"/>
    </row>
    <row r="11" spans="1:34" s="20" customFormat="1" ht="24.75" customHeight="1">
      <c r="A11" s="3">
        <v>6</v>
      </c>
      <c r="B11" s="38" t="s">
        <v>81</v>
      </c>
      <c r="C11" s="3">
        <v>316</v>
      </c>
      <c r="D11" s="3">
        <v>272</v>
      </c>
      <c r="E11" s="36">
        <f t="shared" si="0"/>
        <v>86.07594936708861</v>
      </c>
      <c r="F11" s="93">
        <v>22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91"/>
    </row>
    <row r="12" spans="1:34" s="20" customFormat="1" ht="24.75" customHeight="1">
      <c r="A12" s="3">
        <v>7</v>
      </c>
      <c r="B12" s="22" t="s">
        <v>66</v>
      </c>
      <c r="C12" s="3">
        <v>147</v>
      </c>
      <c r="D12" s="3">
        <v>66</v>
      </c>
      <c r="E12" s="36">
        <f t="shared" si="0"/>
        <v>44.89795918367347</v>
      </c>
      <c r="F12" s="3"/>
      <c r="G12" s="3">
        <v>60</v>
      </c>
      <c r="H12" s="3">
        <v>60</v>
      </c>
      <c r="I12" s="36">
        <f t="shared" si="1"/>
        <v>100</v>
      </c>
      <c r="J12" s="3">
        <v>54</v>
      </c>
      <c r="K12" s="3">
        <v>60</v>
      </c>
      <c r="L12" s="36">
        <f t="shared" si="2"/>
        <v>111.11111111111111</v>
      </c>
      <c r="M12" s="3"/>
      <c r="N12" s="3"/>
      <c r="O12" s="36"/>
      <c r="P12" s="3"/>
      <c r="Q12" s="3"/>
      <c r="R12" s="36"/>
      <c r="S12" s="3"/>
      <c r="T12" s="3"/>
      <c r="U12" s="36"/>
      <c r="AH12" s="91"/>
    </row>
    <row r="13" spans="1:34" s="20" customFormat="1" ht="24.75" customHeight="1">
      <c r="A13" s="3">
        <v>8</v>
      </c>
      <c r="B13" s="32" t="s">
        <v>102</v>
      </c>
      <c r="C13" s="3"/>
      <c r="D13" s="3">
        <v>144</v>
      </c>
      <c r="E13" s="36"/>
      <c r="F13" s="3">
        <v>16</v>
      </c>
      <c r="G13" s="3"/>
      <c r="H13" s="3">
        <v>5</v>
      </c>
      <c r="I13" s="36"/>
      <c r="J13" s="3"/>
      <c r="K13" s="3"/>
      <c r="L13" s="36"/>
      <c r="M13" s="3"/>
      <c r="N13" s="3"/>
      <c r="O13" s="36"/>
      <c r="P13" s="3"/>
      <c r="Q13" s="3"/>
      <c r="R13" s="36"/>
      <c r="S13" s="3"/>
      <c r="T13" s="3"/>
      <c r="U13" s="36"/>
      <c r="AH13" s="91"/>
    </row>
    <row r="14" spans="1:34" s="20" customFormat="1" ht="24.75" customHeight="1">
      <c r="A14" s="3">
        <v>9</v>
      </c>
      <c r="B14" s="32" t="s">
        <v>80</v>
      </c>
      <c r="C14" s="3">
        <v>199</v>
      </c>
      <c r="D14" s="3">
        <v>242</v>
      </c>
      <c r="E14" s="36">
        <f t="shared" si="0"/>
        <v>121.60804020100502</v>
      </c>
      <c r="F14" s="3">
        <v>20</v>
      </c>
      <c r="G14" s="3">
        <v>78</v>
      </c>
      <c r="H14" s="3">
        <v>78</v>
      </c>
      <c r="I14" s="36">
        <f t="shared" si="1"/>
        <v>100</v>
      </c>
      <c r="J14" s="3">
        <v>68</v>
      </c>
      <c r="K14" s="3">
        <v>78</v>
      </c>
      <c r="L14" s="36">
        <f t="shared" si="2"/>
        <v>114.70588235294117</v>
      </c>
      <c r="M14" s="3"/>
      <c r="N14" s="3"/>
      <c r="O14" s="36"/>
      <c r="P14" s="3"/>
      <c r="Q14" s="3"/>
      <c r="R14" s="36"/>
      <c r="S14" s="3"/>
      <c r="T14" s="3"/>
      <c r="U14" s="36"/>
      <c r="AH14" s="91"/>
    </row>
    <row r="15" spans="1:34" s="20" customFormat="1" ht="24.75" customHeight="1">
      <c r="A15" s="3">
        <v>10</v>
      </c>
      <c r="B15" s="22" t="s">
        <v>67</v>
      </c>
      <c r="C15" s="3">
        <v>241</v>
      </c>
      <c r="D15" s="3">
        <v>241</v>
      </c>
      <c r="E15" s="36">
        <f t="shared" si="0"/>
        <v>100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91"/>
    </row>
    <row r="16" spans="1:34" s="20" customFormat="1" ht="24.75" customHeight="1">
      <c r="A16" s="3">
        <v>11</v>
      </c>
      <c r="B16" s="22" t="s">
        <v>68</v>
      </c>
      <c r="C16" s="3">
        <v>73</v>
      </c>
      <c r="D16" s="3">
        <v>52</v>
      </c>
      <c r="E16" s="36">
        <f t="shared" si="0"/>
        <v>71.23287671232876</v>
      </c>
      <c r="F16" s="3">
        <v>8</v>
      </c>
      <c r="G16" s="3">
        <v>42</v>
      </c>
      <c r="H16" s="3">
        <v>42</v>
      </c>
      <c r="I16" s="36">
        <f t="shared" si="1"/>
        <v>100</v>
      </c>
      <c r="J16" s="3">
        <v>41</v>
      </c>
      <c r="K16" s="3">
        <v>42</v>
      </c>
      <c r="L16" s="36">
        <f t="shared" si="2"/>
        <v>102.4390243902439</v>
      </c>
      <c r="M16" s="3"/>
      <c r="N16" s="3"/>
      <c r="O16" s="36"/>
      <c r="P16" s="3"/>
      <c r="Q16" s="3"/>
      <c r="R16" s="36"/>
      <c r="S16" s="3"/>
      <c r="T16" s="3"/>
      <c r="U16" s="36"/>
      <c r="AH16" s="91"/>
    </row>
    <row r="17" spans="1:34" s="20" customFormat="1" ht="24.75" customHeight="1">
      <c r="A17" s="3">
        <v>12</v>
      </c>
      <c r="B17" s="22" t="s">
        <v>69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8957</v>
      </c>
      <c r="N17" s="3">
        <v>9344</v>
      </c>
      <c r="O17" s="36">
        <f>N17*100/M17</f>
        <v>104.3206430724573</v>
      </c>
      <c r="P17" s="3">
        <v>220</v>
      </c>
      <c r="Q17" s="3">
        <v>240</v>
      </c>
      <c r="R17" s="36">
        <f>Q17*100/P17</f>
        <v>109.0909090909091</v>
      </c>
      <c r="S17" s="3">
        <v>474</v>
      </c>
      <c r="T17" s="3">
        <v>381</v>
      </c>
      <c r="U17" s="36">
        <f>T17*100/S17</f>
        <v>80.37974683544304</v>
      </c>
      <c r="AH17" s="91"/>
    </row>
    <row r="18" spans="1:34" s="20" customFormat="1" ht="24.75" customHeight="1">
      <c r="A18" s="3">
        <v>13</v>
      </c>
      <c r="B18" s="32" t="s">
        <v>78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91"/>
    </row>
    <row r="19" spans="1:34" s="20" customFormat="1" ht="24.75" customHeight="1">
      <c r="A19" s="3">
        <v>14</v>
      </c>
      <c r="B19" s="32" t="s">
        <v>91</v>
      </c>
      <c r="C19" s="3"/>
      <c r="D19" s="3"/>
      <c r="E19" s="36"/>
      <c r="F19" s="3"/>
      <c r="G19" s="3"/>
      <c r="H19" s="3"/>
      <c r="I19" s="36"/>
      <c r="J19" s="3"/>
      <c r="K19" s="3"/>
      <c r="L19" s="36"/>
      <c r="M19" s="3">
        <v>95</v>
      </c>
      <c r="N19" s="3">
        <v>95</v>
      </c>
      <c r="O19" s="36">
        <f>N19*100/M19</f>
        <v>100</v>
      </c>
      <c r="P19" s="3">
        <v>11</v>
      </c>
      <c r="Q19" s="3">
        <v>10</v>
      </c>
      <c r="R19" s="36">
        <f>Q19*100/P19</f>
        <v>90.9090909090909</v>
      </c>
      <c r="S19" s="3">
        <v>10</v>
      </c>
      <c r="T19" s="3">
        <v>2</v>
      </c>
      <c r="U19" s="36">
        <f>T19*100/S19</f>
        <v>20</v>
      </c>
      <c r="AH19" s="91"/>
    </row>
    <row r="20" spans="1:21" s="20" customFormat="1" ht="21.75" customHeight="1">
      <c r="A20" s="132" t="s">
        <v>11</v>
      </c>
      <c r="B20" s="133"/>
      <c r="C20" s="3">
        <f>SUM(C6:C17)</f>
        <v>3133</v>
      </c>
      <c r="D20" s="3">
        <f>SUM(D6:D17)</f>
        <v>2822</v>
      </c>
      <c r="E20" s="36">
        <f>D20*100/C20</f>
        <v>90.07341206511332</v>
      </c>
      <c r="F20" s="3">
        <f>SUM(F6:F17)</f>
        <v>139</v>
      </c>
      <c r="G20" s="3">
        <f>SUM(G6:G19)</f>
        <v>1298</v>
      </c>
      <c r="H20" s="3">
        <f>SUM(H6:H17)</f>
        <v>1303</v>
      </c>
      <c r="I20" s="36">
        <f>H20*100/G20</f>
        <v>100.38520801232666</v>
      </c>
      <c r="J20" s="3">
        <f>SUM(J6:J19)</f>
        <v>1254</v>
      </c>
      <c r="K20" s="3">
        <f>SUM(K6:K17)</f>
        <v>1298</v>
      </c>
      <c r="L20" s="36">
        <f t="shared" si="2"/>
        <v>103.50877192982456</v>
      </c>
      <c r="M20" s="3">
        <f>SUM(M9:M19)</f>
        <v>9934</v>
      </c>
      <c r="N20" s="3">
        <f>SUM(N6:N19)</f>
        <v>10086</v>
      </c>
      <c r="O20" s="36">
        <f>N20*100/M20</f>
        <v>101.53009865109725</v>
      </c>
      <c r="P20" s="3">
        <f>SUM(P9:P19)</f>
        <v>331</v>
      </c>
      <c r="Q20" s="3">
        <f>SUM(Q6:Q19)</f>
        <v>358</v>
      </c>
      <c r="R20" s="36">
        <f>Q20*100/P20</f>
        <v>108.1570996978852</v>
      </c>
      <c r="S20" s="3">
        <f>SUM(S9:S19)</f>
        <v>512</v>
      </c>
      <c r="T20" s="36">
        <f>SUM(T6:T19)</f>
        <v>442</v>
      </c>
      <c r="U20" s="36">
        <f>T20*100/S20</f>
        <v>86.328125</v>
      </c>
    </row>
  </sheetData>
  <sheetProtection/>
  <mergeCells count="19">
    <mergeCell ref="A20:B20"/>
    <mergeCell ref="J3:L3"/>
    <mergeCell ref="J4:J5"/>
    <mergeCell ref="K4:K5"/>
    <mergeCell ref="L4:L5"/>
    <mergeCell ref="M3:U3"/>
    <mergeCell ref="O4:O5"/>
    <mergeCell ref="N4:N5"/>
    <mergeCell ref="R4:R5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view="pageBreakPreview" zoomScale="75" zoomScaleNormal="75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108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64" t="s">
        <v>59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12.75">
      <c r="A4" s="134" t="s">
        <v>2</v>
      </c>
      <c r="B4" s="136" t="s">
        <v>3</v>
      </c>
      <c r="C4" s="142" t="s">
        <v>87</v>
      </c>
      <c r="D4" s="173"/>
      <c r="E4" s="170"/>
      <c r="F4" s="165" t="s">
        <v>70</v>
      </c>
      <c r="G4" s="166"/>
      <c r="H4" s="165" t="s">
        <v>86</v>
      </c>
      <c r="I4" s="169"/>
      <c r="J4" s="170"/>
      <c r="K4" s="165" t="s">
        <v>84</v>
      </c>
      <c r="L4" s="166"/>
      <c r="M4" s="165" t="s">
        <v>85</v>
      </c>
      <c r="N4" s="166"/>
    </row>
    <row r="5" spans="1:14" ht="31.5" customHeight="1">
      <c r="A5" s="157"/>
      <c r="B5" s="137"/>
      <c r="C5" s="174"/>
      <c r="D5" s="175"/>
      <c r="E5" s="176"/>
      <c r="F5" s="167"/>
      <c r="G5" s="168"/>
      <c r="H5" s="167"/>
      <c r="I5" s="171"/>
      <c r="J5" s="172"/>
      <c r="K5" s="167"/>
      <c r="L5" s="168"/>
      <c r="M5" s="167"/>
      <c r="N5" s="168"/>
    </row>
    <row r="6" spans="1:14" ht="30">
      <c r="A6" s="135"/>
      <c r="B6" s="138"/>
      <c r="C6" s="3">
        <v>2010</v>
      </c>
      <c r="D6" s="19">
        <v>2011</v>
      </c>
      <c r="E6" s="101" t="s">
        <v>98</v>
      </c>
      <c r="F6" s="3">
        <v>2010</v>
      </c>
      <c r="G6" s="19">
        <v>2011</v>
      </c>
      <c r="H6" s="3">
        <v>2010</v>
      </c>
      <c r="I6" s="19">
        <v>2011</v>
      </c>
      <c r="J6" s="101" t="s">
        <v>98</v>
      </c>
      <c r="K6" s="22" t="s">
        <v>1</v>
      </c>
      <c r="L6" s="24" t="s">
        <v>35</v>
      </c>
      <c r="M6" s="38" t="s">
        <v>47</v>
      </c>
      <c r="N6" s="51" t="s">
        <v>48</v>
      </c>
    </row>
    <row r="7" spans="1:14" ht="16.5" customHeight="1">
      <c r="A7" s="31">
        <v>1</v>
      </c>
      <c r="B7" s="22" t="s">
        <v>64</v>
      </c>
      <c r="C7" s="31">
        <v>631</v>
      </c>
      <c r="D7" s="31">
        <v>556</v>
      </c>
      <c r="E7" s="31">
        <f>D7-C7</f>
        <v>-75</v>
      </c>
      <c r="F7" s="31">
        <v>353</v>
      </c>
      <c r="G7" s="31">
        <v>289</v>
      </c>
      <c r="H7" s="78">
        <f>F7*100/27</f>
        <v>1307.4074074074074</v>
      </c>
      <c r="I7" s="78">
        <f>G7*100/20</f>
        <v>1445</v>
      </c>
      <c r="J7" s="77">
        <f>I7-H7</f>
        <v>137.5925925925926</v>
      </c>
      <c r="K7" s="31">
        <v>71</v>
      </c>
      <c r="L7" s="31">
        <v>31</v>
      </c>
      <c r="M7" s="99">
        <f>G7/L7</f>
        <v>9.32258064516129</v>
      </c>
      <c r="N7" s="99">
        <f>(D7-G7)/(K7-L7)</f>
        <v>6.675</v>
      </c>
    </row>
    <row r="8" spans="1:15" ht="16.5" customHeight="1">
      <c r="A8" s="31">
        <v>2</v>
      </c>
      <c r="B8" s="31" t="s">
        <v>65</v>
      </c>
      <c r="C8" s="31">
        <v>721</v>
      </c>
      <c r="D8" s="31">
        <v>398</v>
      </c>
      <c r="E8" s="31">
        <f>D8-C8</f>
        <v>-323</v>
      </c>
      <c r="F8" s="31">
        <v>632</v>
      </c>
      <c r="G8" s="31">
        <v>386</v>
      </c>
      <c r="H8" s="78">
        <f>F8*100/80</f>
        <v>790</v>
      </c>
      <c r="I8" s="78">
        <f>G8*100/80</f>
        <v>482.5</v>
      </c>
      <c r="J8" s="77">
        <f>I8-H8</f>
        <v>-307.5</v>
      </c>
      <c r="K8" s="32">
        <v>52</v>
      </c>
      <c r="L8" s="32">
        <v>50</v>
      </c>
      <c r="M8" s="99">
        <f>G8/L8</f>
        <v>7.72</v>
      </c>
      <c r="N8" s="99">
        <f>(D8-G8)/(K8-L8)</f>
        <v>6</v>
      </c>
      <c r="O8" s="15"/>
    </row>
    <row r="9" spans="1:14" ht="16.5" customHeight="1">
      <c r="A9" s="31">
        <v>3</v>
      </c>
      <c r="B9" s="32" t="s">
        <v>69</v>
      </c>
      <c r="C9" s="31">
        <v>9276</v>
      </c>
      <c r="D9" s="31">
        <v>12019</v>
      </c>
      <c r="E9" s="31">
        <f>D9-C9</f>
        <v>2743</v>
      </c>
      <c r="F9" s="31">
        <v>5868</v>
      </c>
      <c r="G9" s="31">
        <v>5722</v>
      </c>
      <c r="H9" s="78">
        <f>F9*100/200</f>
        <v>2934</v>
      </c>
      <c r="I9" s="78">
        <f>G9*100/226</f>
        <v>2531.858407079646</v>
      </c>
      <c r="J9" s="77">
        <f>I9-H9</f>
        <v>-402.141592920354</v>
      </c>
      <c r="K9" s="32">
        <v>1471</v>
      </c>
      <c r="L9" s="32">
        <v>640</v>
      </c>
      <c r="M9" s="123">
        <f>G9/L9</f>
        <v>8.940625</v>
      </c>
      <c r="N9" s="123">
        <f>(D9-G9)/(K9-L9)</f>
        <v>7.577617328519856</v>
      </c>
    </row>
    <row r="10" spans="1:14" ht="16.5" customHeight="1">
      <c r="A10" s="31">
        <v>4</v>
      </c>
      <c r="B10" s="32" t="s">
        <v>91</v>
      </c>
      <c r="C10" s="31">
        <v>72</v>
      </c>
      <c r="D10" s="31">
        <v>15</v>
      </c>
      <c r="E10" s="31"/>
      <c r="F10" s="31">
        <v>9</v>
      </c>
      <c r="G10" s="31">
        <v>15</v>
      </c>
      <c r="H10" s="78"/>
      <c r="I10" s="78">
        <f>G10*100/11</f>
        <v>136.36363636363637</v>
      </c>
      <c r="J10" s="77"/>
      <c r="K10" s="32">
        <v>2</v>
      </c>
      <c r="L10" s="32">
        <v>2</v>
      </c>
      <c r="M10" s="99">
        <f>G10/L10</f>
        <v>7.5</v>
      </c>
      <c r="N10" s="99"/>
    </row>
    <row r="11" spans="1:14" ht="15" customHeight="1">
      <c r="A11" s="163" t="s">
        <v>11</v>
      </c>
      <c r="B11" s="163"/>
      <c r="C11" s="31">
        <f>SUM(C7:C10)</f>
        <v>10700</v>
      </c>
      <c r="D11" s="31">
        <f>SUM(D7:D10)</f>
        <v>12988</v>
      </c>
      <c r="E11" s="31">
        <f>D11-C11</f>
        <v>2288</v>
      </c>
      <c r="F11" s="31">
        <f>SUM(F7:F10)</f>
        <v>6862</v>
      </c>
      <c r="G11" s="31">
        <f>SUM(G7:G10)</f>
        <v>6412</v>
      </c>
      <c r="H11" s="78">
        <f>F11*100/307</f>
        <v>2235.1791530944624</v>
      </c>
      <c r="I11" s="78">
        <f>G11*100/337</f>
        <v>1902.6706231454007</v>
      </c>
      <c r="J11" s="77">
        <f>I11-H11</f>
        <v>-332.50852994906177</v>
      </c>
      <c r="K11" s="77">
        <f>SUM(K7:K10)</f>
        <v>1596</v>
      </c>
      <c r="L11" s="77">
        <f>SUM(L7:L10)</f>
        <v>723</v>
      </c>
      <c r="M11" s="99">
        <f>G11/L11</f>
        <v>8.868603042876902</v>
      </c>
      <c r="N11" s="99">
        <f>(D11-G11)/(K11-L11)</f>
        <v>7.5326460481099655</v>
      </c>
    </row>
    <row r="13" spans="2:17" ht="12.7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15">
      <c r="B14" s="75"/>
      <c r="C14" s="118"/>
      <c r="D14" s="118"/>
      <c r="E14" s="118"/>
      <c r="F14" s="118"/>
      <c r="G14" s="118"/>
      <c r="H14" s="119"/>
      <c r="I14" s="120"/>
      <c r="J14" s="119"/>
      <c r="K14" s="118"/>
      <c r="L14" s="118"/>
      <c r="M14" s="121"/>
      <c r="N14" s="121"/>
      <c r="O14" s="75"/>
      <c r="P14" s="75"/>
      <c r="Q14" s="75"/>
    </row>
    <row r="15" spans="2:17" ht="15">
      <c r="B15" s="75"/>
      <c r="C15" s="118"/>
      <c r="D15" s="118"/>
      <c r="E15" s="118"/>
      <c r="F15" s="118"/>
      <c r="G15" s="118"/>
      <c r="H15" s="120"/>
      <c r="I15" s="120"/>
      <c r="J15" s="119"/>
      <c r="K15" s="122"/>
      <c r="L15" s="122"/>
      <c r="M15" s="121"/>
      <c r="N15" s="121"/>
      <c r="O15" s="75"/>
      <c r="P15" s="75"/>
      <c r="Q15" s="75"/>
    </row>
    <row r="16" spans="2:17" ht="15">
      <c r="B16" s="75"/>
      <c r="C16" s="118"/>
      <c r="D16" s="118"/>
      <c r="E16" s="118"/>
      <c r="F16" s="118"/>
      <c r="G16" s="118"/>
      <c r="H16" s="119"/>
      <c r="I16" s="120"/>
      <c r="J16" s="119"/>
      <c r="K16" s="122"/>
      <c r="L16" s="122"/>
      <c r="M16" s="121"/>
      <c r="N16" s="121"/>
      <c r="O16" s="75"/>
      <c r="P16" s="75"/>
      <c r="Q16" s="75"/>
    </row>
    <row r="17" spans="2:17" ht="15">
      <c r="B17" s="75"/>
      <c r="C17" s="118"/>
      <c r="D17" s="118"/>
      <c r="E17" s="118"/>
      <c r="F17" s="118"/>
      <c r="G17" s="118"/>
      <c r="H17" s="119"/>
      <c r="I17" s="120"/>
      <c r="J17" s="119"/>
      <c r="K17" s="122"/>
      <c r="L17" s="122"/>
      <c r="M17" s="121"/>
      <c r="N17" s="121"/>
      <c r="O17" s="75"/>
      <c r="P17" s="75"/>
      <c r="Q17" s="75"/>
    </row>
    <row r="18" spans="2:17" ht="15">
      <c r="B18" s="75"/>
      <c r="C18" s="118"/>
      <c r="D18" s="118"/>
      <c r="E18" s="118"/>
      <c r="F18" s="118"/>
      <c r="G18" s="118"/>
      <c r="H18" s="119"/>
      <c r="I18" s="120"/>
      <c r="J18" s="119"/>
      <c r="K18" s="122"/>
      <c r="L18" s="122"/>
      <c r="M18" s="121"/>
      <c r="N18" s="121"/>
      <c r="O18" s="75"/>
      <c r="P18" s="75"/>
      <c r="Q18" s="75"/>
    </row>
    <row r="19" spans="2:17" ht="15">
      <c r="B19" s="75"/>
      <c r="C19" s="118"/>
      <c r="D19" s="118"/>
      <c r="E19" s="118"/>
      <c r="F19" s="118"/>
      <c r="G19" s="118"/>
      <c r="H19" s="119"/>
      <c r="I19" s="120"/>
      <c r="J19" s="119"/>
      <c r="K19" s="120"/>
      <c r="L19" s="120"/>
      <c r="M19" s="121"/>
      <c r="N19" s="121"/>
      <c r="O19" s="75"/>
      <c r="P19" s="75"/>
      <c r="Q19" s="75"/>
    </row>
    <row r="20" spans="2:17" ht="15">
      <c r="B20" s="75"/>
      <c r="C20" s="118"/>
      <c r="D20" s="118"/>
      <c r="E20" s="118"/>
      <c r="F20" s="118"/>
      <c r="G20" s="118"/>
      <c r="H20" s="119"/>
      <c r="I20" s="120"/>
      <c r="J20" s="119"/>
      <c r="K20" s="122"/>
      <c r="L20" s="122"/>
      <c r="M20" s="121"/>
      <c r="N20" s="121"/>
      <c r="O20" s="75"/>
      <c r="P20" s="75"/>
      <c r="Q20" s="75"/>
    </row>
    <row r="21" spans="2:17" ht="15">
      <c r="B21" s="75"/>
      <c r="C21" s="118"/>
      <c r="D21" s="118"/>
      <c r="E21" s="118"/>
      <c r="F21" s="118"/>
      <c r="G21" s="118"/>
      <c r="H21" s="120"/>
      <c r="I21" s="120"/>
      <c r="J21" s="119"/>
      <c r="K21" s="122"/>
      <c r="L21" s="122"/>
      <c r="M21" s="121"/>
      <c r="N21" s="121"/>
      <c r="O21" s="75"/>
      <c r="P21" s="75"/>
      <c r="Q21" s="75"/>
    </row>
    <row r="22" spans="2:17" ht="12.7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ht="12.7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</sheetData>
  <sheetProtection/>
  <mergeCells count="9">
    <mergeCell ref="A11:B11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0"/>
      <c r="B1" s="20"/>
      <c r="C1" s="1" t="s">
        <v>107</v>
      </c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34" t="s">
        <v>2</v>
      </c>
      <c r="B2" s="134" t="s">
        <v>3</v>
      </c>
      <c r="C2" s="24" t="s">
        <v>37</v>
      </c>
      <c r="D2" s="25"/>
      <c r="E2" s="27"/>
      <c r="F2" s="49" t="s">
        <v>38</v>
      </c>
      <c r="G2" s="25"/>
      <c r="H2" s="27"/>
      <c r="I2" s="24" t="s">
        <v>39</v>
      </c>
      <c r="J2" s="25"/>
      <c r="K2" s="27"/>
      <c r="L2" s="24" t="s">
        <v>40</v>
      </c>
      <c r="M2" s="25"/>
      <c r="N2" s="27"/>
    </row>
    <row r="3" spans="1:14" ht="15">
      <c r="A3" s="157"/>
      <c r="B3" s="157"/>
      <c r="C3" s="18">
        <v>2010</v>
      </c>
      <c r="D3" s="19">
        <v>2011</v>
      </c>
      <c r="E3" s="9" t="s">
        <v>36</v>
      </c>
      <c r="F3" s="18">
        <v>2010</v>
      </c>
      <c r="G3" s="19">
        <v>2011</v>
      </c>
      <c r="H3" s="9" t="s">
        <v>36</v>
      </c>
      <c r="I3" s="18">
        <v>2010</v>
      </c>
      <c r="J3" s="19">
        <v>2011</v>
      </c>
      <c r="K3" s="9" t="s">
        <v>36</v>
      </c>
      <c r="L3" s="18">
        <v>2010</v>
      </c>
      <c r="M3" s="19">
        <v>2011</v>
      </c>
      <c r="N3" s="9" t="s">
        <v>36</v>
      </c>
    </row>
    <row r="4" spans="1:14" ht="15">
      <c r="A4" s="135"/>
      <c r="B4" s="135"/>
      <c r="C4" s="29"/>
      <c r="D4" s="29"/>
      <c r="E4" s="45" t="s">
        <v>97</v>
      </c>
      <c r="F4" s="29"/>
      <c r="G4" s="29"/>
      <c r="H4" s="45" t="s">
        <v>97</v>
      </c>
      <c r="I4" s="29"/>
      <c r="J4" s="29"/>
      <c r="K4" s="45" t="s">
        <v>97</v>
      </c>
      <c r="L4" s="29"/>
      <c r="M4" s="29"/>
      <c r="N4" s="45" t="s">
        <v>97</v>
      </c>
    </row>
    <row r="5" spans="1:14" ht="16.5" customHeight="1">
      <c r="A5" s="31">
        <v>1</v>
      </c>
      <c r="B5" s="31" t="s">
        <v>61</v>
      </c>
      <c r="C5" s="12">
        <v>156</v>
      </c>
      <c r="D5" s="12">
        <v>174</v>
      </c>
      <c r="E5" s="16">
        <f aca="true" t="shared" si="0" ref="E5:E15">D5-C5</f>
        <v>18</v>
      </c>
      <c r="F5" s="12">
        <v>25</v>
      </c>
      <c r="G5" s="12">
        <v>6</v>
      </c>
      <c r="H5" s="16">
        <f aca="true" t="shared" si="1" ref="H5:H15">G5-F5</f>
        <v>-19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62</v>
      </c>
      <c r="C6" s="12">
        <v>145</v>
      </c>
      <c r="D6" s="12">
        <v>153</v>
      </c>
      <c r="E6" s="16">
        <f t="shared" si="0"/>
        <v>8</v>
      </c>
      <c r="F6" s="12">
        <v>27</v>
      </c>
      <c r="G6" s="12">
        <v>9</v>
      </c>
      <c r="H6" s="16">
        <f t="shared" si="1"/>
        <v>-18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63</v>
      </c>
      <c r="C7" s="12">
        <v>50</v>
      </c>
      <c r="D7" s="12">
        <v>39</v>
      </c>
      <c r="E7" s="16">
        <f t="shared" si="0"/>
        <v>-11</v>
      </c>
      <c r="F7" s="12">
        <v>2</v>
      </c>
      <c r="G7" s="12">
        <v>2</v>
      </c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64</v>
      </c>
      <c r="C8" s="12">
        <v>274</v>
      </c>
      <c r="D8" s="12">
        <v>260</v>
      </c>
      <c r="E8" s="16">
        <f t="shared" si="0"/>
        <v>-14</v>
      </c>
      <c r="F8" s="12">
        <v>29</v>
      </c>
      <c r="G8" s="12">
        <v>30</v>
      </c>
      <c r="H8" s="16">
        <f t="shared" si="1"/>
        <v>1</v>
      </c>
      <c r="I8" s="16">
        <v>95</v>
      </c>
      <c r="J8" s="16">
        <v>105</v>
      </c>
      <c r="K8" s="12">
        <f>J8-I8</f>
        <v>10</v>
      </c>
      <c r="L8" s="12">
        <v>23</v>
      </c>
      <c r="M8" s="12">
        <v>54</v>
      </c>
      <c r="N8" s="12">
        <f>M8-L8</f>
        <v>31</v>
      </c>
    </row>
    <row r="9" spans="1:14" ht="16.5" customHeight="1">
      <c r="A9" s="31">
        <v>5</v>
      </c>
      <c r="B9" s="31" t="s">
        <v>65</v>
      </c>
      <c r="C9" s="12">
        <v>221</v>
      </c>
      <c r="D9" s="12">
        <v>203</v>
      </c>
      <c r="E9" s="16">
        <f t="shared" si="0"/>
        <v>-18</v>
      </c>
      <c r="F9" s="12">
        <v>40</v>
      </c>
      <c r="G9" s="12">
        <v>6</v>
      </c>
      <c r="H9" s="16">
        <f t="shared" si="1"/>
        <v>-34</v>
      </c>
      <c r="I9" s="12">
        <v>237</v>
      </c>
      <c r="J9" s="12">
        <v>160</v>
      </c>
      <c r="K9" s="12">
        <f>J9-I9</f>
        <v>-77</v>
      </c>
      <c r="L9" s="12">
        <v>21</v>
      </c>
      <c r="M9" s="16">
        <v>23</v>
      </c>
      <c r="N9" s="12">
        <f>M9-L9</f>
        <v>2</v>
      </c>
    </row>
    <row r="10" spans="1:14" ht="16.5" customHeight="1">
      <c r="A10" s="31">
        <v>6</v>
      </c>
      <c r="B10" s="32" t="s">
        <v>81</v>
      </c>
      <c r="C10" s="12">
        <v>97</v>
      </c>
      <c r="D10" s="12">
        <v>72</v>
      </c>
      <c r="E10" s="16">
        <f t="shared" si="0"/>
        <v>-25</v>
      </c>
      <c r="F10" s="12">
        <v>13</v>
      </c>
      <c r="G10" s="12">
        <v>14</v>
      </c>
      <c r="H10" s="16">
        <f t="shared" si="1"/>
        <v>1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66</v>
      </c>
      <c r="C11" s="12">
        <v>58</v>
      </c>
      <c r="D11" s="12">
        <v>66</v>
      </c>
      <c r="E11" s="16">
        <f t="shared" si="0"/>
        <v>8</v>
      </c>
      <c r="F11" s="12">
        <v>13</v>
      </c>
      <c r="G11" s="12">
        <v>10</v>
      </c>
      <c r="H11" s="16">
        <f t="shared" si="1"/>
        <v>-3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102</v>
      </c>
      <c r="C12" s="12"/>
      <c r="D12" s="12"/>
      <c r="E12" s="16"/>
      <c r="F12" s="12"/>
      <c r="G12" s="12"/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80</v>
      </c>
      <c r="C13" s="12">
        <v>89</v>
      </c>
      <c r="D13" s="12">
        <v>103</v>
      </c>
      <c r="E13" s="16">
        <f t="shared" si="0"/>
        <v>14</v>
      </c>
      <c r="F13" s="12">
        <v>21</v>
      </c>
      <c r="G13" s="12">
        <v>22</v>
      </c>
      <c r="H13" s="16">
        <f t="shared" si="1"/>
        <v>1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67</v>
      </c>
      <c r="C14" s="12">
        <v>134</v>
      </c>
      <c r="D14" s="12">
        <v>102</v>
      </c>
      <c r="E14" s="16">
        <f t="shared" si="0"/>
        <v>-32</v>
      </c>
      <c r="F14" s="12">
        <v>38</v>
      </c>
      <c r="G14" s="12">
        <v>18</v>
      </c>
      <c r="H14" s="16">
        <f t="shared" si="1"/>
        <v>-20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68</v>
      </c>
      <c r="C15" s="12">
        <v>40</v>
      </c>
      <c r="D15" s="12">
        <v>47</v>
      </c>
      <c r="E15" s="16">
        <f t="shared" si="0"/>
        <v>7</v>
      </c>
      <c r="F15" s="12">
        <v>4</v>
      </c>
      <c r="G15" s="12">
        <v>7</v>
      </c>
      <c r="H15" s="16">
        <f t="shared" si="1"/>
        <v>3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69</v>
      </c>
      <c r="C16" s="16"/>
      <c r="D16" s="16"/>
      <c r="E16" s="16"/>
      <c r="F16" s="16"/>
      <c r="G16" s="16"/>
      <c r="H16" s="16"/>
      <c r="I16" s="12">
        <v>1665</v>
      </c>
      <c r="J16" s="12">
        <v>2212</v>
      </c>
      <c r="K16" s="12">
        <f>J16-I16</f>
        <v>547</v>
      </c>
      <c r="L16" s="12">
        <v>985</v>
      </c>
      <c r="M16" s="12">
        <v>874</v>
      </c>
      <c r="N16" s="12">
        <f>M16-L16</f>
        <v>-111</v>
      </c>
    </row>
    <row r="17" spans="1:14" ht="16.5" customHeight="1">
      <c r="A17" s="31">
        <v>13</v>
      </c>
      <c r="B17" s="32" t="s">
        <v>91</v>
      </c>
      <c r="C17" s="12"/>
      <c r="D17" s="16"/>
      <c r="E17" s="16"/>
      <c r="F17" s="16"/>
      <c r="G17" s="16"/>
      <c r="H17" s="16"/>
      <c r="I17" s="12">
        <v>13</v>
      </c>
      <c r="J17" s="12">
        <v>7</v>
      </c>
      <c r="K17" s="12"/>
      <c r="L17" s="12">
        <v>4</v>
      </c>
      <c r="M17" s="12"/>
      <c r="N17" s="12"/>
    </row>
    <row r="18" spans="1:14" ht="21" customHeight="1">
      <c r="A18" s="132" t="s">
        <v>11</v>
      </c>
      <c r="B18" s="133"/>
      <c r="C18" s="12">
        <f>SUM(C5:C15)</f>
        <v>1264</v>
      </c>
      <c r="D18" s="12">
        <f>SUM(D5:D17)</f>
        <v>1219</v>
      </c>
      <c r="E18" s="12">
        <f>D18-C18</f>
        <v>-45</v>
      </c>
      <c r="F18" s="12">
        <f>SUM(F5:F16)</f>
        <v>212</v>
      </c>
      <c r="G18" s="12">
        <f>SUM(G5:G17)</f>
        <v>124</v>
      </c>
      <c r="H18" s="12">
        <f>G18-F18</f>
        <v>-88</v>
      </c>
      <c r="I18" s="12">
        <f>SUM(I5:I16)</f>
        <v>1997</v>
      </c>
      <c r="J18" s="12">
        <f>SUM(J5:J17)</f>
        <v>2484</v>
      </c>
      <c r="K18" s="12">
        <f>J18-I18</f>
        <v>487</v>
      </c>
      <c r="L18" s="12">
        <f>SUM(L8:L16)</f>
        <v>1029</v>
      </c>
      <c r="M18" s="12">
        <f>SUM(M5:M17)</f>
        <v>951</v>
      </c>
      <c r="N18" s="12">
        <f>M18-L18</f>
        <v>-78</v>
      </c>
    </row>
  </sheetData>
  <sheetProtection/>
  <mergeCells count="3">
    <mergeCell ref="B2:B4"/>
    <mergeCell ref="A2:A4"/>
    <mergeCell ref="A18:B18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M11" sqref="M11:M12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7" t="s">
        <v>106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>
      <c r="A2" s="164" t="s">
        <v>88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41" t="s">
        <v>2</v>
      </c>
      <c r="B4" s="141" t="s">
        <v>3</v>
      </c>
      <c r="C4" s="24" t="s">
        <v>27</v>
      </c>
      <c r="D4" s="25"/>
      <c r="E4" s="27"/>
      <c r="F4" s="5" t="s">
        <v>28</v>
      </c>
      <c r="G4" s="7"/>
      <c r="H4" s="23" t="s">
        <v>30</v>
      </c>
      <c r="I4" s="34" t="s">
        <v>31</v>
      </c>
      <c r="J4" s="21"/>
      <c r="K4" s="23" t="s">
        <v>30</v>
      </c>
      <c r="L4" s="50" t="s">
        <v>33</v>
      </c>
      <c r="M4" s="21"/>
      <c r="N4" s="23" t="s">
        <v>30</v>
      </c>
    </row>
    <row r="5" spans="1:14" ht="15">
      <c r="A5" s="179"/>
      <c r="B5" s="179"/>
      <c r="C5" s="18">
        <v>2010</v>
      </c>
      <c r="D5" s="19">
        <v>2011</v>
      </c>
      <c r="E5" s="19" t="s">
        <v>94</v>
      </c>
      <c r="F5" s="18">
        <v>2010</v>
      </c>
      <c r="G5" s="19">
        <v>2011</v>
      </c>
      <c r="H5" s="44" t="s">
        <v>29</v>
      </c>
      <c r="I5" s="30" t="s">
        <v>32</v>
      </c>
      <c r="J5" s="28"/>
      <c r="K5" s="44" t="s">
        <v>29</v>
      </c>
      <c r="L5" s="52" t="s">
        <v>34</v>
      </c>
      <c r="M5" s="28"/>
      <c r="N5" s="44" t="s">
        <v>29</v>
      </c>
    </row>
    <row r="6" spans="1:14" ht="15">
      <c r="A6" s="179"/>
      <c r="B6" s="179"/>
      <c r="C6" s="40"/>
      <c r="D6" s="11"/>
      <c r="E6" s="11" t="s">
        <v>95</v>
      </c>
      <c r="F6" s="29"/>
      <c r="G6" s="28"/>
      <c r="H6" s="29" t="s">
        <v>96</v>
      </c>
      <c r="I6" s="18">
        <v>2010</v>
      </c>
      <c r="J6" s="19">
        <v>2011</v>
      </c>
      <c r="K6" s="29" t="s">
        <v>96</v>
      </c>
      <c r="L6" s="18">
        <v>2010</v>
      </c>
      <c r="M6" s="19">
        <v>2011</v>
      </c>
      <c r="N6" s="29" t="s">
        <v>96</v>
      </c>
    </row>
    <row r="7" spans="1:14" ht="16.5" customHeight="1">
      <c r="A7" s="31">
        <v>1</v>
      </c>
      <c r="B7" s="31" t="s">
        <v>61</v>
      </c>
      <c r="C7" s="36">
        <v>161</v>
      </c>
      <c r="D7" s="36">
        <v>140</v>
      </c>
      <c r="E7" s="36">
        <f aca="true" t="shared" si="0" ref="E7:E18">D7*100/C7</f>
        <v>86.95652173913044</v>
      </c>
      <c r="F7" s="36">
        <v>153</v>
      </c>
      <c r="G7" s="36">
        <v>132</v>
      </c>
      <c r="H7" s="36">
        <f aca="true" t="shared" si="1" ref="H7:H18">G7-F7</f>
        <v>-21</v>
      </c>
      <c r="I7" s="36">
        <f>F7*100/180</f>
        <v>85</v>
      </c>
      <c r="J7" s="36">
        <f>G7*100/180</f>
        <v>73.33333333333333</v>
      </c>
      <c r="K7" s="36">
        <f aca="true" t="shared" si="2" ref="K7:K18">J7-I7</f>
        <v>-11.666666666666671</v>
      </c>
      <c r="L7" s="36">
        <f>(C7-F7)*100/180</f>
        <v>4.444444444444445</v>
      </c>
      <c r="M7" s="36">
        <f>(D7-G7)*100/180</f>
        <v>4.444444444444445</v>
      </c>
      <c r="N7" s="36">
        <f>M7-L7</f>
        <v>0</v>
      </c>
    </row>
    <row r="8" spans="1:14" ht="16.5" customHeight="1">
      <c r="A8" s="31">
        <v>2</v>
      </c>
      <c r="B8" s="31" t="s">
        <v>62</v>
      </c>
      <c r="C8" s="36">
        <v>96</v>
      </c>
      <c r="D8" s="36">
        <v>101</v>
      </c>
      <c r="E8" s="36">
        <f t="shared" si="0"/>
        <v>105.20833333333333</v>
      </c>
      <c r="F8" s="36">
        <v>92</v>
      </c>
      <c r="G8" s="36">
        <v>92</v>
      </c>
      <c r="H8" s="36">
        <f t="shared" si="1"/>
        <v>0</v>
      </c>
      <c r="I8" s="36">
        <f>F8*100/105</f>
        <v>87.61904761904762</v>
      </c>
      <c r="J8" s="36">
        <f>G8*100/105</f>
        <v>87.61904761904762</v>
      </c>
      <c r="K8" s="36">
        <f>J8-I8</f>
        <v>0</v>
      </c>
      <c r="L8" s="36">
        <f>(C8-F8)*100/105</f>
        <v>3.8095238095238093</v>
      </c>
      <c r="M8" s="36">
        <f>(D8-G8)*100/105</f>
        <v>8.571428571428571</v>
      </c>
      <c r="N8" s="36">
        <f>M8-L8</f>
        <v>4.761904761904762</v>
      </c>
    </row>
    <row r="9" spans="1:14" ht="16.5" customHeight="1">
      <c r="A9" s="31">
        <v>3</v>
      </c>
      <c r="B9" s="31" t="s">
        <v>63</v>
      </c>
      <c r="C9" s="36">
        <v>54</v>
      </c>
      <c r="D9" s="36">
        <v>59</v>
      </c>
      <c r="E9" s="36">
        <f t="shared" si="0"/>
        <v>109.25925925925925</v>
      </c>
      <c r="F9" s="36">
        <v>44</v>
      </c>
      <c r="G9" s="36">
        <v>54</v>
      </c>
      <c r="H9" s="36">
        <f t="shared" si="1"/>
        <v>10</v>
      </c>
      <c r="I9" s="36">
        <f>F9*100/54</f>
        <v>81.48148148148148</v>
      </c>
      <c r="J9" s="36">
        <f>G9*100/60</f>
        <v>90</v>
      </c>
      <c r="K9" s="36">
        <f>J9-I9</f>
        <v>8.518518518518519</v>
      </c>
      <c r="L9" s="36">
        <f>(C9-F9)*100/54</f>
        <v>18.51851851851852</v>
      </c>
      <c r="M9" s="36">
        <f>(D9-G9)*100/60</f>
        <v>8.333333333333334</v>
      </c>
      <c r="N9" s="36">
        <f>M9-L9</f>
        <v>-10.185185185185185</v>
      </c>
    </row>
    <row r="10" spans="1:14" ht="16.5" customHeight="1">
      <c r="A10" s="31">
        <v>4</v>
      </c>
      <c r="B10" s="22" t="s">
        <v>64</v>
      </c>
      <c r="C10" s="36">
        <v>186</v>
      </c>
      <c r="D10" s="36">
        <v>185</v>
      </c>
      <c r="E10" s="36">
        <f t="shared" si="0"/>
        <v>99.46236559139786</v>
      </c>
      <c r="F10" s="36">
        <v>170</v>
      </c>
      <c r="G10" s="36">
        <v>155</v>
      </c>
      <c r="H10" s="36">
        <f t="shared" si="1"/>
        <v>-15</v>
      </c>
      <c r="I10" s="36">
        <f>F10*100/304</f>
        <v>55.921052631578945</v>
      </c>
      <c r="J10" s="36">
        <f>G10*100/308</f>
        <v>50.324675324675326</v>
      </c>
      <c r="K10" s="36">
        <f t="shared" si="2"/>
        <v>-5.596377306903619</v>
      </c>
      <c r="L10" s="36">
        <f>(C10-F10)*100/304</f>
        <v>5.2631578947368425</v>
      </c>
      <c r="M10" s="36">
        <f>(D10-G10)*100/308</f>
        <v>9.74025974025974</v>
      </c>
      <c r="N10" s="36">
        <f aca="true" t="shared" si="3" ref="N10:N18">M10-L10</f>
        <v>4.477101845522897</v>
      </c>
    </row>
    <row r="11" spans="1:14" ht="16.5" customHeight="1">
      <c r="A11" s="31">
        <v>5</v>
      </c>
      <c r="B11" s="31" t="s">
        <v>65</v>
      </c>
      <c r="C11" s="36">
        <v>193</v>
      </c>
      <c r="D11" s="36">
        <v>94</v>
      </c>
      <c r="E11" s="36">
        <f t="shared" si="0"/>
        <v>48.704663212435236</v>
      </c>
      <c r="F11" s="36">
        <v>157</v>
      </c>
      <c r="G11" s="36">
        <v>86</v>
      </c>
      <c r="H11" s="36">
        <f t="shared" si="1"/>
        <v>-71</v>
      </c>
      <c r="I11" s="36">
        <f>F11*100/250</f>
        <v>62.8</v>
      </c>
      <c r="J11" s="36">
        <f>G11*100/280</f>
        <v>30.714285714285715</v>
      </c>
      <c r="K11" s="36">
        <f t="shared" si="2"/>
        <v>-32.08571428571428</v>
      </c>
      <c r="L11" s="36">
        <f>(C11-F11)*100/250</f>
        <v>14.4</v>
      </c>
      <c r="M11" s="36">
        <f>(D11-G11)*100/280</f>
        <v>2.857142857142857</v>
      </c>
      <c r="N11" s="36">
        <f t="shared" si="3"/>
        <v>-11.542857142857143</v>
      </c>
    </row>
    <row r="12" spans="1:14" ht="16.5" customHeight="1">
      <c r="A12" s="31">
        <v>6</v>
      </c>
      <c r="B12" s="32" t="s">
        <v>81</v>
      </c>
      <c r="C12" s="94">
        <v>101</v>
      </c>
      <c r="D12" s="94">
        <v>91</v>
      </c>
      <c r="E12" s="36">
        <f t="shared" si="0"/>
        <v>90.0990099009901</v>
      </c>
      <c r="F12" s="94">
        <v>80</v>
      </c>
      <c r="G12" s="94">
        <v>78</v>
      </c>
      <c r="H12" s="36">
        <f t="shared" si="1"/>
        <v>-2</v>
      </c>
      <c r="I12" s="94">
        <f>F12*100/85</f>
        <v>94.11764705882354</v>
      </c>
      <c r="J12" s="94">
        <f>G12*100/85</f>
        <v>91.76470588235294</v>
      </c>
      <c r="K12" s="36">
        <f t="shared" si="2"/>
        <v>-2.352941176470594</v>
      </c>
      <c r="L12" s="36">
        <f>(C12-F12)*100/85</f>
        <v>24.705882352941178</v>
      </c>
      <c r="M12" s="36">
        <f>(D12-G12)*100/85</f>
        <v>15.294117647058824</v>
      </c>
      <c r="N12" s="94">
        <f t="shared" si="3"/>
        <v>-9.411764705882353</v>
      </c>
    </row>
    <row r="13" spans="1:14" ht="16.5" customHeight="1">
      <c r="A13" s="31">
        <v>7</v>
      </c>
      <c r="B13" s="32" t="s">
        <v>66</v>
      </c>
      <c r="C13" s="94">
        <v>45</v>
      </c>
      <c r="D13" s="94">
        <v>66</v>
      </c>
      <c r="E13" s="36">
        <f t="shared" si="0"/>
        <v>146.66666666666666</v>
      </c>
      <c r="F13" s="94">
        <v>37</v>
      </c>
      <c r="G13" s="94">
        <v>58</v>
      </c>
      <c r="H13" s="36">
        <f t="shared" si="1"/>
        <v>21</v>
      </c>
      <c r="I13" s="94">
        <f>F13*100/52</f>
        <v>71.15384615384616</v>
      </c>
      <c r="J13" s="94">
        <f>G13*100/60</f>
        <v>96.66666666666667</v>
      </c>
      <c r="K13" s="36">
        <f t="shared" si="2"/>
        <v>25.51282051282051</v>
      </c>
      <c r="L13" s="36">
        <f>(C13-F13)*100/52</f>
        <v>15.384615384615385</v>
      </c>
      <c r="M13" s="36">
        <f>(D13-G13)*100/60</f>
        <v>13.333333333333334</v>
      </c>
      <c r="N13" s="94">
        <f t="shared" si="3"/>
        <v>-2.051282051282051</v>
      </c>
    </row>
    <row r="14" spans="1:14" ht="16.5" customHeight="1">
      <c r="A14" s="31">
        <v>8</v>
      </c>
      <c r="B14" s="32" t="s">
        <v>102</v>
      </c>
      <c r="D14" s="94">
        <v>9</v>
      </c>
      <c r="E14" s="36">
        <f>D14*100/C15</f>
        <v>11.39240506329114</v>
      </c>
      <c r="F14" s="94"/>
      <c r="G14" s="94"/>
      <c r="H14" s="36">
        <f t="shared" si="1"/>
        <v>0</v>
      </c>
      <c r="I14" s="94"/>
      <c r="J14" s="94"/>
      <c r="K14" s="36"/>
      <c r="L14" s="36">
        <f>(C14-F14)*100/52</f>
        <v>0</v>
      </c>
      <c r="M14" s="36"/>
      <c r="N14" s="94"/>
    </row>
    <row r="15" spans="1:14" ht="16.5" customHeight="1">
      <c r="A15" s="31">
        <v>9</v>
      </c>
      <c r="B15" s="32" t="s">
        <v>80</v>
      </c>
      <c r="C15" s="94">
        <v>79</v>
      </c>
      <c r="D15" s="94">
        <v>92</v>
      </c>
      <c r="E15" s="36">
        <f>D15*100/C16</f>
        <v>73.6</v>
      </c>
      <c r="F15" s="94">
        <v>60</v>
      </c>
      <c r="G15" s="94">
        <v>80</v>
      </c>
      <c r="H15" s="36">
        <f t="shared" si="1"/>
        <v>20</v>
      </c>
      <c r="I15" s="94">
        <f>F15*100/60</f>
        <v>100</v>
      </c>
      <c r="J15" s="94">
        <f>G15*100/78</f>
        <v>102.56410256410257</v>
      </c>
      <c r="K15" s="36">
        <f t="shared" si="2"/>
        <v>2.564102564102569</v>
      </c>
      <c r="L15" s="36">
        <f>(C15-F15)*100/60</f>
        <v>31.666666666666668</v>
      </c>
      <c r="M15" s="36">
        <f>(D15-G15)*100/78</f>
        <v>15.384615384615385</v>
      </c>
      <c r="N15" s="94">
        <f t="shared" si="3"/>
        <v>-16.282051282051285</v>
      </c>
    </row>
    <row r="16" spans="1:14" ht="16.5" customHeight="1">
      <c r="A16" s="31">
        <v>10</v>
      </c>
      <c r="B16" s="32" t="s">
        <v>67</v>
      </c>
      <c r="C16" s="94">
        <v>125</v>
      </c>
      <c r="D16" s="94">
        <v>71</v>
      </c>
      <c r="E16" s="36">
        <f>D16*100/C17</f>
        <v>244.82758620689654</v>
      </c>
      <c r="F16" s="94">
        <v>97</v>
      </c>
      <c r="G16" s="94">
        <v>68</v>
      </c>
      <c r="H16" s="36">
        <f t="shared" si="1"/>
        <v>-29</v>
      </c>
      <c r="I16" s="94">
        <f>F16*100/100</f>
        <v>97</v>
      </c>
      <c r="J16" s="94">
        <f>G16*100/100</f>
        <v>68</v>
      </c>
      <c r="K16" s="36">
        <f t="shared" si="2"/>
        <v>-29</v>
      </c>
      <c r="L16" s="36">
        <f>(C16-F16)*100/100</f>
        <v>28</v>
      </c>
      <c r="M16" s="36">
        <f>(D16-G16)*100/100</f>
        <v>3</v>
      </c>
      <c r="N16" s="94">
        <f t="shared" si="3"/>
        <v>-25</v>
      </c>
    </row>
    <row r="17" spans="1:14" ht="16.5" customHeight="1">
      <c r="A17" s="31">
        <v>11</v>
      </c>
      <c r="B17" s="32" t="s">
        <v>68</v>
      </c>
      <c r="C17" s="94">
        <v>29</v>
      </c>
      <c r="D17" s="94">
        <v>29</v>
      </c>
      <c r="E17" s="36">
        <f>D17*100/C18</f>
        <v>2.7128157156220767</v>
      </c>
      <c r="F17" s="94">
        <v>29</v>
      </c>
      <c r="G17" s="94">
        <v>29</v>
      </c>
      <c r="H17" s="36">
        <f t="shared" si="1"/>
        <v>0</v>
      </c>
      <c r="I17" s="94">
        <f>F17*100/42</f>
        <v>69.04761904761905</v>
      </c>
      <c r="J17" s="94">
        <f>G17*100/42</f>
        <v>69.04761904761905</v>
      </c>
      <c r="K17" s="36">
        <f t="shared" si="2"/>
        <v>0</v>
      </c>
      <c r="L17" s="36">
        <f>(C17-F17)*100/42</f>
        <v>0</v>
      </c>
      <c r="M17" s="36">
        <f>(D17-G17)*100/42</f>
        <v>0</v>
      </c>
      <c r="N17" s="94">
        <f t="shared" si="3"/>
        <v>0</v>
      </c>
    </row>
    <row r="18" spans="1:14" ht="16.5" customHeight="1">
      <c r="A18" s="132" t="s">
        <v>79</v>
      </c>
      <c r="B18" s="178"/>
      <c r="C18" s="36">
        <f>SUM(C7:C17)</f>
        <v>1069</v>
      </c>
      <c r="D18" s="3">
        <f>SUM(D7:D17)</f>
        <v>937</v>
      </c>
      <c r="E18" s="36">
        <f t="shared" si="0"/>
        <v>87.65201122544434</v>
      </c>
      <c r="F18" s="3">
        <f>SUM(F7:F17)</f>
        <v>919</v>
      </c>
      <c r="G18" s="3">
        <f>SUM(G7:G17)</f>
        <v>832</v>
      </c>
      <c r="H18" s="36">
        <f t="shared" si="1"/>
        <v>-87</v>
      </c>
      <c r="I18" s="36">
        <f>F18*100/1232</f>
        <v>74.59415584415585</v>
      </c>
      <c r="J18" s="36">
        <f>G18*100/1298</f>
        <v>64.09861325115563</v>
      </c>
      <c r="K18" s="36">
        <f t="shared" si="2"/>
        <v>-10.495542593000224</v>
      </c>
      <c r="L18" s="36">
        <f>(C18-F18)*100/1232</f>
        <v>12.175324675324676</v>
      </c>
      <c r="M18" s="36">
        <f>(D18-G18)*100/1298</f>
        <v>8.089368258859784</v>
      </c>
      <c r="N18" s="36">
        <f t="shared" si="3"/>
        <v>-4.085956416464892</v>
      </c>
    </row>
  </sheetData>
  <sheetProtection/>
  <mergeCells count="5">
    <mergeCell ref="A2:N2"/>
    <mergeCell ref="A1:N1"/>
    <mergeCell ref="A18:B18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C10" sqref="C10:C11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64" t="s">
        <v>12</v>
      </c>
      <c r="B1" s="164"/>
      <c r="C1" s="164"/>
      <c r="D1" s="164"/>
      <c r="E1" s="164"/>
      <c r="F1" s="164"/>
      <c r="G1" s="79"/>
      <c r="H1" s="79"/>
      <c r="I1" s="79"/>
    </row>
    <row r="2" spans="1:9" ht="15.75">
      <c r="A2" s="180" t="s">
        <v>105</v>
      </c>
      <c r="B2" s="180"/>
      <c r="C2" s="180"/>
      <c r="D2" s="180"/>
      <c r="E2" s="180"/>
      <c r="F2" s="180"/>
      <c r="G2" s="79"/>
      <c r="H2" s="79"/>
      <c r="I2" s="79"/>
    </row>
    <row r="3" spans="1:9" ht="15">
      <c r="A3" s="4" t="s">
        <v>2</v>
      </c>
      <c r="B3" s="4" t="s">
        <v>3</v>
      </c>
      <c r="C3" s="5" t="s">
        <v>45</v>
      </c>
      <c r="D3" s="6"/>
      <c r="E3" s="5" t="s">
        <v>46</v>
      </c>
      <c r="F3" s="7"/>
      <c r="G3" s="79"/>
      <c r="H3" s="79"/>
      <c r="I3" s="79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9"/>
      <c r="H4" s="79"/>
      <c r="I4" s="79"/>
    </row>
    <row r="5" spans="1:9" ht="15">
      <c r="A5" s="3">
        <v>1</v>
      </c>
      <c r="B5" s="22" t="s">
        <v>61</v>
      </c>
      <c r="C5" s="36">
        <f>(молоко!C6*1000)/1875</f>
        <v>219.73333333333332</v>
      </c>
      <c r="D5" s="36">
        <f>(молоко!D6*1000)/1875</f>
        <v>195.73333333333332</v>
      </c>
      <c r="E5" s="36">
        <f>(мясо!C7*1000)/1875</f>
        <v>16.586666666666666</v>
      </c>
      <c r="F5" s="36">
        <f>(мясо!D7*1000)/1875</f>
        <v>19.30666666666667</v>
      </c>
      <c r="H5" s="79"/>
      <c r="I5" s="79"/>
    </row>
    <row r="6" spans="1:9" ht="15">
      <c r="A6" s="3">
        <v>2</v>
      </c>
      <c r="B6" s="22" t="s">
        <v>62</v>
      </c>
      <c r="C6" s="36">
        <f>(молоко!C7*1000)/799</f>
        <v>357.9474342928661</v>
      </c>
      <c r="D6" s="36">
        <f>(молоко!D7*1000)/799</f>
        <v>304.1301627033792</v>
      </c>
      <c r="E6" s="36">
        <f>(мясо!C8*1000)/799</f>
        <v>11.013767209011265</v>
      </c>
      <c r="F6" s="36">
        <f>(мясо!D8*1000)/799</f>
        <v>21.27659574468085</v>
      </c>
      <c r="H6" s="79"/>
      <c r="I6" s="79"/>
    </row>
    <row r="7" spans="1:9" ht="15">
      <c r="A7" s="3">
        <v>3</v>
      </c>
      <c r="B7" s="22" t="s">
        <v>63</v>
      </c>
      <c r="C7" s="36">
        <f>(молоко!C8*1000)/2025</f>
        <v>91.35802469135803</v>
      </c>
      <c r="D7" s="36">
        <f>(молоко!D8*1000)/2025</f>
        <v>89.38271604938272</v>
      </c>
      <c r="E7" s="36">
        <f>(мясо!C9*1000)/2025</f>
        <v>3.0123456790123457</v>
      </c>
      <c r="F7" s="36">
        <f>(мясо!D9*1000)/2025</f>
        <v>4.404938271604938</v>
      </c>
      <c r="H7" s="79"/>
      <c r="I7" s="79"/>
    </row>
    <row r="8" spans="1:9" ht="15">
      <c r="A8" s="3">
        <v>4</v>
      </c>
      <c r="B8" s="38" t="s">
        <v>64</v>
      </c>
      <c r="C8" s="36">
        <f>(молоко!C9*1000)/2478</f>
        <v>327.0379338175948</v>
      </c>
      <c r="D8" s="36">
        <f>(молоко!D9*1000)/2478</f>
        <v>301.3720742534302</v>
      </c>
      <c r="E8" s="36">
        <f>(мясо!C10*1000)/2478</f>
        <v>34.261501210653755</v>
      </c>
      <c r="F8" s="36">
        <f>(мясо!D10*1000)/2478</f>
        <v>49.152542372881356</v>
      </c>
      <c r="H8" s="79"/>
      <c r="I8" s="79"/>
    </row>
    <row r="9" spans="1:9" ht="15">
      <c r="A9" s="3">
        <v>5</v>
      </c>
      <c r="B9" s="22" t="s">
        <v>65</v>
      </c>
      <c r="C9" s="36">
        <f>(молоко!C10*1000)/2157</f>
        <v>220.21325915623552</v>
      </c>
      <c r="D9" s="36">
        <f>(молоко!D10*1000)/2157</f>
        <v>186.3699582753825</v>
      </c>
      <c r="E9" s="36">
        <f>(мясо!C11*1000)/2157</f>
        <v>28.280018544274455</v>
      </c>
      <c r="F9" s="36">
        <f>(мясо!D11*1000)/2157</f>
        <v>31.20074177097821</v>
      </c>
      <c r="H9" s="79"/>
      <c r="I9" s="79"/>
    </row>
    <row r="10" spans="1:9" ht="15">
      <c r="A10" s="3">
        <v>6</v>
      </c>
      <c r="B10" s="38" t="s">
        <v>81</v>
      </c>
      <c r="C10" s="36">
        <f>(молоко!C11*1000)/859</f>
        <v>359.953434225844</v>
      </c>
      <c r="D10" s="36">
        <f>(молоко!D11*1000)/859</f>
        <v>360.186263096624</v>
      </c>
      <c r="E10" s="36">
        <f>(мясо!C12*1000)/859</f>
        <v>26.542491268917345</v>
      </c>
      <c r="F10" s="36">
        <f>(мясо!D12*1000)/859</f>
        <v>33.87660069848661</v>
      </c>
      <c r="H10" s="79"/>
      <c r="I10" s="79"/>
    </row>
    <row r="11" spans="1:9" ht="15">
      <c r="A11" s="3">
        <v>7</v>
      </c>
      <c r="B11" s="38" t="s">
        <v>66</v>
      </c>
      <c r="C11" s="36">
        <f>(молоко!C12*1000)/1482</f>
        <v>89.94601889338732</v>
      </c>
      <c r="D11" s="36">
        <f>(молоко!D12*1000)/1482</f>
        <v>137.69905533063428</v>
      </c>
      <c r="E11" s="36">
        <f>(мясо!C13*1000)/1482</f>
        <v>5.883940620782726</v>
      </c>
      <c r="F11" s="36">
        <f>(мясо!D13*1000)/1482</f>
        <v>0.6747638326585695</v>
      </c>
      <c r="H11" s="79"/>
      <c r="I11" s="79"/>
    </row>
    <row r="12" spans="1:9" ht="15">
      <c r="A12" s="3">
        <v>8</v>
      </c>
      <c r="B12" s="32" t="s">
        <v>102</v>
      </c>
      <c r="C12" s="36"/>
      <c r="D12" s="36"/>
      <c r="E12" s="36"/>
      <c r="F12" s="36"/>
      <c r="H12" s="79"/>
      <c r="I12" s="79"/>
    </row>
    <row r="13" spans="1:9" ht="15.75" customHeight="1">
      <c r="A13" s="3">
        <v>9</v>
      </c>
      <c r="B13" s="32" t="s">
        <v>80</v>
      </c>
      <c r="C13" s="36">
        <f>(молоко!C14*1000)/1077</f>
        <v>279.47260909935005</v>
      </c>
      <c r="D13" s="36">
        <f>(молоко!D14*1000)/1077</f>
        <v>344.6239554317549</v>
      </c>
      <c r="E13" s="36">
        <f>(мясо!C15*1000)/1077</f>
        <v>10.492107706592387</v>
      </c>
      <c r="F13" s="36">
        <f>(мясо!D15*1000)/1077</f>
        <v>17.168059424326835</v>
      </c>
      <c r="H13" s="79"/>
      <c r="I13" s="79"/>
    </row>
    <row r="14" spans="1:9" ht="15">
      <c r="A14" s="3">
        <v>10</v>
      </c>
      <c r="B14" s="38" t="s">
        <v>67</v>
      </c>
      <c r="C14" s="36">
        <f>(молоко!C15*1000)/1084</f>
        <v>138.37638376383765</v>
      </c>
      <c r="D14" s="36">
        <f>(молоко!D15*1000)/1084</f>
        <v>229.7047970479705</v>
      </c>
      <c r="E14" s="36">
        <f>(мясо!C16*1000)/1084</f>
        <v>16.660516605166052</v>
      </c>
      <c r="F14" s="36">
        <f>(мясо!D16*1000)/1084</f>
        <v>14.944649446494465</v>
      </c>
      <c r="H14" s="79"/>
      <c r="I14" s="79"/>
    </row>
    <row r="15" spans="1:9" ht="15">
      <c r="A15" s="3">
        <v>11</v>
      </c>
      <c r="B15" s="38" t="s">
        <v>68</v>
      </c>
      <c r="C15" s="36">
        <f>(молоко!C16*1000)/674</f>
        <v>151.6320474777448</v>
      </c>
      <c r="D15" s="36">
        <f>(молоко!D16*1000)/674</f>
        <v>171.66172106824925</v>
      </c>
      <c r="E15" s="36">
        <f>(мясо!C17*1000)/674</f>
        <v>9.792284866468842</v>
      </c>
      <c r="F15" s="36">
        <f>(мясо!D17*1000)/674</f>
        <v>20.474777448071215</v>
      </c>
      <c r="H15" s="79"/>
      <c r="I15" s="79"/>
    </row>
    <row r="16" spans="1:9" ht="15">
      <c r="A16" s="3">
        <v>12</v>
      </c>
      <c r="B16" s="38" t="s">
        <v>69</v>
      </c>
      <c r="C16" s="36"/>
      <c r="D16" s="36"/>
      <c r="E16" s="36">
        <f>(мясо!C18*1000)/983</f>
        <v>687.6907426246186</v>
      </c>
      <c r="F16" s="36">
        <f>(мясо!D18*1000)/983</f>
        <v>837.2329603255341</v>
      </c>
      <c r="H16" s="79"/>
      <c r="I16" s="79"/>
    </row>
    <row r="17" spans="1:6" ht="15">
      <c r="A17" s="132" t="s">
        <v>11</v>
      </c>
      <c r="B17" s="133"/>
      <c r="C17" s="36">
        <f>(молоко!C17*1000)/22877</f>
        <v>138.30886916990863</v>
      </c>
      <c r="D17" s="36">
        <f>(молоко!D17*1000)/22877</f>
        <v>139.56943655199547</v>
      </c>
      <c r="E17" s="36">
        <f>(мясо!C21*1000)/22877</f>
        <v>41.018490186650354</v>
      </c>
      <c r="F17" s="36">
        <f>(мясо!D21*1000)/22877</f>
        <v>50.717751453424846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75" zoomScaleSheetLayoutView="70" zoomScalePageLayoutView="0" workbookViewId="0" topLeftCell="A1">
      <selection activeCell="F14" sqref="F14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104</v>
      </c>
      <c r="D1" s="43"/>
      <c r="E1" s="43"/>
      <c r="F1" s="14"/>
      <c r="G1" s="14"/>
      <c r="H1" s="14"/>
      <c r="I1" s="14"/>
      <c r="J1" s="14"/>
      <c r="K1" s="14"/>
    </row>
    <row r="2" spans="1:11" ht="18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34" t="s">
        <v>2</v>
      </c>
      <c r="B3" s="181" t="s">
        <v>3</v>
      </c>
      <c r="C3" s="54" t="s">
        <v>13</v>
      </c>
      <c r="D3" s="55"/>
      <c r="E3" s="56"/>
      <c r="F3" s="57" t="s">
        <v>14</v>
      </c>
      <c r="G3" s="58" t="s">
        <v>17</v>
      </c>
      <c r="H3" s="59" t="s">
        <v>19</v>
      </c>
      <c r="I3" s="60"/>
      <c r="J3" s="53"/>
      <c r="K3" s="53" t="s">
        <v>20</v>
      </c>
    </row>
    <row r="4" spans="1:11" ht="18">
      <c r="A4" s="157"/>
      <c r="B4" s="157"/>
      <c r="C4" s="61">
        <v>2010</v>
      </c>
      <c r="D4" s="57">
        <v>2011</v>
      </c>
      <c r="E4" s="57" t="s">
        <v>94</v>
      </c>
      <c r="F4" s="62" t="s">
        <v>15</v>
      </c>
      <c r="G4" s="63" t="s">
        <v>18</v>
      </c>
      <c r="H4" s="61">
        <v>2010</v>
      </c>
      <c r="I4" s="57">
        <v>2011</v>
      </c>
      <c r="J4" s="57" t="s">
        <v>94</v>
      </c>
      <c r="K4" s="64" t="s">
        <v>21</v>
      </c>
    </row>
    <row r="5" spans="1:11" ht="18">
      <c r="A5" s="135"/>
      <c r="B5" s="135"/>
      <c r="C5" s="65"/>
      <c r="D5" s="66"/>
      <c r="E5" s="66" t="s">
        <v>95</v>
      </c>
      <c r="F5" s="66" t="s">
        <v>16</v>
      </c>
      <c r="G5" s="67"/>
      <c r="H5" s="65"/>
      <c r="I5" s="66"/>
      <c r="J5" s="66" t="s">
        <v>95</v>
      </c>
      <c r="K5" s="68" t="s">
        <v>0</v>
      </c>
    </row>
    <row r="6" spans="1:11" ht="16.5" customHeight="1">
      <c r="A6" s="31">
        <v>1</v>
      </c>
      <c r="B6" s="69" t="s">
        <v>61</v>
      </c>
      <c r="C6" s="12">
        <v>412</v>
      </c>
      <c r="D6" s="12">
        <v>367</v>
      </c>
      <c r="E6" s="13">
        <f aca="true" t="shared" si="0" ref="E6:E16">D6/C6*100</f>
        <v>89.07766990291263</v>
      </c>
      <c r="F6" s="12">
        <v>294</v>
      </c>
      <c r="G6" s="13">
        <f aca="true" t="shared" si="1" ref="G6:G16">F6/D6*100</f>
        <v>80.10899182561307</v>
      </c>
      <c r="H6" s="17">
        <f>C6/'численность 1'!J6*1000</f>
        <v>2288.8888888888887</v>
      </c>
      <c r="I6" s="17">
        <f>D6/'численность 1'!K6*1000</f>
        <v>2038.8888888888887</v>
      </c>
      <c r="J6" s="13">
        <f aca="true" t="shared" si="2" ref="J6:J17">I6/H6*100</f>
        <v>89.07766990291262</v>
      </c>
      <c r="K6" s="12">
        <v>527</v>
      </c>
    </row>
    <row r="7" spans="1:11" ht="16.5" customHeight="1">
      <c r="A7" s="31">
        <v>2</v>
      </c>
      <c r="B7" s="69" t="s">
        <v>62</v>
      </c>
      <c r="C7" s="12">
        <v>286</v>
      </c>
      <c r="D7" s="12">
        <v>243</v>
      </c>
      <c r="E7" s="13">
        <f t="shared" si="0"/>
        <v>84.96503496503497</v>
      </c>
      <c r="F7" s="12">
        <v>204</v>
      </c>
      <c r="G7" s="13">
        <f t="shared" si="1"/>
        <v>83.9506172839506</v>
      </c>
      <c r="H7" s="17">
        <f>C7/'численность 1'!J7*1000</f>
        <v>2723.809523809524</v>
      </c>
      <c r="I7" s="13">
        <f>D7/'численность 1'!K7*1000</f>
        <v>2314.2857142857147</v>
      </c>
      <c r="J7" s="13">
        <f t="shared" si="2"/>
        <v>84.96503496503497</v>
      </c>
      <c r="K7" s="12"/>
    </row>
    <row r="8" spans="1:11" ht="16.5" customHeight="1">
      <c r="A8" s="31">
        <v>3</v>
      </c>
      <c r="B8" s="69" t="s">
        <v>63</v>
      </c>
      <c r="C8" s="12">
        <v>185</v>
      </c>
      <c r="D8" s="12">
        <v>181</v>
      </c>
      <c r="E8" s="13">
        <f t="shared" si="0"/>
        <v>97.83783783783784</v>
      </c>
      <c r="F8" s="12">
        <v>128</v>
      </c>
      <c r="G8" s="13">
        <f t="shared" si="1"/>
        <v>70.71823204419888</v>
      </c>
      <c r="H8" s="17">
        <f>C8/'численность 1'!J8*1000</f>
        <v>3303.5714285714284</v>
      </c>
      <c r="I8" s="13">
        <f>D8/'численность 1'!K8*1000</f>
        <v>3016.6666666666665</v>
      </c>
      <c r="J8" s="13">
        <f t="shared" si="2"/>
        <v>91.31531531531532</v>
      </c>
      <c r="K8" s="12"/>
    </row>
    <row r="9" spans="1:11" ht="16.5" customHeight="1">
      <c r="A9" s="31">
        <v>4</v>
      </c>
      <c r="B9" s="69" t="s">
        <v>64</v>
      </c>
      <c r="C9" s="12">
        <v>810.4</v>
      </c>
      <c r="D9" s="12">
        <v>746.8</v>
      </c>
      <c r="E9" s="13">
        <f t="shared" si="0"/>
        <v>92.15202369200395</v>
      </c>
      <c r="F9" s="12">
        <v>682.9</v>
      </c>
      <c r="G9" s="13">
        <f t="shared" si="1"/>
        <v>91.44349223352974</v>
      </c>
      <c r="H9" s="17">
        <f>C9/'численность 1'!J9*1000</f>
        <v>2657.0491803278687</v>
      </c>
      <c r="I9" s="13">
        <f>D9/'численность 1'!K9*1000</f>
        <v>2424.6753246753246</v>
      </c>
      <c r="J9" s="13">
        <f t="shared" si="2"/>
        <v>91.25443904565327</v>
      </c>
      <c r="K9" s="12"/>
    </row>
    <row r="10" spans="1:11" ht="16.5" customHeight="1">
      <c r="A10" s="31">
        <v>5</v>
      </c>
      <c r="B10" s="70" t="s">
        <v>65</v>
      </c>
      <c r="C10" s="12">
        <v>475</v>
      </c>
      <c r="D10" s="12">
        <v>402</v>
      </c>
      <c r="E10" s="13">
        <f t="shared" si="0"/>
        <v>84.63157894736842</v>
      </c>
      <c r="F10" s="12">
        <v>336</v>
      </c>
      <c r="G10" s="13">
        <f t="shared" si="1"/>
        <v>83.5820895522388</v>
      </c>
      <c r="H10" s="17">
        <f>C10/'численность 1'!J10*1000</f>
        <v>1826.923076923077</v>
      </c>
      <c r="I10" s="13">
        <f>D10/'численность 1'!K10*1000</f>
        <v>1435.7142857142858</v>
      </c>
      <c r="J10" s="13">
        <f t="shared" si="2"/>
        <v>78.58646616541354</v>
      </c>
      <c r="K10" s="12"/>
    </row>
    <row r="11" spans="1:11" ht="16.5" customHeight="1">
      <c r="A11" s="31">
        <v>6</v>
      </c>
      <c r="B11" s="70" t="s">
        <v>81</v>
      </c>
      <c r="C11" s="16">
        <v>309.2</v>
      </c>
      <c r="D11" s="16">
        <v>309.4</v>
      </c>
      <c r="E11" s="13">
        <f t="shared" si="0"/>
        <v>100.0646830530401</v>
      </c>
      <c r="F11" s="16">
        <v>227</v>
      </c>
      <c r="G11" s="17">
        <f t="shared" si="1"/>
        <v>73.36780866192632</v>
      </c>
      <c r="H11" s="17">
        <f>C11/'численность 1'!J11*1000</f>
        <v>3637.6470588235293</v>
      </c>
      <c r="I11" s="13">
        <f>D11/'численность 1'!K11*1000</f>
        <v>3639.9999999999995</v>
      </c>
      <c r="J11" s="13">
        <f t="shared" si="2"/>
        <v>100.0646830530401</v>
      </c>
      <c r="K11" s="16">
        <v>297</v>
      </c>
    </row>
    <row r="12" spans="1:11" ht="16.5" customHeight="1">
      <c r="A12" s="31">
        <v>7</v>
      </c>
      <c r="B12" s="70" t="s">
        <v>66</v>
      </c>
      <c r="C12" s="16">
        <v>133.3</v>
      </c>
      <c r="D12" s="16">
        <v>204.07</v>
      </c>
      <c r="E12" s="13">
        <f t="shared" si="0"/>
        <v>153.09077269317328</v>
      </c>
      <c r="F12" s="16">
        <v>171.2</v>
      </c>
      <c r="G12" s="17">
        <f t="shared" si="1"/>
        <v>83.89278188856764</v>
      </c>
      <c r="H12" s="17">
        <f>C12/'численность 1'!J12*1000</f>
        <v>2468.5185185185187</v>
      </c>
      <c r="I12" s="13">
        <f>D12/'численность 1'!K12*1000</f>
        <v>3401.1666666666665</v>
      </c>
      <c r="J12" s="13">
        <f t="shared" si="2"/>
        <v>137.78169542385595</v>
      </c>
      <c r="K12" s="16">
        <v>57.5</v>
      </c>
    </row>
    <row r="13" spans="1:11" ht="16.5" customHeight="1">
      <c r="A13" s="31">
        <v>8</v>
      </c>
      <c r="B13" s="70" t="s">
        <v>102</v>
      </c>
      <c r="C13" s="16"/>
      <c r="D13" s="16">
        <v>3.8</v>
      </c>
      <c r="E13" s="13"/>
      <c r="F13" s="16">
        <v>1.05</v>
      </c>
      <c r="G13" s="17">
        <f t="shared" si="1"/>
        <v>27.631578947368425</v>
      </c>
      <c r="H13" s="17"/>
      <c r="I13" s="13"/>
      <c r="J13" s="13"/>
      <c r="K13" s="16">
        <v>79.7</v>
      </c>
    </row>
    <row r="14" spans="1:11" ht="16.5" customHeight="1">
      <c r="A14" s="31">
        <v>9</v>
      </c>
      <c r="B14" s="70" t="s">
        <v>80</v>
      </c>
      <c r="C14" s="16">
        <v>300.992</v>
      </c>
      <c r="D14" s="16">
        <v>371.16</v>
      </c>
      <c r="E14" s="17">
        <f t="shared" si="0"/>
        <v>123.31224750159473</v>
      </c>
      <c r="F14" s="16">
        <v>347.8</v>
      </c>
      <c r="G14" s="17">
        <f t="shared" si="1"/>
        <v>93.7062183424938</v>
      </c>
      <c r="H14" s="17">
        <f>C14/'численность 1'!J14*1000</f>
        <v>4426.35294117647</v>
      </c>
      <c r="I14" s="17">
        <f>D14/'численность 1'!K14*1000</f>
        <v>4758.461538461539</v>
      </c>
      <c r="J14" s="13">
        <f t="shared" si="2"/>
        <v>107.5029850013903</v>
      </c>
      <c r="K14" s="16"/>
    </row>
    <row r="15" spans="1:11" ht="16.5" customHeight="1">
      <c r="A15" s="31">
        <v>10</v>
      </c>
      <c r="B15" s="70" t="s">
        <v>67</v>
      </c>
      <c r="C15" s="16">
        <v>150</v>
      </c>
      <c r="D15" s="16">
        <v>249</v>
      </c>
      <c r="E15" s="13">
        <f t="shared" si="0"/>
        <v>166</v>
      </c>
      <c r="F15" s="16">
        <v>195</v>
      </c>
      <c r="G15" s="17">
        <f t="shared" si="1"/>
        <v>78.3132530120482</v>
      </c>
      <c r="H15" s="17">
        <f>C15/'численность 1'!J15*1000</f>
        <v>1500</v>
      </c>
      <c r="I15" s="13">
        <f>D15/'численность 1'!K15*1000</f>
        <v>2490</v>
      </c>
      <c r="J15" s="13">
        <f t="shared" si="2"/>
        <v>166</v>
      </c>
      <c r="K15" s="16"/>
    </row>
    <row r="16" spans="1:11" ht="16.5" customHeight="1">
      <c r="A16" s="31">
        <v>11</v>
      </c>
      <c r="B16" s="70" t="s">
        <v>68</v>
      </c>
      <c r="C16" s="16">
        <v>102.2</v>
      </c>
      <c r="D16" s="16">
        <v>115.7</v>
      </c>
      <c r="E16" s="13">
        <f t="shared" si="0"/>
        <v>113.20939334637966</v>
      </c>
      <c r="F16" s="16">
        <v>89.2</v>
      </c>
      <c r="G16" s="17">
        <f t="shared" si="1"/>
        <v>77.09593777009506</v>
      </c>
      <c r="H16" s="17">
        <f>C16/'численность 1'!J16*1000</f>
        <v>2492.682926829268</v>
      </c>
      <c r="I16" s="13">
        <f>D16/'численность 1'!K16*1000</f>
        <v>2754.7619047619046</v>
      </c>
      <c r="J16" s="13">
        <f t="shared" si="2"/>
        <v>110.51393160003728</v>
      </c>
      <c r="K16" s="16"/>
    </row>
    <row r="17" spans="1:11" ht="18">
      <c r="A17" s="182" t="s">
        <v>11</v>
      </c>
      <c r="B17" s="159"/>
      <c r="C17" s="16">
        <f>SUM(C6:C16)</f>
        <v>3164.092</v>
      </c>
      <c r="D17" s="71">
        <f>SUM(D6:D16)</f>
        <v>3192.93</v>
      </c>
      <c r="E17" s="13">
        <f>D17/C17*100</f>
        <v>100.91141471234084</v>
      </c>
      <c r="F17" s="71">
        <f>SUM(F6:F16)</f>
        <v>2676.15</v>
      </c>
      <c r="G17" s="13">
        <f>F17/D17*100</f>
        <v>83.81486596950137</v>
      </c>
      <c r="H17" s="13">
        <f>C17/'численность 1'!J20*1000</f>
        <v>2523.1993620414673</v>
      </c>
      <c r="I17" s="13">
        <f>D17/'численность 1'!K20*1000</f>
        <v>2459.884437596302</v>
      </c>
      <c r="J17" s="13">
        <f t="shared" si="2"/>
        <v>97.49068878988862</v>
      </c>
      <c r="K17" s="71">
        <f>SUM(K6:K16)</f>
        <v>961.2</v>
      </c>
    </row>
  </sheetData>
  <sheetProtection/>
  <mergeCells count="3">
    <mergeCell ref="A3:A5"/>
    <mergeCell ref="B3:B5"/>
    <mergeCell ref="A17:B17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2011-09-05T06:41:59Z</cp:lastPrinted>
  <dcterms:created xsi:type="dcterms:W3CDTF">2002-11-05T10:10:22Z</dcterms:created>
  <dcterms:modified xsi:type="dcterms:W3CDTF">2011-12-12T07:48:59Z</dcterms:modified>
  <cp:category/>
  <cp:version/>
  <cp:contentType/>
  <cp:contentStatus/>
</cp:coreProperties>
</file>