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'молоко'!$A$1:$K$23</definedName>
    <definedName name="_xlnm.Print_Area" localSheetId="9">'мясо'!$A$1:$K$26</definedName>
    <definedName name="_xlnm.Print_Area" localSheetId="7">'на 100 га'!$A$1:$F$17</definedName>
    <definedName name="_xlnm.Print_Area" localSheetId="0">'пало1'!$A$1:$T$26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1'!$A$1:$U$26</definedName>
    <definedName name="_xlnm.Print_Area" localSheetId="2">'численность 2'!$A$1:$M$26</definedName>
  </definedNames>
  <calcPr fullCalcOnLoad="1"/>
</workbook>
</file>

<file path=xl/sharedStrings.xml><?xml version="1.0" encoding="utf-8"?>
<sst xmlns="http://schemas.openxmlformats.org/spreadsheetml/2006/main" count="320" uniqueCount="126">
  <si>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</si>
  <si>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</si>
  <si>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</si>
  <si>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</si>
  <si>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</si>
  <si>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</si>
  <si>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</si>
  <si>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</si>
  <si>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</si>
  <si>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</si>
  <si>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</si>
  <si>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</si>
  <si>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</si>
  <si>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</si>
  <si>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</si>
  <si>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</si>
  <si>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</si>
  <si>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</si>
  <si>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</si>
  <si>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</si>
  <si>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</si>
  <si>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</si>
  <si>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</si>
  <si>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</si>
  <si>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</si>
  <si>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</si>
  <si>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</si>
  <si>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</si>
  <si>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</si>
  <si>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</si>
  <si>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</si>
  <si>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</si>
  <si>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</si>
  <si>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</si>
  <si>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</si>
  <si>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</si>
  <si>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</si>
  <si>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</si>
  <si>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</si>
  <si>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</si>
  <si>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</si>
  <si>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</si>
  <si>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</si>
  <si>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</si>
  <si>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</si>
  <si>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</si>
  <si>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</si>
  <si>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</si>
  <si>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</si>
  <si>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</si>
  <si>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</si>
  <si>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</si>
  <si>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</si>
  <si>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</si>
  <si>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</si>
  <si>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</si>
  <si>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</si>
  <si>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</si>
  <si>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</si>
  <si>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</si>
  <si>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</si>
  <si>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</si>
  <si>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</si>
  <si>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</si>
  <si>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</si>
  <si>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</si>
  <si>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</si>
  <si>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</si>
  <si>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</si>
  <si>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</si>
  <si>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</si>
  <si>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</si>
  <si>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</si>
  <si>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</si>
  <si>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</si>
  <si>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</si>
  <si>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</si>
  <si>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</si>
  <si>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</si>
  <si>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</si>
  <si>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</si>
  <si>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</si>
  <si>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</si>
  <si>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</si>
  <si>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</si>
  <si>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</si>
  <si>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</si>
  <si>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</si>
  <si>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</si>
  <si>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</si>
  <si>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</si>
  <si>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</si>
  <si>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</si>
  <si>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</si>
  <si>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</si>
  <si>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</si>
  <si>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</si>
  <si>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</si>
  <si>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</si>
  <si>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</si>
  <si>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</si>
  <si>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</si>
  <si>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</si>
  <si>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</si>
  <si>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</si>
  <si>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</si>
  <si>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</si>
  <si>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</si>
  <si>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</si>
  <si>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</si>
  <si>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>КФХ Николаев Н.С.</t>
  </si>
  <si>
    <t>Итого по К(Ф)(Х</t>
  </si>
  <si>
    <t>К(Ф)Х Николаев Н.С.</t>
  </si>
  <si>
    <t>КФХ Акимов И.К.</t>
  </si>
  <si>
    <t>ЗАО "Агрофирма "Климовская"</t>
  </si>
  <si>
    <t>маточное поголовье овец и коз на отчетную дату</t>
  </si>
  <si>
    <t xml:space="preserve">   Производство мяса за январь-ноябрь 2012 года по Ибресинскому району </t>
  </si>
  <si>
    <t>Производство молока за  январь-ноябрь 2012 года по Ибресинскому району</t>
  </si>
  <si>
    <t xml:space="preserve">по Ибресинскому району за январь-ноябрь 2012 год </t>
  </si>
  <si>
    <t>Поступление приплода (телят) за январь-ноябрь 2012 года по Ибресинскому  району</t>
  </si>
  <si>
    <t>Случено и осеменено за январь-ноябрь 2012 года по Ибресинскому району</t>
  </si>
  <si>
    <t>Поступление приплода (поросят) за январь-ноябрь 2012 года по Ибресинкому  району</t>
  </si>
  <si>
    <t xml:space="preserve"> Численность скота по Ибресинскому району на 1.12.2012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</si>
  <si>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1.12.2012 г., (голов)</t>
    </r>
  </si>
  <si>
    <t>Показатели получения привесов за январь-ноябрь 2012 года по Ибресинскому району</t>
  </si>
  <si>
    <t>Пало, погибло, куплено и продано  сельскохозяйственных животных за январь-ноябрь 2012 год 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</si>
</sst>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1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9" sqref="K29"/>
    </sheetView>
  </sheetViews>
  <sheetFormatPr defaultColWidth="9.00390625" defaultRowHeight="12.75"/>
  <cols>
    <col min="1" max="1" width="4.00390625" style="69" customWidth="1"/>
    <col min="2" max="2" width="34.375" style="69" customWidth="1"/>
    <col min="3" max="4" width="8.75390625" style="69" customWidth="1"/>
    <col min="5" max="5" width="8.875" style="69" customWidth="1"/>
    <col min="6" max="7" width="8.75390625" style="69" customWidth="1"/>
    <col min="8" max="8" width="8.875" style="69" customWidth="1"/>
    <col min="9" max="14" width="8.75390625" style="69" customWidth="1"/>
    <col min="15" max="15" width="8.875" style="69" customWidth="1"/>
    <col min="16" max="18" width="8.75390625" style="69" customWidth="1"/>
    <col min="19" max="19" width="8.875" style="69" customWidth="1"/>
    <col min="20" max="20" width="8.75390625" style="69" customWidth="1"/>
    <col min="21" max="16384" width="9.125" style="69" customWidth="1"/>
  </cols>
  <sheetData>
    <row r="1" spans="3:18" ht="15.75">
      <c r="C1" s="143" t="s">
        <v>125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3:10" ht="15">
      <c r="C2" s="70"/>
      <c r="D2" s="70"/>
      <c r="E2" s="70"/>
      <c r="F2" s="70"/>
      <c r="G2" s="70"/>
      <c r="H2" s="70"/>
      <c r="I2" s="70"/>
      <c r="J2" s="70"/>
    </row>
    <row r="3" spans="1:20" s="19" customFormat="1" ht="18.75" customHeight="1">
      <c r="A3" s="33" t="s">
        <v>2</v>
      </c>
      <c r="B3" s="22" t="s">
        <v>3</v>
      </c>
      <c r="C3" s="144" t="s">
        <v>38</v>
      </c>
      <c r="D3" s="145"/>
      <c r="E3" s="146"/>
      <c r="F3" s="144" t="s">
        <v>52</v>
      </c>
      <c r="G3" s="145"/>
      <c r="H3" s="146"/>
      <c r="I3" s="95"/>
      <c r="J3" s="100" t="s">
        <v>40</v>
      </c>
      <c r="K3" s="100"/>
      <c r="L3" s="100"/>
      <c r="M3" s="102"/>
      <c r="N3" s="102"/>
      <c r="O3" s="102"/>
      <c r="P3" s="102"/>
      <c r="Q3" s="95"/>
      <c r="R3" s="100" t="s">
        <v>41</v>
      </c>
      <c r="S3" s="100"/>
      <c r="T3" s="99"/>
    </row>
    <row r="4" spans="1:20" s="19" customFormat="1" ht="18.75" customHeight="1">
      <c r="A4" s="38"/>
      <c r="B4" s="32"/>
      <c r="C4" s="147">
        <v>2011</v>
      </c>
      <c r="D4" s="147">
        <v>2012</v>
      </c>
      <c r="E4" s="104" t="s">
        <v>39</v>
      </c>
      <c r="F4" s="147">
        <v>2011</v>
      </c>
      <c r="G4" s="147">
        <v>2012</v>
      </c>
      <c r="H4" s="104" t="s">
        <v>39</v>
      </c>
      <c r="I4" s="135" t="s">
        <v>86</v>
      </c>
      <c r="J4" s="136"/>
      <c r="K4" s="135" t="s">
        <v>84</v>
      </c>
      <c r="L4" s="136"/>
      <c r="M4" s="135" t="s">
        <v>80</v>
      </c>
      <c r="N4" s="136"/>
      <c r="O4" s="135" t="s">
        <v>81</v>
      </c>
      <c r="P4" s="136"/>
      <c r="Q4" s="135" t="s">
        <v>83</v>
      </c>
      <c r="R4" s="136"/>
      <c r="S4" s="135" t="s">
        <v>84</v>
      </c>
      <c r="T4" s="136"/>
    </row>
    <row r="5" spans="1:20" s="19" customFormat="1" ht="18.75" customHeight="1">
      <c r="A5" s="29"/>
      <c r="B5" s="28"/>
      <c r="C5" s="148"/>
      <c r="D5" s="148"/>
      <c r="E5" s="105" t="s">
        <v>105</v>
      </c>
      <c r="F5" s="148"/>
      <c r="G5" s="148"/>
      <c r="H5" s="105" t="s">
        <v>105</v>
      </c>
      <c r="I5" s="106">
        <v>2011</v>
      </c>
      <c r="J5" s="107">
        <v>2012</v>
      </c>
      <c r="K5" s="106">
        <v>2011</v>
      </c>
      <c r="L5" s="107">
        <v>2012</v>
      </c>
      <c r="M5" s="106">
        <v>2011</v>
      </c>
      <c r="N5" s="107">
        <v>2012</v>
      </c>
      <c r="O5" s="106">
        <v>2011</v>
      </c>
      <c r="P5" s="107">
        <v>2012</v>
      </c>
      <c r="Q5" s="106">
        <v>2011</v>
      </c>
      <c r="R5" s="107">
        <v>2012</v>
      </c>
      <c r="S5" s="106">
        <v>2011</v>
      </c>
      <c r="T5" s="107">
        <v>2012</v>
      </c>
    </row>
    <row r="6" spans="1:20" s="19" customFormat="1" ht="15" customHeight="1">
      <c r="A6" s="30">
        <v>1</v>
      </c>
      <c r="B6" s="30" t="s">
        <v>55</v>
      </c>
      <c r="C6" s="3">
        <v>1</v>
      </c>
      <c r="D6" s="3"/>
      <c r="E6" s="11">
        <f aca="true" t="shared" si="0" ref="E6:E25">D6-C6</f>
        <v>-1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9" customFormat="1" ht="13.5" customHeight="1">
      <c r="A7" s="30">
        <v>2</v>
      </c>
      <c r="B7" s="30" t="s">
        <v>56</v>
      </c>
      <c r="C7" s="3">
        <v>10</v>
      </c>
      <c r="D7" s="3">
        <v>4</v>
      </c>
      <c r="E7" s="11">
        <f t="shared" si="0"/>
        <v>-6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42</v>
      </c>
      <c r="R7" s="3">
        <v>42</v>
      </c>
      <c r="S7" s="3"/>
      <c r="T7" s="3"/>
    </row>
    <row r="8" spans="1:20" s="19" customFormat="1" ht="13.5" customHeight="1">
      <c r="A8" s="30">
        <v>3</v>
      </c>
      <c r="B8" s="30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17</v>
      </c>
      <c r="R8" s="3">
        <v>20</v>
      </c>
      <c r="S8" s="3"/>
      <c r="T8" s="3"/>
    </row>
    <row r="9" spans="1:20" s="19" customFormat="1" ht="12.75" customHeight="1">
      <c r="A9" s="30">
        <v>4</v>
      </c>
      <c r="B9" s="21" t="s">
        <v>58</v>
      </c>
      <c r="C9" s="3">
        <v>7</v>
      </c>
      <c r="D9" s="3">
        <v>5</v>
      </c>
      <c r="E9" s="11">
        <f t="shared" si="0"/>
        <v>-2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364</v>
      </c>
      <c r="T9" s="3">
        <v>535</v>
      </c>
    </row>
    <row r="10" spans="1:20" s="19" customFormat="1" ht="13.5" customHeight="1">
      <c r="A10" s="30">
        <v>5</v>
      </c>
      <c r="B10" s="90" t="s">
        <v>59</v>
      </c>
      <c r="C10" s="3"/>
      <c r="D10" s="3">
        <v>3</v>
      </c>
      <c r="E10" s="11">
        <f t="shared" si="0"/>
        <v>3</v>
      </c>
      <c r="F10" s="3">
        <v>32</v>
      </c>
      <c r="G10" s="3">
        <v>6</v>
      </c>
      <c r="H10" s="3">
        <f>G10-F10</f>
        <v>-26</v>
      </c>
      <c r="I10" s="3"/>
      <c r="J10" s="3"/>
      <c r="K10" s="3"/>
      <c r="L10" s="3"/>
      <c r="M10" s="3"/>
      <c r="N10" s="3"/>
      <c r="O10" s="3"/>
      <c r="P10" s="3"/>
      <c r="Q10" s="3"/>
      <c r="R10" s="3">
        <v>3</v>
      </c>
      <c r="S10" s="3">
        <v>262</v>
      </c>
      <c r="T10" s="3">
        <v>86</v>
      </c>
    </row>
    <row r="11" spans="1:20" s="19" customFormat="1" ht="12.75" customHeight="1">
      <c r="A11" s="30">
        <v>6</v>
      </c>
      <c r="B11" s="31" t="s">
        <v>73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6"/>
      <c r="J11" s="86"/>
      <c r="K11" s="86"/>
      <c r="L11" s="86"/>
      <c r="M11" s="86"/>
      <c r="N11" s="86"/>
      <c r="O11" s="86"/>
      <c r="P11" s="86"/>
      <c r="Q11" s="86"/>
      <c r="R11" s="86">
        <v>26</v>
      </c>
      <c r="S11" s="86"/>
      <c r="T11" s="86"/>
    </row>
    <row r="12" spans="1:20" s="19" customFormat="1" ht="12.75" customHeight="1">
      <c r="A12" s="30">
        <v>7</v>
      </c>
      <c r="B12" s="30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</row>
    <row r="13" spans="1:20" s="19" customFormat="1" ht="12.75" customHeight="1">
      <c r="A13" s="30">
        <v>8</v>
      </c>
      <c r="B13" s="31" t="s">
        <v>87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>
        <v>3</v>
      </c>
      <c r="S13" s="3"/>
      <c r="T13" s="3"/>
    </row>
    <row r="14" spans="1:20" s="19" customFormat="1" ht="13.5" customHeight="1">
      <c r="A14" s="30">
        <v>9</v>
      </c>
      <c r="B14" s="31" t="s">
        <v>72</v>
      </c>
      <c r="C14" s="3">
        <v>1</v>
      </c>
      <c r="D14" s="3"/>
      <c r="E14" s="11">
        <f t="shared" si="0"/>
        <v>-1</v>
      </c>
      <c r="F14" s="3"/>
      <c r="G14" s="3"/>
      <c r="H14" s="3"/>
      <c r="I14" s="3">
        <v>30</v>
      </c>
      <c r="J14" s="3">
        <v>1</v>
      </c>
      <c r="K14" s="3"/>
      <c r="L14" s="3"/>
      <c r="M14" s="3"/>
      <c r="N14" s="3"/>
      <c r="O14" s="3"/>
      <c r="P14" s="3"/>
      <c r="Q14" s="3">
        <v>9</v>
      </c>
      <c r="R14" s="3">
        <v>1</v>
      </c>
      <c r="S14" s="3"/>
      <c r="T14" s="3"/>
    </row>
    <row r="15" spans="1:20" s="19" customFormat="1" ht="12.75" customHeight="1">
      <c r="A15" s="30">
        <v>10</v>
      </c>
      <c r="B15" s="30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19" customFormat="1" ht="12.75" customHeight="1">
      <c r="A16" s="30">
        <v>11</v>
      </c>
      <c r="B16" s="30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/>
      <c r="J16" s="3">
        <v>2</v>
      </c>
      <c r="K16" s="3"/>
      <c r="L16" s="3"/>
      <c r="M16" s="3"/>
      <c r="N16" s="3"/>
      <c r="O16" s="3"/>
      <c r="P16" s="3"/>
      <c r="Q16" s="3"/>
      <c r="R16" s="3">
        <v>6</v>
      </c>
      <c r="S16" s="3"/>
      <c r="T16" s="3"/>
    </row>
    <row r="17" spans="1:20" s="19" customFormat="1" ht="12.75" customHeight="1">
      <c r="A17" s="30">
        <v>12</v>
      </c>
      <c r="B17" s="30" t="s">
        <v>63</v>
      </c>
      <c r="C17" s="3"/>
      <c r="D17" s="3"/>
      <c r="E17" s="11"/>
      <c r="F17" s="3">
        <v>840</v>
      </c>
      <c r="G17" s="3">
        <v>539</v>
      </c>
      <c r="H17" s="3">
        <f>G17-F17</f>
        <v>-301</v>
      </c>
      <c r="I17" s="3"/>
      <c r="J17" s="3"/>
      <c r="K17" s="3">
        <v>13</v>
      </c>
      <c r="L17" s="3">
        <v>8</v>
      </c>
      <c r="M17" s="3"/>
      <c r="N17" s="3"/>
      <c r="O17" s="3"/>
      <c r="P17" s="3"/>
      <c r="Q17" s="3"/>
      <c r="R17" s="3"/>
      <c r="S17" s="3">
        <v>1518</v>
      </c>
      <c r="T17" s="3">
        <v>2078</v>
      </c>
    </row>
    <row r="18" spans="1:20" s="19" customFormat="1" ht="12.75" customHeight="1">
      <c r="A18" s="30">
        <v>13</v>
      </c>
      <c r="B18" s="31" t="s">
        <v>71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3">
        <v>5</v>
      </c>
      <c r="N18" s="3"/>
      <c r="O18" s="3"/>
      <c r="P18" s="3"/>
      <c r="Q18" s="3"/>
      <c r="R18" s="3"/>
      <c r="S18" s="3"/>
      <c r="T18" s="3"/>
    </row>
    <row r="19" spans="1:20" s="19" customFormat="1" ht="12.75" customHeight="1">
      <c r="A19" s="30">
        <v>14</v>
      </c>
      <c r="B19" s="31" t="s">
        <v>114</v>
      </c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19" customFormat="1" ht="44.25" customHeight="1">
      <c r="A20" s="139" t="s">
        <v>103</v>
      </c>
      <c r="B20" s="140"/>
      <c r="C20" s="3">
        <f>SUM(C6:C18)</f>
        <v>21</v>
      </c>
      <c r="D20" s="3">
        <f>SUM(D6:D18)</f>
        <v>14</v>
      </c>
      <c r="E20" s="11">
        <f t="shared" si="0"/>
        <v>-7</v>
      </c>
      <c r="F20" s="3">
        <f>SUM(F10:F18)</f>
        <v>872</v>
      </c>
      <c r="G20" s="3">
        <f>SUM(G10:G18)</f>
        <v>545</v>
      </c>
      <c r="H20" s="3">
        <f>G20-F20</f>
        <v>-327</v>
      </c>
      <c r="I20" s="3">
        <f>SUM(I6:I18)</f>
        <v>178</v>
      </c>
      <c r="J20" s="3">
        <f aca="true" t="shared" si="1" ref="J20:T20">SUM(J6:J18)</f>
        <v>4</v>
      </c>
      <c r="K20" s="3">
        <f t="shared" si="1"/>
        <v>15</v>
      </c>
      <c r="L20" s="3">
        <f t="shared" si="1"/>
        <v>8</v>
      </c>
      <c r="M20" s="3">
        <f t="shared" si="1"/>
        <v>5</v>
      </c>
      <c r="N20" s="3">
        <f t="shared" si="1"/>
        <v>0</v>
      </c>
      <c r="O20" s="3">
        <f t="shared" si="1"/>
        <v>0</v>
      </c>
      <c r="P20" s="3">
        <f t="shared" si="1"/>
        <v>0</v>
      </c>
      <c r="Q20" s="3">
        <f t="shared" si="1"/>
        <v>216</v>
      </c>
      <c r="R20" s="3">
        <f t="shared" si="1"/>
        <v>101</v>
      </c>
      <c r="S20" s="3">
        <f t="shared" si="1"/>
        <v>2144</v>
      </c>
      <c r="T20" s="3">
        <f t="shared" si="1"/>
        <v>2699</v>
      </c>
    </row>
    <row r="21" spans="1:20" s="19" customFormat="1" ht="14.25" customHeight="1">
      <c r="A21" s="133">
        <v>1</v>
      </c>
      <c r="B21" s="31" t="s">
        <v>110</v>
      </c>
      <c r="C21" s="3"/>
      <c r="D21" s="3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9" customFormat="1" ht="12.75" customHeight="1">
      <c r="A22" s="30">
        <v>2</v>
      </c>
      <c r="B22" s="31" t="s">
        <v>113</v>
      </c>
      <c r="C22" s="3"/>
      <c r="D22" s="3"/>
      <c r="E22" s="11"/>
      <c r="F22" s="3"/>
      <c r="G22" s="3"/>
      <c r="H22" s="3"/>
      <c r="I22" s="3"/>
      <c r="J22" s="3"/>
      <c r="K22" s="3"/>
      <c r="L22" s="3"/>
      <c r="M22" s="86"/>
      <c r="N22" s="3"/>
      <c r="O22" s="3"/>
      <c r="P22" s="3">
        <v>38</v>
      </c>
      <c r="Q22" s="3"/>
      <c r="R22" s="3"/>
      <c r="S22" s="131"/>
      <c r="T22" s="3"/>
    </row>
    <row r="23" spans="1:20" s="19" customFormat="1" ht="12.75" customHeight="1">
      <c r="A23" s="30">
        <v>3</v>
      </c>
      <c r="B23" s="31" t="s">
        <v>82</v>
      </c>
      <c r="C23" s="3"/>
      <c r="D23" s="3"/>
      <c r="E23" s="11"/>
      <c r="F23" s="3"/>
      <c r="G23" s="3"/>
      <c r="H23" s="3"/>
      <c r="I23" s="3"/>
      <c r="J23" s="3"/>
      <c r="K23" s="3"/>
      <c r="L23" s="3"/>
      <c r="M23" s="86"/>
      <c r="N23" s="3"/>
      <c r="O23" s="3"/>
      <c r="P23" s="3"/>
      <c r="Q23" s="3"/>
      <c r="R23" s="3"/>
      <c r="S23" s="131"/>
      <c r="T23" s="3">
        <v>38</v>
      </c>
    </row>
    <row r="24" spans="1:20" s="19" customFormat="1" ht="12.75" customHeight="1">
      <c r="A24" s="30">
        <v>4</v>
      </c>
      <c r="B24" s="31" t="s">
        <v>88</v>
      </c>
      <c r="C24" s="3"/>
      <c r="D24" s="3"/>
      <c r="E24" s="11"/>
      <c r="F24" s="3"/>
      <c r="G24" s="3"/>
      <c r="H24" s="3"/>
      <c r="I24" s="3"/>
      <c r="J24" s="3"/>
      <c r="K24" s="3"/>
      <c r="L24" s="3"/>
      <c r="M24" s="86"/>
      <c r="N24" s="3"/>
      <c r="O24" s="3"/>
      <c r="P24" s="3"/>
      <c r="Q24" s="3"/>
      <c r="R24" s="3"/>
      <c r="S24" s="131"/>
      <c r="T24" s="3"/>
    </row>
    <row r="25" spans="1:20" s="19" customFormat="1" ht="30" customHeight="1">
      <c r="A25" s="141" t="s">
        <v>90</v>
      </c>
      <c r="B25" s="142"/>
      <c r="C25" s="3">
        <f>SUM(C22:C24)</f>
        <v>0</v>
      </c>
      <c r="D25" s="3">
        <f>SUM(D22:D24)</f>
        <v>0</v>
      </c>
      <c r="E25" s="11">
        <f t="shared" si="0"/>
        <v>0</v>
      </c>
      <c r="F25" s="3">
        <f aca="true" t="shared" si="2" ref="F25:T25">SUM(F22:F24)</f>
        <v>0</v>
      </c>
      <c r="G25" s="3">
        <f t="shared" si="2"/>
        <v>0</v>
      </c>
      <c r="H25" s="3">
        <f>G25-F25</f>
        <v>0</v>
      </c>
      <c r="I25" s="3">
        <f t="shared" si="2"/>
        <v>0</v>
      </c>
      <c r="J25" s="3">
        <f t="shared" si="2"/>
        <v>0</v>
      </c>
      <c r="K25" s="3">
        <f t="shared" si="2"/>
        <v>0</v>
      </c>
      <c r="L25" s="3">
        <f t="shared" si="2"/>
        <v>0</v>
      </c>
      <c r="M25" s="3">
        <f t="shared" si="2"/>
        <v>0</v>
      </c>
      <c r="N25" s="3">
        <f t="shared" si="2"/>
        <v>0</v>
      </c>
      <c r="O25" s="3">
        <f t="shared" si="2"/>
        <v>0</v>
      </c>
      <c r="P25" s="3">
        <f t="shared" si="2"/>
        <v>38</v>
      </c>
      <c r="Q25" s="3">
        <f t="shared" si="2"/>
        <v>0</v>
      </c>
      <c r="R25" s="3">
        <f t="shared" si="2"/>
        <v>0</v>
      </c>
      <c r="S25" s="3">
        <f t="shared" si="2"/>
        <v>0</v>
      </c>
      <c r="T25" s="3">
        <f t="shared" si="2"/>
        <v>38</v>
      </c>
    </row>
    <row r="26" spans="1:20" s="19" customFormat="1" ht="37.5" customHeight="1">
      <c r="A26" s="137" t="s">
        <v>91</v>
      </c>
      <c r="B26" s="138"/>
      <c r="C26" s="3">
        <f>C25+C20</f>
        <v>21</v>
      </c>
      <c r="D26" s="3">
        <f>D25+D20</f>
        <v>14</v>
      </c>
      <c r="E26" s="11">
        <f>D26-C26</f>
        <v>-7</v>
      </c>
      <c r="F26" s="3">
        <f>F25+F20</f>
        <v>872</v>
      </c>
      <c r="G26" s="3">
        <f>G25+G20</f>
        <v>545</v>
      </c>
      <c r="H26" s="3">
        <f>G26-F26</f>
        <v>-327</v>
      </c>
      <c r="I26" s="3">
        <f aca="true" t="shared" si="3" ref="I26:T26">I25+I20</f>
        <v>178</v>
      </c>
      <c r="J26" s="3">
        <f t="shared" si="3"/>
        <v>4</v>
      </c>
      <c r="K26" s="3">
        <f t="shared" si="3"/>
        <v>15</v>
      </c>
      <c r="L26" s="3">
        <f t="shared" si="3"/>
        <v>8</v>
      </c>
      <c r="M26" s="3">
        <f t="shared" si="3"/>
        <v>5</v>
      </c>
      <c r="N26" s="3">
        <f t="shared" si="3"/>
        <v>0</v>
      </c>
      <c r="O26" s="3">
        <f t="shared" si="3"/>
        <v>0</v>
      </c>
      <c r="P26" s="3">
        <f t="shared" si="3"/>
        <v>38</v>
      </c>
      <c r="Q26" s="3">
        <f t="shared" si="3"/>
        <v>216</v>
      </c>
      <c r="R26" s="3">
        <f t="shared" si="3"/>
        <v>101</v>
      </c>
      <c r="S26" s="3">
        <f t="shared" si="3"/>
        <v>2144</v>
      </c>
      <c r="T26" s="3">
        <f t="shared" si="3"/>
        <v>2737</v>
      </c>
    </row>
    <row r="27" ht="14.25">
      <c r="B27" s="72"/>
    </row>
  </sheetData>
  <sheetProtection/>
  <mergeCells count="16">
    <mergeCell ref="C1:R1"/>
    <mergeCell ref="F3:H3"/>
    <mergeCell ref="C3:E3"/>
    <mergeCell ref="C4:C5"/>
    <mergeCell ref="D4:D5"/>
    <mergeCell ref="F4:F5"/>
    <mergeCell ref="G4:G5"/>
    <mergeCell ref="M4:N4"/>
    <mergeCell ref="O4:P4"/>
    <mergeCell ref="Q4:R4"/>
    <mergeCell ref="S4:T4"/>
    <mergeCell ref="I4:J4"/>
    <mergeCell ref="K4:L4"/>
    <mergeCell ref="A26:B26"/>
    <mergeCell ref="A20:B20"/>
    <mergeCell ref="A25:B25"/>
  </mergeCells>
  <printOptions/>
  <pageMargins left="0.75" right="0.75" top="1" bottom="1" header="0.5" footer="0.5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75" zoomScaleNormal="65" zoomScaleSheetLayoutView="75" zoomScalePageLayoutView="0" workbookViewId="0" topLeftCell="A1">
      <selection activeCell="M24" sqref="M24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19"/>
      <c r="B1" s="19"/>
      <c r="C1" s="92" t="s">
        <v>116</v>
      </c>
      <c r="D1" s="92"/>
      <c r="E1" s="92"/>
      <c r="F1" s="92"/>
      <c r="G1" s="19"/>
      <c r="H1" s="19"/>
      <c r="I1" s="19"/>
      <c r="J1" s="19"/>
      <c r="K1" s="19"/>
      <c r="L1" s="19"/>
      <c r="M1" s="19"/>
    </row>
    <row r="2" spans="1:1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213" t="s">
        <v>2</v>
      </c>
      <c r="B3" s="213" t="s">
        <v>3</v>
      </c>
      <c r="C3" s="23" t="s">
        <v>19</v>
      </c>
      <c r="D3" s="24"/>
      <c r="E3" s="26"/>
      <c r="F3" s="23"/>
      <c r="G3" s="24"/>
      <c r="H3" s="24" t="s">
        <v>20</v>
      </c>
      <c r="I3" s="24"/>
      <c r="J3" s="24"/>
      <c r="K3" s="26"/>
      <c r="L3" s="19"/>
      <c r="M3" s="19"/>
    </row>
    <row r="4" spans="1:13" ht="15">
      <c r="A4" s="214"/>
      <c r="B4" s="214"/>
      <c r="C4" s="17">
        <v>2011</v>
      </c>
      <c r="D4" s="18">
        <v>2012</v>
      </c>
      <c r="E4" s="18" t="s">
        <v>97</v>
      </c>
      <c r="F4" s="23" t="s">
        <v>23</v>
      </c>
      <c r="G4" s="26"/>
      <c r="H4" s="23" t="s">
        <v>21</v>
      </c>
      <c r="I4" s="26"/>
      <c r="J4" s="23" t="s">
        <v>22</v>
      </c>
      <c r="K4" s="26"/>
      <c r="L4" s="19"/>
      <c r="M4" s="19"/>
    </row>
    <row r="5" spans="1:13" ht="15">
      <c r="A5" s="215"/>
      <c r="B5" s="215"/>
      <c r="C5" s="39"/>
      <c r="D5" s="11"/>
      <c r="E5" s="11" t="s">
        <v>98</v>
      </c>
      <c r="F5" s="17">
        <v>2011</v>
      </c>
      <c r="G5" s="18">
        <v>2012</v>
      </c>
      <c r="H5" s="17">
        <v>2011</v>
      </c>
      <c r="I5" s="18">
        <v>2012</v>
      </c>
      <c r="J5" s="17">
        <v>2011</v>
      </c>
      <c r="K5" s="18">
        <v>2012</v>
      </c>
      <c r="L5" s="19"/>
      <c r="M5" s="19"/>
    </row>
    <row r="6" spans="1:13" ht="16.5">
      <c r="A6" s="30">
        <v>1</v>
      </c>
      <c r="B6" s="30" t="s">
        <v>55</v>
      </c>
      <c r="C6" s="81">
        <v>36.2</v>
      </c>
      <c r="D6" s="81">
        <v>37.6</v>
      </c>
      <c r="E6" s="80">
        <f aca="true" t="shared" si="0" ref="E6:E26">D6*100/C6</f>
        <v>103.86740331491711</v>
      </c>
      <c r="F6" s="81">
        <v>32.6</v>
      </c>
      <c r="G6" s="81">
        <v>35.1</v>
      </c>
      <c r="H6" s="81"/>
      <c r="I6" s="81"/>
      <c r="J6" s="81">
        <v>3.6</v>
      </c>
      <c r="K6" s="81">
        <v>2.5</v>
      </c>
      <c r="L6" s="19"/>
      <c r="M6" s="19"/>
    </row>
    <row r="7" spans="1:13" ht="16.5">
      <c r="A7" s="30">
        <v>2</v>
      </c>
      <c r="B7" s="30" t="s">
        <v>56</v>
      </c>
      <c r="C7" s="81">
        <v>17</v>
      </c>
      <c r="D7" s="81">
        <v>9.947</v>
      </c>
      <c r="E7" s="80">
        <f t="shared" si="0"/>
        <v>58.51176470588235</v>
      </c>
      <c r="F7" s="81">
        <v>17</v>
      </c>
      <c r="G7" s="81">
        <v>9.947</v>
      </c>
      <c r="H7" s="81"/>
      <c r="I7" s="81"/>
      <c r="J7" s="81"/>
      <c r="K7" s="81"/>
      <c r="L7" s="19"/>
      <c r="M7" s="19"/>
    </row>
    <row r="8" spans="1:13" ht="16.5">
      <c r="A8" s="30">
        <v>3</v>
      </c>
      <c r="B8" s="30" t="s">
        <v>57</v>
      </c>
      <c r="C8" s="81">
        <v>8.92</v>
      </c>
      <c r="D8" s="81">
        <v>7.9</v>
      </c>
      <c r="E8" s="80">
        <f t="shared" si="0"/>
        <v>88.56502242152466</v>
      </c>
      <c r="F8" s="81">
        <v>8.42</v>
      </c>
      <c r="G8" s="81">
        <v>7.9</v>
      </c>
      <c r="H8" s="81"/>
      <c r="I8" s="81"/>
      <c r="J8" s="81">
        <v>0.5</v>
      </c>
      <c r="K8" s="81"/>
      <c r="L8" s="19"/>
      <c r="M8" s="19"/>
    </row>
    <row r="9" spans="1:13" ht="16.5">
      <c r="A9" s="30">
        <v>4</v>
      </c>
      <c r="B9" s="40" t="s">
        <v>58</v>
      </c>
      <c r="C9" s="81">
        <v>121.8</v>
      </c>
      <c r="D9" s="81">
        <v>85.5</v>
      </c>
      <c r="E9" s="80">
        <f t="shared" si="0"/>
        <v>70.19704433497537</v>
      </c>
      <c r="F9" s="81">
        <v>89.7</v>
      </c>
      <c r="G9" s="81">
        <v>69.4</v>
      </c>
      <c r="H9" s="81">
        <v>28.9</v>
      </c>
      <c r="I9" s="81">
        <v>14.9</v>
      </c>
      <c r="J9" s="81">
        <v>3.2</v>
      </c>
      <c r="K9" s="81">
        <v>1.2</v>
      </c>
      <c r="L9" s="19"/>
      <c r="M9" s="19"/>
    </row>
    <row r="10" spans="1:13" ht="16.5">
      <c r="A10" s="30">
        <v>5</v>
      </c>
      <c r="B10" s="30" t="s">
        <v>59</v>
      </c>
      <c r="C10" s="81">
        <v>67.3</v>
      </c>
      <c r="D10" s="81">
        <v>63</v>
      </c>
      <c r="E10" s="80">
        <f t="shared" si="0"/>
        <v>93.6106983655275</v>
      </c>
      <c r="F10" s="81">
        <v>45</v>
      </c>
      <c r="G10" s="81">
        <v>46.6</v>
      </c>
      <c r="H10" s="81">
        <v>16.5</v>
      </c>
      <c r="I10" s="81">
        <v>9.3</v>
      </c>
      <c r="J10" s="81">
        <v>5.8</v>
      </c>
      <c r="K10" s="81">
        <v>7.1</v>
      </c>
      <c r="L10" s="19"/>
      <c r="M10" s="19"/>
    </row>
    <row r="11" spans="1:13" ht="16.5">
      <c r="A11" s="30">
        <v>6</v>
      </c>
      <c r="B11" s="31" t="s">
        <v>73</v>
      </c>
      <c r="C11" s="81">
        <v>29.1</v>
      </c>
      <c r="D11" s="116">
        <v>22.541</v>
      </c>
      <c r="E11" s="80">
        <f t="shared" si="0"/>
        <v>77.46048109965635</v>
      </c>
      <c r="F11" s="82">
        <v>28</v>
      </c>
      <c r="G11" s="82">
        <v>21.382</v>
      </c>
      <c r="H11" s="82"/>
      <c r="I11" s="82"/>
      <c r="J11" s="82">
        <v>1.1</v>
      </c>
      <c r="K11" s="82">
        <v>1.159</v>
      </c>
      <c r="L11" s="19"/>
      <c r="M11" s="19"/>
    </row>
    <row r="12" spans="1:13" ht="16.5">
      <c r="A12" s="30">
        <v>7</v>
      </c>
      <c r="B12" s="31" t="s">
        <v>60</v>
      </c>
      <c r="C12" s="81">
        <v>1</v>
      </c>
      <c r="D12" s="81"/>
      <c r="E12" s="80">
        <f t="shared" si="0"/>
        <v>0</v>
      </c>
      <c r="F12" s="82">
        <v>1</v>
      </c>
      <c r="G12" s="82"/>
      <c r="H12" s="82"/>
      <c r="I12" s="82"/>
      <c r="J12" s="82"/>
      <c r="K12" s="82"/>
      <c r="L12" s="19"/>
      <c r="M12" s="19"/>
    </row>
    <row r="13" spans="1:13" ht="16.5">
      <c r="A13" s="30">
        <v>8</v>
      </c>
      <c r="B13" s="31" t="s">
        <v>87</v>
      </c>
      <c r="C13" s="81">
        <v>3.76</v>
      </c>
      <c r="D13" s="81">
        <v>20.309</v>
      </c>
      <c r="E13" s="80">
        <f t="shared" si="0"/>
        <v>540.1329787234043</v>
      </c>
      <c r="F13" s="82">
        <v>3.76</v>
      </c>
      <c r="G13" s="82">
        <v>20.309</v>
      </c>
      <c r="H13" s="82"/>
      <c r="I13" s="82"/>
      <c r="J13" s="82"/>
      <c r="K13" s="82"/>
      <c r="L13" s="19"/>
      <c r="M13" s="19"/>
    </row>
    <row r="14" spans="1:13" ht="16.5">
      <c r="A14" s="30">
        <v>9</v>
      </c>
      <c r="B14" s="31" t="s">
        <v>72</v>
      </c>
      <c r="C14" s="81">
        <v>18.49</v>
      </c>
      <c r="D14" s="81">
        <v>18.79</v>
      </c>
      <c r="E14" s="80">
        <f t="shared" si="0"/>
        <v>101.62249864791781</v>
      </c>
      <c r="F14" s="82">
        <v>16.7</v>
      </c>
      <c r="G14" s="82">
        <v>16.56</v>
      </c>
      <c r="H14" s="82"/>
      <c r="I14" s="82"/>
      <c r="J14" s="82">
        <v>1.79</v>
      </c>
      <c r="K14" s="82">
        <v>2.23</v>
      </c>
      <c r="L14" s="19"/>
      <c r="M14" s="19"/>
    </row>
    <row r="15" spans="1:13" ht="16.5">
      <c r="A15" s="30">
        <v>10</v>
      </c>
      <c r="B15" s="31" t="s">
        <v>61</v>
      </c>
      <c r="C15" s="81">
        <v>16.2</v>
      </c>
      <c r="D15" s="81">
        <v>24.9</v>
      </c>
      <c r="E15" s="80">
        <f t="shared" si="0"/>
        <v>153.70370370370372</v>
      </c>
      <c r="F15" s="82">
        <v>16.2</v>
      </c>
      <c r="G15" s="82">
        <v>24.9</v>
      </c>
      <c r="H15" s="82"/>
      <c r="I15" s="82"/>
      <c r="J15" s="82"/>
      <c r="K15" s="82"/>
      <c r="L15" s="19"/>
      <c r="M15" s="19"/>
    </row>
    <row r="16" spans="1:13" ht="16.5">
      <c r="A16" s="30">
        <v>11</v>
      </c>
      <c r="B16" s="31" t="s">
        <v>62</v>
      </c>
      <c r="C16" s="81">
        <v>13.8</v>
      </c>
      <c r="D16" s="81">
        <v>4.3</v>
      </c>
      <c r="E16" s="80">
        <f t="shared" si="0"/>
        <v>31.15942028985507</v>
      </c>
      <c r="F16" s="82">
        <v>13.4</v>
      </c>
      <c r="G16" s="82">
        <v>4.3</v>
      </c>
      <c r="H16" s="82"/>
      <c r="I16" s="82"/>
      <c r="J16" s="82">
        <v>0.4</v>
      </c>
      <c r="K16" s="82"/>
      <c r="L16" s="19"/>
      <c r="M16" s="19"/>
    </row>
    <row r="17" spans="1:13" ht="16.5">
      <c r="A17" s="30">
        <v>12</v>
      </c>
      <c r="B17" s="31" t="s">
        <v>63</v>
      </c>
      <c r="C17" s="81">
        <v>823</v>
      </c>
      <c r="D17" s="81">
        <v>1039</v>
      </c>
      <c r="E17" s="80">
        <f t="shared" si="0"/>
        <v>126.24544349939247</v>
      </c>
      <c r="F17" s="82"/>
      <c r="G17" s="82"/>
      <c r="H17" s="82">
        <v>823</v>
      </c>
      <c r="I17" s="82">
        <v>1039</v>
      </c>
      <c r="J17" s="82"/>
      <c r="K17" s="82"/>
      <c r="L17" s="19"/>
      <c r="M17" s="19"/>
    </row>
    <row r="18" spans="1:13" ht="16.5">
      <c r="A18" s="30">
        <v>13</v>
      </c>
      <c r="B18" s="31" t="s">
        <v>71</v>
      </c>
      <c r="C18" s="81">
        <v>3.2</v>
      </c>
      <c r="D18" s="81">
        <v>5</v>
      </c>
      <c r="E18" s="80">
        <f t="shared" si="0"/>
        <v>156.25</v>
      </c>
      <c r="F18" s="82"/>
      <c r="G18" s="82"/>
      <c r="H18" s="82"/>
      <c r="I18" s="82"/>
      <c r="J18" s="82">
        <v>3.2</v>
      </c>
      <c r="K18" s="82">
        <v>5</v>
      </c>
      <c r="L18" s="19"/>
      <c r="M18" s="19"/>
    </row>
    <row r="19" spans="1:13" ht="16.5">
      <c r="A19" s="30">
        <v>14</v>
      </c>
      <c r="B19" s="31" t="s">
        <v>114</v>
      </c>
      <c r="C19" s="81"/>
      <c r="D19" s="81">
        <v>1.2</v>
      </c>
      <c r="E19" s="80"/>
      <c r="F19" s="82"/>
      <c r="G19" s="82"/>
      <c r="H19" s="82"/>
      <c r="I19" s="82"/>
      <c r="J19" s="82"/>
      <c r="K19" s="82">
        <v>1.2</v>
      </c>
      <c r="L19" s="19"/>
      <c r="M19" s="19"/>
    </row>
    <row r="20" spans="1:13" ht="46.5" customHeight="1">
      <c r="A20" s="216" t="s">
        <v>89</v>
      </c>
      <c r="B20" s="217"/>
      <c r="C20" s="81">
        <f>SUM(C6:C18)</f>
        <v>1159.7700000000002</v>
      </c>
      <c r="D20" s="81">
        <f>SUM(D6:D19)</f>
        <v>1339.987</v>
      </c>
      <c r="E20" s="80">
        <f t="shared" si="0"/>
        <v>115.5390292902903</v>
      </c>
      <c r="F20" s="82">
        <f>SUM(F6:F18)</f>
        <v>271.78</v>
      </c>
      <c r="G20" s="82">
        <f>SUM(G6:G18)</f>
        <v>256.398</v>
      </c>
      <c r="H20" s="82">
        <f>SUM(H6:H18)</f>
        <v>868.4</v>
      </c>
      <c r="I20" s="82">
        <f>SUM(I6:I18)</f>
        <v>1063.2</v>
      </c>
      <c r="J20" s="82">
        <f>SUM(J6:J18)</f>
        <v>19.589999999999996</v>
      </c>
      <c r="K20" s="82">
        <f>SUM(K6:K19)</f>
        <v>20.389</v>
      </c>
      <c r="L20" s="19"/>
      <c r="M20" s="19"/>
    </row>
    <row r="21" spans="1:13" ht="16.5">
      <c r="A21" s="30">
        <v>1</v>
      </c>
      <c r="B21" s="31" t="s">
        <v>110</v>
      </c>
      <c r="C21" s="2"/>
      <c r="D21" s="81">
        <v>0.6</v>
      </c>
      <c r="E21" s="2"/>
      <c r="F21" s="2"/>
      <c r="G21" s="81">
        <v>0.4</v>
      </c>
      <c r="H21" s="2"/>
      <c r="I21" s="2"/>
      <c r="J21" s="82"/>
      <c r="K21" s="82">
        <v>0.2</v>
      </c>
      <c r="L21" s="19"/>
      <c r="M21" s="19"/>
    </row>
    <row r="22" spans="1:13" ht="16.5">
      <c r="A22" s="30">
        <v>2</v>
      </c>
      <c r="B22" s="31" t="s">
        <v>113</v>
      </c>
      <c r="C22" s="2"/>
      <c r="D22" s="2"/>
      <c r="E22" s="2"/>
      <c r="F22" s="2"/>
      <c r="G22" s="2"/>
      <c r="H22" s="2"/>
      <c r="I22" s="2"/>
      <c r="J22" s="82"/>
      <c r="K22" s="82"/>
      <c r="L22" s="19"/>
      <c r="M22" s="19"/>
    </row>
    <row r="23" spans="1:13" ht="16.5">
      <c r="A23" s="30">
        <v>3</v>
      </c>
      <c r="B23" s="31" t="s">
        <v>82</v>
      </c>
      <c r="C23" s="81">
        <v>0.5</v>
      </c>
      <c r="D23" s="81">
        <v>1.8</v>
      </c>
      <c r="E23" s="80"/>
      <c r="F23" s="82"/>
      <c r="G23" s="82"/>
      <c r="H23" s="82">
        <v>0.5</v>
      </c>
      <c r="I23" s="82">
        <v>1.8</v>
      </c>
      <c r="J23" s="82"/>
      <c r="K23" s="82"/>
      <c r="L23" s="19"/>
      <c r="M23" s="19"/>
    </row>
    <row r="24" spans="1:13" ht="18">
      <c r="A24" s="30">
        <v>4</v>
      </c>
      <c r="B24" s="31" t="s">
        <v>88</v>
      </c>
      <c r="C24" s="81"/>
      <c r="D24" s="81">
        <v>0.2</v>
      </c>
      <c r="E24" s="80"/>
      <c r="F24" s="15"/>
      <c r="G24" s="82"/>
      <c r="H24" s="15"/>
      <c r="I24" s="82"/>
      <c r="J24" s="82"/>
      <c r="K24" s="82">
        <v>0.2</v>
      </c>
      <c r="L24" s="19"/>
      <c r="M24" s="19"/>
    </row>
    <row r="25" spans="1:13" ht="18">
      <c r="A25" s="218" t="s">
        <v>90</v>
      </c>
      <c r="B25" s="219"/>
      <c r="C25" s="81">
        <f>SUM(C23:C24)</f>
        <v>0.5</v>
      </c>
      <c r="D25" s="81">
        <f>SUM(D21:D24)</f>
        <v>2.6</v>
      </c>
      <c r="E25" s="80">
        <f t="shared" si="0"/>
        <v>520</v>
      </c>
      <c r="F25" s="15">
        <f>SUM(F23:F24)</f>
        <v>0</v>
      </c>
      <c r="G25" s="82">
        <f>SUM(G21:G24)</f>
        <v>0.4</v>
      </c>
      <c r="H25" s="15">
        <f>SUM(H23:H24)</f>
        <v>0.5</v>
      </c>
      <c r="I25" s="82">
        <f>SUM(I23:I24)</f>
        <v>1.8</v>
      </c>
      <c r="J25" s="82">
        <f>SUM(J21:J24)</f>
        <v>0</v>
      </c>
      <c r="K25" s="82">
        <f>SUM(K21:K24)</f>
        <v>0.4</v>
      </c>
      <c r="L25" s="19"/>
      <c r="M25" s="19"/>
    </row>
    <row r="26" spans="1:13" ht="16.5">
      <c r="A26" s="211" t="s">
        <v>91</v>
      </c>
      <c r="B26" s="212"/>
      <c r="C26" s="83">
        <f>C20+C25</f>
        <v>1160.2700000000002</v>
      </c>
      <c r="D26" s="83">
        <f>D20+D25</f>
        <v>1342.587</v>
      </c>
      <c r="E26" s="80">
        <f t="shared" si="0"/>
        <v>115.71332534668653</v>
      </c>
      <c r="F26" s="83">
        <f aca="true" t="shared" si="1" ref="F26:K26">F20+F25</f>
        <v>271.78</v>
      </c>
      <c r="G26" s="83">
        <f t="shared" si="1"/>
        <v>256.798</v>
      </c>
      <c r="H26" s="83">
        <f t="shared" si="1"/>
        <v>868.9</v>
      </c>
      <c r="I26" s="83">
        <f t="shared" si="1"/>
        <v>1065</v>
      </c>
      <c r="J26" s="83">
        <f t="shared" si="1"/>
        <v>19.589999999999996</v>
      </c>
      <c r="K26" s="83">
        <f t="shared" si="1"/>
        <v>20.788999999999998</v>
      </c>
      <c r="L26" s="134"/>
      <c r="M26" s="19"/>
    </row>
  </sheetData>
  <sheetProtection/>
  <mergeCells count="5">
    <mergeCell ref="A26:B26"/>
    <mergeCell ref="A3:A5"/>
    <mergeCell ref="B3:B5"/>
    <mergeCell ref="A20:B20"/>
    <mergeCell ref="A25:B25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N31" sqref="N31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8.625" style="0" customWidth="1"/>
    <col min="4" max="4" width="9.375" style="0" customWidth="1"/>
    <col min="5" max="5" width="8.25390625" style="0" customWidth="1"/>
    <col min="6" max="6" width="7.125" style="0" customWidth="1"/>
    <col min="7" max="7" width="7.6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2:20" ht="15.75">
      <c r="B2" s="19"/>
      <c r="C2" s="19"/>
      <c r="D2" s="19"/>
      <c r="E2" s="19"/>
      <c r="F2" s="19"/>
      <c r="G2" s="1" t="s">
        <v>124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2:20" ht="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5">
      <c r="A4" s="76"/>
      <c r="B4" s="22" t="s">
        <v>3</v>
      </c>
      <c r="C4" s="25" t="s">
        <v>65</v>
      </c>
      <c r="D4" s="102"/>
      <c r="E4" s="102"/>
      <c r="F4" s="100"/>
      <c r="G4" s="100"/>
      <c r="H4" s="103"/>
      <c r="I4" s="95" t="s">
        <v>46</v>
      </c>
      <c r="J4" s="100"/>
      <c r="K4" s="102"/>
      <c r="L4" s="100"/>
      <c r="M4" s="100"/>
      <c r="N4" s="103"/>
      <c r="O4" s="95" t="s">
        <v>47</v>
      </c>
      <c r="P4" s="100"/>
      <c r="Q4" s="102"/>
      <c r="R4" s="100"/>
      <c r="S4" s="100"/>
      <c r="T4" s="103"/>
    </row>
    <row r="5" spans="1:20" ht="15" customHeight="1">
      <c r="A5" s="77" t="s">
        <v>2</v>
      </c>
      <c r="B5" s="32"/>
      <c r="C5" s="24" t="s">
        <v>48</v>
      </c>
      <c r="D5" s="100"/>
      <c r="E5" s="151" t="s">
        <v>104</v>
      </c>
      <c r="F5" s="95" t="s">
        <v>49</v>
      </c>
      <c r="G5" s="99"/>
      <c r="H5" s="151" t="s">
        <v>104</v>
      </c>
      <c r="I5" s="154" t="s">
        <v>48</v>
      </c>
      <c r="J5" s="154"/>
      <c r="K5" s="151" t="s">
        <v>104</v>
      </c>
      <c r="L5" s="154" t="s">
        <v>49</v>
      </c>
      <c r="M5" s="154"/>
      <c r="N5" s="151" t="s">
        <v>104</v>
      </c>
      <c r="O5" s="100" t="s">
        <v>48</v>
      </c>
      <c r="P5" s="100"/>
      <c r="Q5" s="151" t="s">
        <v>85</v>
      </c>
      <c r="R5" s="155" t="s">
        <v>49</v>
      </c>
      <c r="S5" s="156"/>
      <c r="T5" s="151" t="s">
        <v>104</v>
      </c>
    </row>
    <row r="6" spans="1:20" ht="15">
      <c r="A6" s="77" t="s">
        <v>70</v>
      </c>
      <c r="B6" s="32"/>
      <c r="C6" s="149">
        <v>2011</v>
      </c>
      <c r="D6" s="149">
        <v>2012</v>
      </c>
      <c r="E6" s="152"/>
      <c r="F6" s="149">
        <v>2011</v>
      </c>
      <c r="G6" s="149">
        <v>2012</v>
      </c>
      <c r="H6" s="152"/>
      <c r="I6" s="149">
        <v>2011</v>
      </c>
      <c r="J6" s="149">
        <v>2012</v>
      </c>
      <c r="K6" s="152"/>
      <c r="L6" s="149">
        <v>2011</v>
      </c>
      <c r="M6" s="149">
        <v>2012</v>
      </c>
      <c r="N6" s="152"/>
      <c r="O6" s="149">
        <v>2011</v>
      </c>
      <c r="P6" s="149">
        <v>2012</v>
      </c>
      <c r="Q6" s="152"/>
      <c r="R6" s="149">
        <v>2011</v>
      </c>
      <c r="S6" s="149">
        <v>2012</v>
      </c>
      <c r="T6" s="152"/>
    </row>
    <row r="7" spans="1:20" ht="15">
      <c r="A7" s="78"/>
      <c r="B7" s="28"/>
      <c r="C7" s="150"/>
      <c r="D7" s="150"/>
      <c r="E7" s="153"/>
      <c r="F7" s="150"/>
      <c r="G7" s="150"/>
      <c r="H7" s="153"/>
      <c r="I7" s="150"/>
      <c r="J7" s="150"/>
      <c r="K7" s="153"/>
      <c r="L7" s="150"/>
      <c r="M7" s="150"/>
      <c r="N7" s="153"/>
      <c r="O7" s="150"/>
      <c r="P7" s="150"/>
      <c r="Q7" s="153"/>
      <c r="R7" s="150"/>
      <c r="S7" s="150"/>
      <c r="T7" s="153"/>
    </row>
    <row r="8" spans="1:20" ht="15">
      <c r="A8" s="2">
        <v>1</v>
      </c>
      <c r="B8" s="21" t="s">
        <v>55</v>
      </c>
      <c r="C8" s="121">
        <v>238</v>
      </c>
      <c r="D8" s="3">
        <v>185</v>
      </c>
      <c r="E8" s="35">
        <f aca="true" t="shared" si="0" ref="E8:E18">D8/C8*100</f>
        <v>77.73109243697479</v>
      </c>
      <c r="F8" s="3"/>
      <c r="G8" s="3"/>
      <c r="H8" s="35"/>
      <c r="I8" s="3">
        <v>56936</v>
      </c>
      <c r="J8" s="3">
        <v>36798</v>
      </c>
      <c r="K8" s="35">
        <f>J8*100/I8</f>
        <v>64.63046227342981</v>
      </c>
      <c r="L8" s="3"/>
      <c r="M8" s="3"/>
      <c r="N8" s="35"/>
      <c r="O8" s="35">
        <f aca="true" t="shared" si="1" ref="O8:O18">C8/I8*100000</f>
        <v>418.0132078122805</v>
      </c>
      <c r="P8" s="35">
        <f aca="true" t="shared" si="2" ref="P8:P17">D8/J8*100000</f>
        <v>502.7447143866514</v>
      </c>
      <c r="Q8" s="35">
        <f aca="true" t="shared" si="3" ref="Q8:Q18">P8/O8*100</f>
        <v>120.27005486688395</v>
      </c>
      <c r="R8" s="35"/>
      <c r="S8" s="35"/>
      <c r="T8" s="35"/>
    </row>
    <row r="9" spans="1:20" ht="15">
      <c r="A9" s="2">
        <v>2</v>
      </c>
      <c r="B9" s="21" t="s">
        <v>56</v>
      </c>
      <c r="C9" s="121">
        <v>136</v>
      </c>
      <c r="D9" s="3">
        <v>119.72</v>
      </c>
      <c r="E9" s="35">
        <f t="shared" si="0"/>
        <v>88.02941176470588</v>
      </c>
      <c r="F9" s="3"/>
      <c r="G9" s="3"/>
      <c r="H9" s="35"/>
      <c r="I9" s="3">
        <v>41342</v>
      </c>
      <c r="J9" s="3">
        <v>40540</v>
      </c>
      <c r="K9" s="35">
        <f aca="true" t="shared" si="4" ref="K9:K23">J9*100/I9</f>
        <v>98.0600841758986</v>
      </c>
      <c r="L9" s="3"/>
      <c r="M9" s="3"/>
      <c r="N9" s="35"/>
      <c r="O9" s="35">
        <f t="shared" si="1"/>
        <v>328.9632818925064</v>
      </c>
      <c r="P9" s="35">
        <f t="shared" si="2"/>
        <v>295.31327084361124</v>
      </c>
      <c r="Q9" s="35">
        <f t="shared" si="3"/>
        <v>89.77089149423952</v>
      </c>
      <c r="R9" s="35"/>
      <c r="S9" s="35"/>
      <c r="T9" s="35"/>
    </row>
    <row r="10" spans="1:20" ht="15">
      <c r="A10" s="2">
        <v>3</v>
      </c>
      <c r="B10" s="36" t="s">
        <v>57</v>
      </c>
      <c r="C10" s="122">
        <v>97</v>
      </c>
      <c r="D10" s="18">
        <v>78</v>
      </c>
      <c r="E10" s="35">
        <f t="shared" si="0"/>
        <v>80.41237113402062</v>
      </c>
      <c r="F10" s="18"/>
      <c r="G10" s="18"/>
      <c r="H10" s="35"/>
      <c r="I10" s="3">
        <v>15905</v>
      </c>
      <c r="J10" s="3">
        <v>11659</v>
      </c>
      <c r="K10" s="35">
        <f t="shared" si="4"/>
        <v>73.30399245520276</v>
      </c>
      <c r="L10" s="18"/>
      <c r="M10" s="18"/>
      <c r="N10" s="85"/>
      <c r="O10" s="35">
        <f t="shared" si="1"/>
        <v>609.8711097139264</v>
      </c>
      <c r="P10" s="35">
        <f t="shared" si="2"/>
        <v>669.0110644137576</v>
      </c>
      <c r="Q10" s="35">
        <f t="shared" si="3"/>
        <v>109.6971235000084</v>
      </c>
      <c r="R10" s="85"/>
      <c r="S10" s="85"/>
      <c r="T10" s="85"/>
    </row>
    <row r="11" spans="1:20" ht="15">
      <c r="A11" s="2">
        <v>4</v>
      </c>
      <c r="B11" s="21" t="s">
        <v>58</v>
      </c>
      <c r="C11" s="121">
        <v>647</v>
      </c>
      <c r="D11" s="3">
        <v>596.4</v>
      </c>
      <c r="E11" s="35">
        <f t="shared" si="0"/>
        <v>92.17928902627511</v>
      </c>
      <c r="F11" s="3">
        <v>273.8</v>
      </c>
      <c r="G11" s="3">
        <v>239.1</v>
      </c>
      <c r="H11" s="35">
        <f>G11/F11*100</f>
        <v>87.32651570489408</v>
      </c>
      <c r="I11" s="3">
        <v>151110</v>
      </c>
      <c r="J11" s="3">
        <v>149121</v>
      </c>
      <c r="K11" s="35">
        <f t="shared" si="4"/>
        <v>98.68374032162001</v>
      </c>
      <c r="L11" s="3">
        <v>63690</v>
      </c>
      <c r="M11" s="3">
        <v>60078</v>
      </c>
      <c r="N11" s="35">
        <f>M11/L11*100</f>
        <v>94.32878002826189</v>
      </c>
      <c r="O11" s="35">
        <f t="shared" si="1"/>
        <v>428.1649129773013</v>
      </c>
      <c r="P11" s="35">
        <f t="shared" si="2"/>
        <v>399.9436699056471</v>
      </c>
      <c r="Q11" s="35">
        <f t="shared" si="3"/>
        <v>93.40879128198196</v>
      </c>
      <c r="R11" s="35">
        <f>F11/L11*100000</f>
        <v>429.8948029517978</v>
      </c>
      <c r="S11" s="35">
        <f>G11/M11*100000</f>
        <v>397.9826225906322</v>
      </c>
      <c r="T11" s="35">
        <f>S11/R11*100</f>
        <v>92.57674665009995</v>
      </c>
    </row>
    <row r="12" spans="1:20" ht="15">
      <c r="A12" s="2">
        <v>5</v>
      </c>
      <c r="B12" s="21" t="s">
        <v>59</v>
      </c>
      <c r="C12" s="123">
        <v>212</v>
      </c>
      <c r="D12" s="86">
        <v>134.7</v>
      </c>
      <c r="E12" s="87">
        <f t="shared" si="0"/>
        <v>63.537735849056595</v>
      </c>
      <c r="F12" s="86">
        <v>171</v>
      </c>
      <c r="G12" s="86">
        <v>15.04</v>
      </c>
      <c r="H12" s="35">
        <f>G12/F12*100</f>
        <v>8.7953216374269</v>
      </c>
      <c r="I12" s="3">
        <v>44145</v>
      </c>
      <c r="J12" s="3">
        <v>42971</v>
      </c>
      <c r="K12" s="35">
        <f t="shared" si="4"/>
        <v>97.34058217238645</v>
      </c>
      <c r="L12" s="3">
        <v>47381</v>
      </c>
      <c r="M12" s="3">
        <v>20593</v>
      </c>
      <c r="N12" s="35">
        <f>M12/L12*100</f>
        <v>43.46256938435238</v>
      </c>
      <c r="O12" s="35">
        <f t="shared" si="1"/>
        <v>480.2355872692264</v>
      </c>
      <c r="P12" s="35">
        <f t="shared" si="2"/>
        <v>313.46722208000745</v>
      </c>
      <c r="Q12" s="35">
        <f t="shared" si="3"/>
        <v>65.27363452227326</v>
      </c>
      <c r="R12" s="35">
        <f>F12/L12*100000</f>
        <v>360.9041598953167</v>
      </c>
      <c r="S12" s="35">
        <f>G12/M12*100000</f>
        <v>73.03452629534307</v>
      </c>
      <c r="T12" s="35">
        <f>S12/R12*100</f>
        <v>20.236543218711404</v>
      </c>
    </row>
    <row r="13" spans="1:20" ht="15">
      <c r="A13" s="2">
        <v>6</v>
      </c>
      <c r="B13" s="37" t="s">
        <v>73</v>
      </c>
      <c r="C13" s="123">
        <v>153</v>
      </c>
      <c r="D13" s="86">
        <v>174.59</v>
      </c>
      <c r="E13" s="87">
        <f t="shared" si="0"/>
        <v>114.11111111111111</v>
      </c>
      <c r="F13" s="86"/>
      <c r="G13" s="86"/>
      <c r="H13" s="87"/>
      <c r="I13" s="86">
        <v>42086</v>
      </c>
      <c r="J13" s="86">
        <v>34325</v>
      </c>
      <c r="K13" s="35">
        <f t="shared" si="4"/>
        <v>81.55918832866037</v>
      </c>
      <c r="L13" s="86"/>
      <c r="M13" s="86"/>
      <c r="N13" s="87"/>
      <c r="O13" s="35">
        <f t="shared" si="1"/>
        <v>363.54132015397045</v>
      </c>
      <c r="P13" s="35">
        <f t="shared" si="2"/>
        <v>508.63801893663515</v>
      </c>
      <c r="Q13" s="35">
        <f t="shared" si="3"/>
        <v>139.91202395403417</v>
      </c>
      <c r="R13" s="35"/>
      <c r="S13" s="35"/>
      <c r="T13" s="87"/>
    </row>
    <row r="14" spans="1:20" ht="15">
      <c r="A14" s="2">
        <v>7</v>
      </c>
      <c r="B14" s="37" t="s">
        <v>60</v>
      </c>
      <c r="C14" s="123">
        <v>52.7</v>
      </c>
      <c r="D14" s="86"/>
      <c r="E14" s="87">
        <f t="shared" si="0"/>
        <v>0</v>
      </c>
      <c r="F14" s="86"/>
      <c r="G14" s="86"/>
      <c r="H14" s="87"/>
      <c r="I14" s="86">
        <v>22350</v>
      </c>
      <c r="J14" s="86"/>
      <c r="K14" s="35">
        <f t="shared" si="4"/>
        <v>0</v>
      </c>
      <c r="L14" s="86"/>
      <c r="M14" s="86"/>
      <c r="N14" s="87"/>
      <c r="O14" s="35">
        <f t="shared" si="1"/>
        <v>235.79418344519019</v>
      </c>
      <c r="P14" s="35"/>
      <c r="Q14" s="87"/>
      <c r="R14" s="35"/>
      <c r="S14" s="3"/>
      <c r="T14" s="87"/>
    </row>
    <row r="15" spans="1:20" ht="15">
      <c r="A15" s="2">
        <v>8</v>
      </c>
      <c r="B15" s="31" t="s">
        <v>87</v>
      </c>
      <c r="C15" s="123">
        <v>69.2</v>
      </c>
      <c r="D15" s="86">
        <v>174.07</v>
      </c>
      <c r="E15" s="87">
        <f t="shared" si="0"/>
        <v>251.54624277456645</v>
      </c>
      <c r="F15" s="86"/>
      <c r="G15" s="86"/>
      <c r="H15" s="87"/>
      <c r="I15" s="86">
        <v>19931</v>
      </c>
      <c r="J15" s="86">
        <v>56988</v>
      </c>
      <c r="K15" s="35">
        <f t="shared" si="4"/>
        <v>285.92644623952634</v>
      </c>
      <c r="L15" s="86"/>
      <c r="M15" s="86"/>
      <c r="N15" s="87"/>
      <c r="O15" s="35">
        <f t="shared" si="1"/>
        <v>347.1978325222016</v>
      </c>
      <c r="P15" s="35">
        <f t="shared" si="2"/>
        <v>305.4502702323296</v>
      </c>
      <c r="Q15" s="89">
        <f t="shared" si="3"/>
        <v>87.9758574566555</v>
      </c>
      <c r="R15" s="35"/>
      <c r="S15" s="3"/>
      <c r="T15" s="87"/>
    </row>
    <row r="16" spans="1:20" s="68" customFormat="1" ht="15">
      <c r="A16" s="2">
        <v>9</v>
      </c>
      <c r="B16" s="31" t="s">
        <v>72</v>
      </c>
      <c r="C16" s="124">
        <v>127.6</v>
      </c>
      <c r="D16" s="88">
        <v>245.46</v>
      </c>
      <c r="E16" s="89">
        <f t="shared" si="0"/>
        <v>192.36677115987462</v>
      </c>
      <c r="F16" s="88"/>
      <c r="G16" s="88"/>
      <c r="H16" s="89"/>
      <c r="I16" s="88">
        <v>31441</v>
      </c>
      <c r="J16" s="88">
        <v>51838</v>
      </c>
      <c r="K16" s="35">
        <f t="shared" si="4"/>
        <v>164.87389077955535</v>
      </c>
      <c r="L16" s="88"/>
      <c r="M16" s="88"/>
      <c r="N16" s="89"/>
      <c r="O16" s="35">
        <f t="shared" si="1"/>
        <v>405.8395089214719</v>
      </c>
      <c r="P16" s="35">
        <f t="shared" si="2"/>
        <v>473.5136386434662</v>
      </c>
      <c r="Q16" s="89">
        <f t="shared" si="3"/>
        <v>116.67509649364594</v>
      </c>
      <c r="R16" s="35"/>
      <c r="S16" s="35"/>
      <c r="T16" s="35"/>
    </row>
    <row r="17" spans="1:20" ht="15">
      <c r="A17" s="2">
        <v>10</v>
      </c>
      <c r="B17" s="37" t="s">
        <v>61</v>
      </c>
      <c r="C17" s="123">
        <v>180</v>
      </c>
      <c r="D17" s="86">
        <v>187</v>
      </c>
      <c r="E17" s="87">
        <f t="shared" si="0"/>
        <v>103.8888888888889</v>
      </c>
      <c r="F17" s="86"/>
      <c r="G17" s="86"/>
      <c r="H17" s="87"/>
      <c r="I17" s="86">
        <v>42454</v>
      </c>
      <c r="J17" s="86">
        <v>41487</v>
      </c>
      <c r="K17" s="35">
        <f t="shared" si="4"/>
        <v>97.72224054270505</v>
      </c>
      <c r="L17" s="86"/>
      <c r="M17" s="86"/>
      <c r="N17" s="87"/>
      <c r="O17" s="35">
        <f t="shared" si="1"/>
        <v>423.98831676638247</v>
      </c>
      <c r="P17" s="35">
        <f t="shared" si="2"/>
        <v>450.7436064309302</v>
      </c>
      <c r="Q17" s="87">
        <f t="shared" si="3"/>
        <v>106.31038370788171</v>
      </c>
      <c r="R17" s="35"/>
      <c r="S17" s="35"/>
      <c r="T17" s="87"/>
    </row>
    <row r="18" spans="1:20" ht="15">
      <c r="A18" s="2">
        <v>11</v>
      </c>
      <c r="B18" s="37" t="s">
        <v>62</v>
      </c>
      <c r="C18" s="123">
        <v>67.1</v>
      </c>
      <c r="D18" s="86">
        <v>20.5</v>
      </c>
      <c r="E18" s="87">
        <f t="shared" si="0"/>
        <v>30.55141579731744</v>
      </c>
      <c r="F18" s="86"/>
      <c r="G18" s="86"/>
      <c r="H18" s="87"/>
      <c r="I18" s="86">
        <v>12430</v>
      </c>
      <c r="J18" s="86">
        <v>2977</v>
      </c>
      <c r="K18" s="35">
        <f t="shared" si="4"/>
        <v>23.950120675784394</v>
      </c>
      <c r="L18" s="86"/>
      <c r="M18" s="86"/>
      <c r="N18" s="87"/>
      <c r="O18" s="35">
        <f t="shared" si="1"/>
        <v>539.8230088495575</v>
      </c>
      <c r="P18" s="35">
        <f>D18/J18*100000</f>
        <v>688.6126973463219</v>
      </c>
      <c r="Q18" s="87">
        <f t="shared" si="3"/>
        <v>127.56268000022028</v>
      </c>
      <c r="R18" s="35"/>
      <c r="S18" s="35"/>
      <c r="T18" s="87"/>
    </row>
    <row r="19" spans="1:20" ht="15">
      <c r="A19" s="2">
        <v>12</v>
      </c>
      <c r="B19" s="79" t="s">
        <v>63</v>
      </c>
      <c r="C19" s="123"/>
      <c r="D19" s="86"/>
      <c r="E19" s="87"/>
      <c r="F19" s="86">
        <v>8350</v>
      </c>
      <c r="G19" s="86">
        <v>10868</v>
      </c>
      <c r="H19" s="87">
        <f>G19/F19*100</f>
        <v>130.1556886227545</v>
      </c>
      <c r="I19" s="3"/>
      <c r="J19" s="86"/>
      <c r="K19" s="35"/>
      <c r="L19" s="86">
        <v>2231598</v>
      </c>
      <c r="M19" s="86">
        <v>2572532</v>
      </c>
      <c r="N19" s="87">
        <f>M19/L19*100</f>
        <v>115.27757239431115</v>
      </c>
      <c r="O19" s="35"/>
      <c r="P19" s="35"/>
      <c r="Q19" s="87"/>
      <c r="R19" s="35">
        <f aca="true" t="shared" si="5" ref="R19:S21">F19/L19*100000</f>
        <v>374.17133372587716</v>
      </c>
      <c r="S19" s="35">
        <f t="shared" si="5"/>
        <v>422.4631608081066</v>
      </c>
      <c r="T19" s="87">
        <f>S19/R19*100</f>
        <v>112.90634068659269</v>
      </c>
    </row>
    <row r="20" spans="1:20" ht="43.5" customHeight="1">
      <c r="A20" s="139" t="s">
        <v>103</v>
      </c>
      <c r="B20" s="140"/>
      <c r="C20" s="125">
        <f>SUM(C8:C19)</f>
        <v>1979.6</v>
      </c>
      <c r="D20" s="3">
        <f>SUM(D8:D19)</f>
        <v>1915.4399999999998</v>
      </c>
      <c r="E20" s="35">
        <f>D20/C20*100</f>
        <v>96.75894120024246</v>
      </c>
      <c r="F20" s="35">
        <f>SUM(F11:F19)</f>
        <v>8794.8</v>
      </c>
      <c r="G20" s="3">
        <f>SUM(G11:G19)</f>
        <v>11122.14</v>
      </c>
      <c r="H20" s="35">
        <f>G20/F20*100</f>
        <v>126.46268249420112</v>
      </c>
      <c r="I20" s="3">
        <f>SUM(I8:I19)</f>
        <v>480130</v>
      </c>
      <c r="J20" s="3">
        <f>SUM(J8:J19)</f>
        <v>468704</v>
      </c>
      <c r="K20" s="35">
        <f t="shared" si="4"/>
        <v>97.62022785495594</v>
      </c>
      <c r="L20" s="3">
        <f>SUM(L11:L19)</f>
        <v>2342669</v>
      </c>
      <c r="M20" s="3">
        <f>SUM(M11:M19)</f>
        <v>2653203</v>
      </c>
      <c r="N20" s="35">
        <f>M20/L20*100</f>
        <v>113.25556448648955</v>
      </c>
      <c r="O20" s="35">
        <f aca="true" t="shared" si="6" ref="O20:P23">C20/I20*100000</f>
        <v>412.3050007289692</v>
      </c>
      <c r="P20" s="35">
        <f t="shared" si="6"/>
        <v>408.66730388475446</v>
      </c>
      <c r="Q20" s="35">
        <f>P20/O20*100</f>
        <v>99.11771702070477</v>
      </c>
      <c r="R20" s="35">
        <f t="shared" si="5"/>
        <v>375.4179527709634</v>
      </c>
      <c r="S20" s="35">
        <f t="shared" si="5"/>
        <v>419.1967218490255</v>
      </c>
      <c r="T20" s="35">
        <f>S20/R20*100</f>
        <v>111.6613413809677</v>
      </c>
    </row>
    <row r="21" spans="1:20" ht="15">
      <c r="A21" s="2">
        <v>13</v>
      </c>
      <c r="B21" s="31" t="s">
        <v>82</v>
      </c>
      <c r="C21" s="94"/>
      <c r="D21" s="86"/>
      <c r="E21" s="35"/>
      <c r="F21" s="86">
        <v>20</v>
      </c>
      <c r="G21" s="86">
        <v>40</v>
      </c>
      <c r="H21" s="35"/>
      <c r="I21" s="3"/>
      <c r="J21" s="86"/>
      <c r="K21" s="35"/>
      <c r="L21" s="86">
        <v>21674</v>
      </c>
      <c r="M21" s="86">
        <v>22845</v>
      </c>
      <c r="N21" s="87">
        <f>M21/L21*100</f>
        <v>105.4027867491003</v>
      </c>
      <c r="O21" s="35"/>
      <c r="P21" s="35"/>
      <c r="Q21" s="35"/>
      <c r="R21" s="35">
        <f t="shared" si="5"/>
        <v>92.27646027498385</v>
      </c>
      <c r="S21" s="35">
        <f t="shared" si="5"/>
        <v>175.09301816590065</v>
      </c>
      <c r="T21" s="35"/>
    </row>
    <row r="22" spans="1:20" ht="18" customHeight="1">
      <c r="A22" s="141" t="s">
        <v>90</v>
      </c>
      <c r="B22" s="142"/>
      <c r="C22" s="86"/>
      <c r="D22" s="86"/>
      <c r="E22" s="35"/>
      <c r="F22" s="86">
        <f>SUM(F21)</f>
        <v>20</v>
      </c>
      <c r="G22" s="86">
        <f>SUM(G21)</f>
        <v>40</v>
      </c>
      <c r="H22" s="35"/>
      <c r="I22" s="3"/>
      <c r="J22" s="86"/>
      <c r="K22" s="35"/>
      <c r="L22" s="86">
        <f>SUM(L21)</f>
        <v>21674</v>
      </c>
      <c r="M22" s="86">
        <f>SUM(M21)</f>
        <v>22845</v>
      </c>
      <c r="N22" s="87">
        <f>M22/L22*100</f>
        <v>105.4027867491003</v>
      </c>
      <c r="O22" s="35"/>
      <c r="P22" s="35"/>
      <c r="Q22" s="35"/>
      <c r="R22" s="35">
        <f>F22/L22*100000</f>
        <v>92.27646027498385</v>
      </c>
      <c r="S22" s="35">
        <f>G22/M22*100000</f>
        <v>175.09301816590065</v>
      </c>
      <c r="T22" s="35"/>
    </row>
    <row r="23" spans="1:20" ht="36.75" customHeight="1">
      <c r="A23" s="137" t="s">
        <v>91</v>
      </c>
      <c r="B23" s="138"/>
      <c r="C23" s="87">
        <f>C20+C22</f>
        <v>1979.6</v>
      </c>
      <c r="D23" s="87">
        <f>D20+D22</f>
        <v>1915.4399999999998</v>
      </c>
      <c r="E23" s="35">
        <f>D23/C23*100</f>
        <v>96.75894120024246</v>
      </c>
      <c r="F23" s="87">
        <f>F20+F22</f>
        <v>8814.8</v>
      </c>
      <c r="G23" s="87">
        <f>G20+G22</f>
        <v>11162.14</v>
      </c>
      <c r="H23" s="35">
        <f>G23/F23*100</f>
        <v>126.6295321504742</v>
      </c>
      <c r="I23" s="87">
        <f>I20+I22</f>
        <v>480130</v>
      </c>
      <c r="J23" s="87">
        <f>J20+J22</f>
        <v>468704</v>
      </c>
      <c r="K23" s="35">
        <f t="shared" si="4"/>
        <v>97.62022785495594</v>
      </c>
      <c r="L23" s="87">
        <f>L20+L22</f>
        <v>2364343</v>
      </c>
      <c r="M23" s="87">
        <f>M20+M22</f>
        <v>2676048</v>
      </c>
      <c r="N23" s="87"/>
      <c r="O23" s="35">
        <f t="shared" si="6"/>
        <v>412.3050007289692</v>
      </c>
      <c r="P23" s="35">
        <f t="shared" si="6"/>
        <v>408.66730388475446</v>
      </c>
      <c r="Q23" s="35">
        <f>P23/O23*100</f>
        <v>99.11771702070477</v>
      </c>
      <c r="R23" s="35">
        <f>F23/L23*100000</f>
        <v>372.8223865995754</v>
      </c>
      <c r="S23" s="35">
        <f>G23/M23*100000</f>
        <v>417.1128470042391</v>
      </c>
      <c r="T23" s="35">
        <f>S23/R23*100</f>
        <v>111.87977492677585</v>
      </c>
    </row>
  </sheetData>
  <sheetProtection/>
  <mergeCells count="24"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  <mergeCell ref="F6:F7"/>
    <mergeCell ref="I6:I7"/>
    <mergeCell ref="K5:K7"/>
    <mergeCell ref="E5:E7"/>
    <mergeCell ref="Q5:Q7"/>
    <mergeCell ref="N5:N7"/>
    <mergeCell ref="I5:J5"/>
    <mergeCell ref="P6:P7"/>
    <mergeCell ref="R6:R7"/>
    <mergeCell ref="O6:O7"/>
    <mergeCell ref="G6:G7"/>
    <mergeCell ref="H5:H7"/>
    <mergeCell ref="J6:J7"/>
    <mergeCell ref="S6:S7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75" zoomScaleNormal="50" zoomScaleSheetLayoutView="75" zoomScalePageLayoutView="0" workbookViewId="0" topLeftCell="A1">
      <selection activeCell="L31" sqref="L31"/>
    </sheetView>
  </sheetViews>
  <sheetFormatPr defaultColWidth="9.00390625" defaultRowHeight="12.75"/>
  <cols>
    <col min="1" max="1" width="3.625" style="0" customWidth="1"/>
    <col min="2" max="2" width="34.625" style="0" customWidth="1"/>
    <col min="3" max="3" width="7.25390625" style="0" customWidth="1"/>
    <col min="4" max="4" width="7.125" style="0" customWidth="1"/>
    <col min="5" max="5" width="8.125" style="0" customWidth="1"/>
    <col min="6" max="6" width="9.75390625" style="0" customWidth="1"/>
    <col min="7" max="7" width="7.125" style="0" customWidth="1"/>
    <col min="8" max="8" width="7.375" style="0" customWidth="1"/>
    <col min="9" max="9" width="8.75390625" style="0" customWidth="1"/>
    <col min="10" max="10" width="8.375" style="0" customWidth="1"/>
    <col min="11" max="11" width="9.625" style="0" customWidth="1"/>
    <col min="12" max="12" width="13.75390625" style="0" customWidth="1"/>
    <col min="13" max="13" width="14.375" style="0" customWidth="1"/>
  </cols>
  <sheetData>
    <row r="1" ht="15.75">
      <c r="C1" s="1" t="s">
        <v>123</v>
      </c>
    </row>
    <row r="2" spans="1:13" ht="15">
      <c r="A2" s="19"/>
      <c r="B2" s="19"/>
      <c r="C2" s="19"/>
      <c r="D2" s="19"/>
      <c r="E2" s="19"/>
      <c r="F2" s="19"/>
      <c r="G2" s="19"/>
      <c r="H2" s="19"/>
      <c r="I2" s="10" t="s">
        <v>54</v>
      </c>
      <c r="J2" s="19"/>
      <c r="K2" s="19"/>
      <c r="L2" s="19"/>
      <c r="M2" s="19"/>
    </row>
    <row r="3" spans="1:13" ht="15" customHeight="1">
      <c r="A3" s="22" t="s">
        <v>2</v>
      </c>
      <c r="B3" s="22" t="s">
        <v>3</v>
      </c>
      <c r="C3" s="24"/>
      <c r="D3" s="24" t="s">
        <v>51</v>
      </c>
      <c r="E3" s="26"/>
      <c r="F3" s="168" t="s">
        <v>115</v>
      </c>
      <c r="G3" s="161" t="s">
        <v>10</v>
      </c>
      <c r="H3" s="162"/>
      <c r="I3" s="163"/>
      <c r="J3" s="24" t="s">
        <v>6</v>
      </c>
      <c r="K3" s="20" t="s">
        <v>7</v>
      </c>
      <c r="L3" s="164" t="s">
        <v>68</v>
      </c>
      <c r="M3" s="165"/>
    </row>
    <row r="4" spans="1:13" ht="15" customHeight="1">
      <c r="A4" s="32"/>
      <c r="B4" s="32"/>
      <c r="C4" s="9">
        <v>2011</v>
      </c>
      <c r="D4" s="41">
        <v>2012</v>
      </c>
      <c r="E4" s="18" t="s">
        <v>4</v>
      </c>
      <c r="F4" s="169"/>
      <c r="G4" s="9">
        <v>2011</v>
      </c>
      <c r="H4" s="41">
        <v>2012</v>
      </c>
      <c r="I4" s="18" t="s">
        <v>4</v>
      </c>
      <c r="J4" s="9">
        <v>2011</v>
      </c>
      <c r="K4" s="41">
        <v>2012</v>
      </c>
      <c r="L4" s="166" t="s">
        <v>1</v>
      </c>
      <c r="M4" s="166" t="s">
        <v>69</v>
      </c>
    </row>
    <row r="5" spans="1:13" ht="15">
      <c r="A5" s="28"/>
      <c r="B5" s="28"/>
      <c r="C5" s="27"/>
      <c r="D5" s="34"/>
      <c r="E5" s="11">
        <v>2011</v>
      </c>
      <c r="F5" s="170"/>
      <c r="G5" s="27"/>
      <c r="H5" s="34"/>
      <c r="I5" s="11">
        <v>2011</v>
      </c>
      <c r="J5" s="34"/>
      <c r="K5" s="28"/>
      <c r="L5" s="167"/>
      <c r="M5" s="167"/>
    </row>
    <row r="6" spans="1:13" ht="15">
      <c r="A6" s="3">
        <v>1</v>
      </c>
      <c r="B6" s="21" t="s">
        <v>55</v>
      </c>
      <c r="C6" s="3"/>
      <c r="D6" s="3"/>
      <c r="E6" s="35"/>
      <c r="F6" s="35"/>
      <c r="G6" s="3">
        <v>17</v>
      </c>
      <c r="H6" s="3">
        <v>9</v>
      </c>
      <c r="I6" s="87">
        <f aca="true" t="shared" si="0" ref="I6:I20">H6*100/G6</f>
        <v>52.94117647058823</v>
      </c>
      <c r="J6" s="120">
        <f>G6+(C6*0.2)+('численность 1'!M6*0.3)+'численность 1'!G6+(('численность 1'!C6-'численность 1'!G6)*0.6)</f>
        <v>283.4</v>
      </c>
      <c r="K6" s="120">
        <f>H6+(D6*0.2)+('численность 1'!N6*0.3)+'численность 1'!H6+(('численность 1'!D6-'численность 1'!H6)*0.6)</f>
        <v>237.6</v>
      </c>
      <c r="L6" s="3">
        <v>4630</v>
      </c>
      <c r="M6" s="3">
        <v>1115</v>
      </c>
    </row>
    <row r="7" spans="1:13" ht="15">
      <c r="A7" s="3">
        <v>2</v>
      </c>
      <c r="B7" s="21" t="s">
        <v>56</v>
      </c>
      <c r="C7" s="3"/>
      <c r="D7" s="3"/>
      <c r="E7" s="35"/>
      <c r="F7" s="35"/>
      <c r="G7" s="3">
        <v>5</v>
      </c>
      <c r="H7" s="3">
        <v>4</v>
      </c>
      <c r="I7" s="87">
        <f t="shared" si="0"/>
        <v>80</v>
      </c>
      <c r="J7" s="120">
        <f>G7+(C7*0.2)+('численность 1'!M7*0.3)+'численность 1'!G7+(('численность 1'!C7-'численность 1'!G7)*0.6)</f>
        <v>171.2</v>
      </c>
      <c r="K7" s="120">
        <f>H7+(D7*0.2)+('численность 1'!N7*0.3)+'численность 1'!H7+(('численность 1'!D7-'численность 1'!H7)*0.6)</f>
        <v>173.8</v>
      </c>
      <c r="L7" s="3">
        <v>4965</v>
      </c>
      <c r="M7" s="3">
        <v>1814</v>
      </c>
    </row>
    <row r="8" spans="1:13" ht="15">
      <c r="A8" s="3">
        <v>3</v>
      </c>
      <c r="B8" s="21" t="s">
        <v>57</v>
      </c>
      <c r="C8" s="3"/>
      <c r="D8" s="3"/>
      <c r="E8" s="35"/>
      <c r="F8" s="35"/>
      <c r="G8" s="3">
        <v>1</v>
      </c>
      <c r="H8" s="3">
        <v>1</v>
      </c>
      <c r="I8" s="87">
        <f t="shared" si="0"/>
        <v>100</v>
      </c>
      <c r="J8" s="120">
        <f>G8+(C8*0.2)+('численность 1'!M8*0.3)+'численность 1'!G8+(('численность 1'!C8-'численность 1'!G8)*0.6)</f>
        <v>98.19999999999999</v>
      </c>
      <c r="K8" s="120">
        <f>H8+(D8*0.2)+('численность 1'!N8*0.3)+'численность 1'!H8+(('численность 1'!D8-'численность 1'!H8)*0.6)</f>
        <v>97.6</v>
      </c>
      <c r="L8" s="3">
        <v>2864</v>
      </c>
      <c r="M8" s="3">
        <v>763</v>
      </c>
    </row>
    <row r="9" spans="1:13" ht="15">
      <c r="A9" s="3">
        <v>4</v>
      </c>
      <c r="B9" s="21" t="s">
        <v>58</v>
      </c>
      <c r="C9" s="3"/>
      <c r="D9" s="3"/>
      <c r="E9" s="3"/>
      <c r="F9" s="3"/>
      <c r="G9" s="3">
        <v>18</v>
      </c>
      <c r="H9" s="3">
        <v>20</v>
      </c>
      <c r="I9" s="87">
        <f t="shared" si="0"/>
        <v>111.11111111111111</v>
      </c>
      <c r="J9" s="120">
        <f>G9+(C9*0.2)+('численность 1'!M9*0.3)+'численность 1'!G9+(('численность 1'!C9-'численность 1'!G9)*0.6)</f>
        <v>717.2</v>
      </c>
      <c r="K9" s="120">
        <f>H9+(D9*0.2)+('численность 1'!N9*0.3)+'численность 1'!H9+(('численность 1'!D9-'численность 1'!H9)*0.6)</f>
        <v>788.5</v>
      </c>
      <c r="L9" s="86">
        <v>15160</v>
      </c>
      <c r="M9" s="86">
        <v>7400</v>
      </c>
    </row>
    <row r="10" spans="1:13" ht="15">
      <c r="A10" s="3">
        <v>5</v>
      </c>
      <c r="B10" s="21" t="s">
        <v>59</v>
      </c>
      <c r="C10" s="84">
        <v>146</v>
      </c>
      <c r="D10" s="3">
        <v>47</v>
      </c>
      <c r="E10" s="87">
        <f>D10*100/C10</f>
        <v>32.19178082191781</v>
      </c>
      <c r="F10" s="87">
        <v>10</v>
      </c>
      <c r="G10" s="3">
        <v>16</v>
      </c>
      <c r="H10" s="3">
        <v>12</v>
      </c>
      <c r="I10" s="87">
        <f t="shared" si="0"/>
        <v>75</v>
      </c>
      <c r="J10" s="120">
        <f>G10+(C10*0.2)+('численность 1'!M10*0.3)+'численность 1'!G10+(('численность 1'!C10-'численность 1'!G10)*0.6)</f>
        <v>466.5</v>
      </c>
      <c r="K10" s="120">
        <f>H10+(D10*0.2)+('численность 1'!N10*0.3)+'численность 1'!H10+(('численность 1'!D10-'численность 1'!H10)*0.6)</f>
        <v>312.3</v>
      </c>
      <c r="L10" s="3">
        <v>5700</v>
      </c>
      <c r="M10" s="3">
        <v>2000</v>
      </c>
    </row>
    <row r="11" spans="1:13" ht="15">
      <c r="A11" s="3">
        <v>6</v>
      </c>
      <c r="B11" s="37" t="s">
        <v>73</v>
      </c>
      <c r="C11" s="86"/>
      <c r="D11" s="86"/>
      <c r="E11" s="87"/>
      <c r="F11" s="87"/>
      <c r="G11" s="3">
        <v>9</v>
      </c>
      <c r="H11" s="3">
        <v>9</v>
      </c>
      <c r="I11" s="87">
        <f t="shared" si="0"/>
        <v>100</v>
      </c>
      <c r="J11" s="120">
        <f>G11+(C11*0.2)+('численность 1'!M11*0.3)+'численность 1'!G11+(('численность 1'!C11-'численность 1'!G11)*0.6)</f>
        <v>206.2</v>
      </c>
      <c r="K11" s="120">
        <f>H11+(D11*0.2)+('численность 1'!N11*0.3)+'численность 1'!H11+(('численность 1'!D11-'численность 1'!H11)*0.6)</f>
        <v>183.39999999999998</v>
      </c>
      <c r="L11" s="86">
        <v>9698</v>
      </c>
      <c r="M11" s="86">
        <v>1980</v>
      </c>
    </row>
    <row r="12" spans="1:13" ht="15">
      <c r="A12" s="3">
        <v>7</v>
      </c>
      <c r="B12" s="21" t="s">
        <v>60</v>
      </c>
      <c r="C12" s="86"/>
      <c r="D12" s="86"/>
      <c r="E12" s="87"/>
      <c r="F12" s="87"/>
      <c r="G12" s="86">
        <v>3</v>
      </c>
      <c r="H12" s="86"/>
      <c r="I12" s="87">
        <f t="shared" si="0"/>
        <v>0</v>
      </c>
      <c r="J12" s="120">
        <f>G12+(C12*0.2)+('численность 1'!M12*0.3)+'численность 1'!G12+(('численность 1'!C12-'численность 1'!G12)*0.6)</f>
        <v>66.6</v>
      </c>
      <c r="K12" s="120">
        <f>H12+(D12*0.2)+('численность 1'!N12*0.3)+'численность 1'!H12+(('численность 1'!D12-'численность 1'!H12)*0.6)</f>
        <v>0</v>
      </c>
      <c r="L12" s="86"/>
      <c r="M12" s="86"/>
    </row>
    <row r="13" spans="1:13" ht="15">
      <c r="A13" s="3">
        <v>8</v>
      </c>
      <c r="B13" s="31" t="s">
        <v>87</v>
      </c>
      <c r="C13" s="86"/>
      <c r="D13" s="86"/>
      <c r="E13" s="87"/>
      <c r="F13" s="87"/>
      <c r="G13" s="86"/>
      <c r="H13" s="86">
        <v>3</v>
      </c>
      <c r="I13" s="87"/>
      <c r="J13" s="120">
        <f>G13+(C13*0.2)+('численность 1'!M13*0.3)+'численность 1'!G13+(('численность 1'!C13-'численность 1'!G13)*0.6)</f>
        <v>88.39999999999999</v>
      </c>
      <c r="K13" s="120">
        <f>H13+(D13*0.2)+('численность 1'!N13*0.3)+'численность 1'!H13+(('численность 1'!D13-'численность 1'!H13)*0.6)</f>
        <v>171.2</v>
      </c>
      <c r="L13" s="86">
        <v>5342</v>
      </c>
      <c r="M13" s="117">
        <v>1497</v>
      </c>
    </row>
    <row r="14" spans="1:13" ht="15">
      <c r="A14" s="3">
        <v>9</v>
      </c>
      <c r="B14" s="31" t="s">
        <v>72</v>
      </c>
      <c r="C14" s="86">
        <v>132</v>
      </c>
      <c r="D14" s="86">
        <v>188</v>
      </c>
      <c r="E14" s="87">
        <f>D14*100/C14</f>
        <v>142.42424242424244</v>
      </c>
      <c r="F14" s="87">
        <v>81</v>
      </c>
      <c r="G14" s="3">
        <v>4</v>
      </c>
      <c r="H14" s="3">
        <v>3</v>
      </c>
      <c r="I14" s="87">
        <f t="shared" si="0"/>
        <v>75</v>
      </c>
      <c r="J14" s="120">
        <f>G14+(C14*0.2)+('численность 1'!M14*0.3)+'численность 1'!G14+(('численность 1'!C14-'численность 1'!G14)*0.6)</f>
        <v>206.8</v>
      </c>
      <c r="K14" s="120">
        <f>H14+(D14*0.2)+('численность 1'!N14*0.3)+'численность 1'!H14+(('численность 1'!D14-'численность 1'!H14)*0.6)</f>
        <v>224.2</v>
      </c>
      <c r="L14" s="86">
        <v>4378</v>
      </c>
      <c r="M14" s="86">
        <v>1780</v>
      </c>
    </row>
    <row r="15" spans="1:13" ht="15">
      <c r="A15" s="3">
        <v>10</v>
      </c>
      <c r="B15" s="21" t="s">
        <v>61</v>
      </c>
      <c r="C15" s="86"/>
      <c r="D15" s="86"/>
      <c r="E15" s="87"/>
      <c r="F15" s="87"/>
      <c r="G15" s="3">
        <v>5</v>
      </c>
      <c r="H15" s="3">
        <v>4</v>
      </c>
      <c r="I15" s="87">
        <f t="shared" si="0"/>
        <v>80</v>
      </c>
      <c r="J15" s="120">
        <f>G15+(C15*0.2)+('численность 1'!M15*0.3)+'численность 1'!G15+(('численность 1'!C15-'численность 1'!G15)*0.6)</f>
        <v>189.6</v>
      </c>
      <c r="K15" s="120">
        <f>H15+(D15*0.2)+('численность 1'!N15*0.3)+'численность 1'!H15+(('численность 1'!D15-'численность 1'!H15)*0.6)</f>
        <v>189.2</v>
      </c>
      <c r="L15" s="86">
        <v>5450</v>
      </c>
      <c r="M15" s="86">
        <v>1060</v>
      </c>
    </row>
    <row r="16" spans="1:13" ht="15">
      <c r="A16" s="3">
        <v>11</v>
      </c>
      <c r="B16" s="21" t="s">
        <v>62</v>
      </c>
      <c r="C16" s="86"/>
      <c r="D16" s="86"/>
      <c r="E16" s="87"/>
      <c r="F16" s="87"/>
      <c r="G16" s="3">
        <v>1</v>
      </c>
      <c r="H16" s="3">
        <v>1</v>
      </c>
      <c r="I16" s="87">
        <f t="shared" si="0"/>
        <v>100</v>
      </c>
      <c r="J16" s="120">
        <f>G16+(C16*0.2)+('численность 1'!M16*0.3)+'численность 1'!G16+(('численность 1'!C16-'численность 1'!G16)*0.6)</f>
        <v>49</v>
      </c>
      <c r="K16" s="120">
        <f>H16+(D16*0.2)+('численность 1'!N16*0.3)+'численность 1'!H16+(('численность 1'!D16-'численность 1'!H16)*0.6)</f>
        <v>44.8</v>
      </c>
      <c r="L16" s="86">
        <v>2620</v>
      </c>
      <c r="M16" s="86">
        <v>460</v>
      </c>
    </row>
    <row r="17" spans="1:13" ht="15">
      <c r="A17" s="3">
        <v>12</v>
      </c>
      <c r="B17" s="21" t="s">
        <v>63</v>
      </c>
      <c r="C17" s="86"/>
      <c r="D17" s="86"/>
      <c r="E17" s="87"/>
      <c r="F17" s="87"/>
      <c r="G17" s="3">
        <v>1</v>
      </c>
      <c r="H17" s="3">
        <v>1</v>
      </c>
      <c r="I17" s="87">
        <f t="shared" si="0"/>
        <v>100</v>
      </c>
      <c r="J17" s="120">
        <f>G17+(C17*0.2)+('численность 1'!M17*0.3)+'численность 1'!G17+(('численность 1'!C17-'численность 1'!G17)*0.6)</f>
        <v>2804.2</v>
      </c>
      <c r="K17" s="120">
        <f>H17+(D17*0.2)+('численность 1'!N17*0.3)+'численность 1'!H17+(('численность 1'!D17-'численность 1'!H17)*0.6)</f>
        <v>3011.2</v>
      </c>
      <c r="L17" s="86">
        <v>10728</v>
      </c>
      <c r="M17" s="86">
        <v>10728</v>
      </c>
    </row>
    <row r="18" spans="1:13" ht="15">
      <c r="A18" s="3">
        <v>13</v>
      </c>
      <c r="B18" s="31" t="s">
        <v>71</v>
      </c>
      <c r="C18" s="86"/>
      <c r="D18" s="86"/>
      <c r="E18" s="87"/>
      <c r="F18" s="87"/>
      <c r="G18" s="3">
        <v>143</v>
      </c>
      <c r="H18" s="3">
        <v>172</v>
      </c>
      <c r="I18" s="87">
        <f t="shared" si="0"/>
        <v>120.27972027972028</v>
      </c>
      <c r="J18" s="120">
        <f>G18+(C18*0.2)+('численность 1'!M18*0.3)+'численность 1'!G18+(('численность 1'!C18-'численность 1'!G18)*0.6)</f>
        <v>143</v>
      </c>
      <c r="K18" s="120">
        <f>H18+(D18*0.2)+('численность 1'!N18*0.3)+'численность 1'!H18+(('численность 1'!D18-'численность 1'!H18)*0.6)</f>
        <v>172</v>
      </c>
      <c r="L18" s="86">
        <v>9675</v>
      </c>
      <c r="M18" s="86"/>
    </row>
    <row r="19" spans="1:13" ht="15">
      <c r="A19" s="30">
        <v>14</v>
      </c>
      <c r="B19" s="31" t="s">
        <v>114</v>
      </c>
      <c r="C19" s="86"/>
      <c r="D19" s="86">
        <v>282</v>
      </c>
      <c r="E19" s="87">
        <v>140</v>
      </c>
      <c r="F19" s="87">
        <v>140</v>
      </c>
      <c r="G19" s="3"/>
      <c r="H19" s="3"/>
      <c r="I19" s="87"/>
      <c r="J19" s="120"/>
      <c r="K19" s="120">
        <f>H19+(D19*0.2)+('численность 1'!N19*0.3)+'численность 1'!H19+(('численность 1'!D19-'численность 1'!H19)*0.6)</f>
        <v>56.400000000000006</v>
      </c>
      <c r="L19" s="86">
        <v>337</v>
      </c>
      <c r="M19" s="86">
        <v>100</v>
      </c>
    </row>
    <row r="20" spans="1:13" ht="60" customHeight="1">
      <c r="A20" s="157" t="s">
        <v>103</v>
      </c>
      <c r="B20" s="158"/>
      <c r="C20" s="86">
        <f>SUM(C10:C18)</f>
        <v>278</v>
      </c>
      <c r="D20" s="86">
        <f>SUM(D6:D19)</f>
        <v>517</v>
      </c>
      <c r="E20" s="87">
        <f>D20*100/C20</f>
        <v>185.97122302158274</v>
      </c>
      <c r="F20" s="87">
        <f>SUM(F6:F19)</f>
        <v>231</v>
      </c>
      <c r="G20" s="3">
        <f>SUM(G6:G18)</f>
        <v>223</v>
      </c>
      <c r="H20" s="3">
        <f>SUM(H6:H18)</f>
        <v>239</v>
      </c>
      <c r="I20" s="87">
        <f t="shared" si="0"/>
        <v>107.17488789237669</v>
      </c>
      <c r="J20" s="120">
        <f>SUM(J6:J18)</f>
        <v>5490.299999999999</v>
      </c>
      <c r="K20" s="120">
        <f>SUM(K6:K19)</f>
        <v>5662.199999999999</v>
      </c>
      <c r="L20" s="86">
        <f>SUM(L6:L19)</f>
        <v>81547</v>
      </c>
      <c r="M20" s="86">
        <f>SUM(M6:M19)</f>
        <v>30697</v>
      </c>
    </row>
    <row r="21" spans="1:13" ht="15.75" customHeight="1">
      <c r="A21" s="132">
        <v>1</v>
      </c>
      <c r="B21" s="31" t="s">
        <v>110</v>
      </c>
      <c r="C21" s="86"/>
      <c r="D21" s="86">
        <v>4</v>
      </c>
      <c r="E21" s="87"/>
      <c r="F21" s="87">
        <v>1</v>
      </c>
      <c r="G21" s="3"/>
      <c r="H21" s="3"/>
      <c r="I21" s="87"/>
      <c r="J21" s="120"/>
      <c r="K21" s="120">
        <f>H21+(D21*0.2)+('численность 1'!N21*0.3)+'численность 1'!H21+(('численность 1'!D21-'численность 1'!H21)*0.6)</f>
        <v>17.6</v>
      </c>
      <c r="L21" s="86">
        <v>248</v>
      </c>
      <c r="M21" s="86">
        <v>61</v>
      </c>
    </row>
    <row r="22" spans="1:13" ht="15.75" customHeight="1">
      <c r="A22" s="132">
        <v>2</v>
      </c>
      <c r="B22" s="31" t="s">
        <v>113</v>
      </c>
      <c r="C22" s="86"/>
      <c r="D22" s="86">
        <v>38</v>
      </c>
      <c r="E22" s="87"/>
      <c r="F22" s="87">
        <v>36</v>
      </c>
      <c r="G22" s="3"/>
      <c r="H22" s="3"/>
      <c r="I22" s="87"/>
      <c r="J22" s="120"/>
      <c r="K22" s="120">
        <f>H22+(D22*0.2)+('численность 1'!N22*0.3)+'численность 1'!H22+(('численность 1'!D22-'численность 1'!H22)*0.6)</f>
        <v>7.6000000000000005</v>
      </c>
      <c r="L22" s="86">
        <v>450</v>
      </c>
      <c r="M22" s="86">
        <v>100</v>
      </c>
    </row>
    <row r="23" spans="1:13" ht="15">
      <c r="A23" s="3">
        <v>3</v>
      </c>
      <c r="B23" s="31" t="s">
        <v>82</v>
      </c>
      <c r="C23" s="86"/>
      <c r="D23" s="86"/>
      <c r="E23" s="87"/>
      <c r="F23" s="87"/>
      <c r="G23" s="3"/>
      <c r="H23" s="3"/>
      <c r="I23" s="87"/>
      <c r="J23" s="120">
        <f>G23+(C23*0.2)+('численность 1'!M23*0.3)+'численность 1'!G23+(('численность 1'!C23-'численность 1'!G23)*0.6)</f>
        <v>28.5</v>
      </c>
      <c r="K23" s="120">
        <f>H23+(D23*0.2)+('численность 1'!N23*0.3)+'численность 1'!H23+(('численность 1'!D23-'численность 1'!H23)*0.6)</f>
        <v>21.3</v>
      </c>
      <c r="L23" s="117">
        <v>220</v>
      </c>
      <c r="M23" s="86">
        <v>220</v>
      </c>
    </row>
    <row r="24" spans="1:13" ht="15">
      <c r="A24" s="3">
        <v>4</v>
      </c>
      <c r="B24" s="31" t="s">
        <v>88</v>
      </c>
      <c r="C24" s="3"/>
      <c r="D24" s="3">
        <v>68</v>
      </c>
      <c r="E24" s="35"/>
      <c r="F24" s="35">
        <v>19</v>
      </c>
      <c r="G24" s="3"/>
      <c r="H24" s="3">
        <v>8</v>
      </c>
      <c r="I24" s="87"/>
      <c r="J24" s="120">
        <f>G24+(C24*0.2)+('численность 1'!M24*0.3)+'численность 1'!G24+(('численность 1'!C24-'численность 1'!G24)*0.6)</f>
        <v>0</v>
      </c>
      <c r="K24" s="120">
        <f>H24+(D24*0.2)+('численность 1'!N24*0.3)+'численность 1'!H24+(('численность 1'!D24-'численность 1'!H24)*0.6)</f>
        <v>21.6</v>
      </c>
      <c r="L24" s="3">
        <v>200</v>
      </c>
      <c r="M24" s="3">
        <v>10</v>
      </c>
    </row>
    <row r="25" spans="1:13" ht="25.5" customHeight="1">
      <c r="A25" s="157" t="s">
        <v>90</v>
      </c>
      <c r="B25" s="158"/>
      <c r="C25" s="86">
        <f>SUM(C24)</f>
        <v>0</v>
      </c>
      <c r="D25" s="86">
        <f>SUM(D21:D24)</f>
        <v>110</v>
      </c>
      <c r="E25" s="86"/>
      <c r="F25" s="86">
        <f>SUM(F21:F24)</f>
        <v>56</v>
      </c>
      <c r="G25" s="86">
        <f>SUM(G23:G24)</f>
        <v>0</v>
      </c>
      <c r="H25" s="86">
        <f>SUM(H23:H24)</f>
        <v>8</v>
      </c>
      <c r="I25" s="87"/>
      <c r="J25" s="120">
        <f>SUM(J21:J24)</f>
        <v>28.5</v>
      </c>
      <c r="K25" s="120">
        <f>SUM(K21:K24)</f>
        <v>68.1</v>
      </c>
      <c r="L25" s="120">
        <f>SUM(L21:L24)</f>
        <v>1118</v>
      </c>
      <c r="M25" s="120">
        <f>SUM(M21:M24)</f>
        <v>391</v>
      </c>
    </row>
    <row r="26" spans="1:13" ht="41.25" customHeight="1">
      <c r="A26" s="159" t="s">
        <v>91</v>
      </c>
      <c r="B26" s="160"/>
      <c r="C26" s="86">
        <f>C20+C25</f>
        <v>278</v>
      </c>
      <c r="D26" s="86">
        <f>D20+D25</f>
        <v>627</v>
      </c>
      <c r="E26" s="35">
        <f>D26/C26*100</f>
        <v>225.53956834532377</v>
      </c>
      <c r="F26" s="86">
        <f>F20+F25</f>
        <v>287</v>
      </c>
      <c r="G26" s="86">
        <f>G20+G25</f>
        <v>223</v>
      </c>
      <c r="H26" s="86">
        <f>H20+H25</f>
        <v>247</v>
      </c>
      <c r="I26" s="87">
        <f>H26*100/G26</f>
        <v>110.76233183856502</v>
      </c>
      <c r="J26" s="117">
        <f>J20+J25</f>
        <v>5518.799999999999</v>
      </c>
      <c r="K26" s="117">
        <f>K20+K25</f>
        <v>5730.299999999999</v>
      </c>
      <c r="L26" s="86">
        <f>L20+L25</f>
        <v>82665</v>
      </c>
      <c r="M26" s="86">
        <f>M20+M25</f>
        <v>31088</v>
      </c>
    </row>
  </sheetData>
  <sheetProtection/>
  <mergeCells count="8">
    <mergeCell ref="A25:B25"/>
    <mergeCell ref="A26:B26"/>
    <mergeCell ref="G3:I3"/>
    <mergeCell ref="L3:M3"/>
    <mergeCell ref="L4:L5"/>
    <mergeCell ref="M4:M5"/>
    <mergeCell ref="A20:B20"/>
    <mergeCell ref="F3:F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view="pageBreakPreview" zoomScale="60" zoomScaleNormal="50" zoomScalePageLayoutView="0" workbookViewId="0" topLeftCell="A1">
      <selection activeCell="T44" sqref="T44"/>
    </sheetView>
  </sheetViews>
  <sheetFormatPr defaultColWidth="9.00390625" defaultRowHeight="12.75"/>
  <cols>
    <col min="1" max="1" width="5.25390625" style="0" customWidth="1"/>
    <col min="2" max="2" width="38.753906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6" t="s">
        <v>122</v>
      </c>
      <c r="F1" s="46"/>
      <c r="G1" s="46"/>
      <c r="H1" s="45"/>
      <c r="I1" s="45"/>
      <c r="J1" s="45"/>
      <c r="K1" s="45"/>
      <c r="L1" s="45"/>
      <c r="M1" s="45"/>
      <c r="N1" s="45"/>
      <c r="O1" s="45"/>
      <c r="P1" s="14"/>
      <c r="Q1" s="42"/>
      <c r="R1" s="1"/>
    </row>
    <row r="2" spans="5:17" ht="20.25">
      <c r="E2" s="45"/>
      <c r="F2" s="45"/>
      <c r="G2" s="45"/>
      <c r="H2" s="47" t="s">
        <v>53</v>
      </c>
      <c r="I2" s="47"/>
      <c r="J2" s="47"/>
      <c r="K2" s="47"/>
      <c r="L2" s="47"/>
      <c r="M2" s="47"/>
      <c r="N2" s="45"/>
      <c r="O2" s="45"/>
      <c r="P2" s="14"/>
      <c r="Q2" s="14"/>
    </row>
    <row r="3" spans="1:21" s="19" customFormat="1" ht="44.25" customHeight="1">
      <c r="A3" s="22" t="s">
        <v>2</v>
      </c>
      <c r="B3" s="149" t="s">
        <v>3</v>
      </c>
      <c r="C3" s="144" t="s">
        <v>75</v>
      </c>
      <c r="D3" s="174"/>
      <c r="E3" s="175"/>
      <c r="F3" s="151" t="s">
        <v>74</v>
      </c>
      <c r="G3" s="144" t="s">
        <v>8</v>
      </c>
      <c r="H3" s="174"/>
      <c r="I3" s="175"/>
      <c r="J3" s="176" t="s">
        <v>67</v>
      </c>
      <c r="K3" s="177"/>
      <c r="L3" s="178"/>
      <c r="M3" s="144" t="s">
        <v>9</v>
      </c>
      <c r="N3" s="174"/>
      <c r="O3" s="174"/>
      <c r="P3" s="174"/>
      <c r="Q3" s="174"/>
      <c r="R3" s="174"/>
      <c r="S3" s="174"/>
      <c r="T3" s="174"/>
      <c r="U3" s="175"/>
    </row>
    <row r="4" spans="1:21" s="19" customFormat="1" ht="23.25" customHeight="1">
      <c r="A4" s="32"/>
      <c r="B4" s="173"/>
      <c r="C4" s="149">
        <v>2011</v>
      </c>
      <c r="D4" s="149">
        <v>2012</v>
      </c>
      <c r="E4" s="98" t="s">
        <v>4</v>
      </c>
      <c r="F4" s="152"/>
      <c r="G4" s="149">
        <v>2011</v>
      </c>
      <c r="H4" s="149">
        <v>2012</v>
      </c>
      <c r="I4" s="98" t="s">
        <v>4</v>
      </c>
      <c r="J4" s="149">
        <v>2011</v>
      </c>
      <c r="K4" s="149">
        <v>2012</v>
      </c>
      <c r="L4" s="98" t="s">
        <v>4</v>
      </c>
      <c r="M4" s="149">
        <v>2011</v>
      </c>
      <c r="N4" s="149">
        <v>2012</v>
      </c>
      <c r="O4" s="98" t="s">
        <v>4</v>
      </c>
      <c r="P4" s="95" t="s">
        <v>5</v>
      </c>
      <c r="Q4" s="99" t="s">
        <v>66</v>
      </c>
      <c r="R4" s="151" t="s">
        <v>102</v>
      </c>
      <c r="S4" s="95" t="s">
        <v>50</v>
      </c>
      <c r="T4" s="100"/>
      <c r="U4" s="151" t="s">
        <v>102</v>
      </c>
    </row>
    <row r="5" spans="1:21" s="19" customFormat="1" ht="23.25" customHeight="1">
      <c r="A5" s="28"/>
      <c r="B5" s="150"/>
      <c r="C5" s="172"/>
      <c r="D5" s="172"/>
      <c r="E5" s="101">
        <v>2011</v>
      </c>
      <c r="F5" s="153"/>
      <c r="G5" s="172"/>
      <c r="H5" s="172"/>
      <c r="I5" s="101">
        <v>2011</v>
      </c>
      <c r="J5" s="172"/>
      <c r="K5" s="172"/>
      <c r="L5" s="101">
        <v>2011</v>
      </c>
      <c r="M5" s="172"/>
      <c r="N5" s="172"/>
      <c r="O5" s="101">
        <v>2011</v>
      </c>
      <c r="P5" s="96">
        <v>2011</v>
      </c>
      <c r="Q5" s="96">
        <v>2012</v>
      </c>
      <c r="R5" s="171"/>
      <c r="S5" s="96">
        <v>2011</v>
      </c>
      <c r="T5" s="96">
        <v>2012</v>
      </c>
      <c r="U5" s="171"/>
    </row>
    <row r="6" spans="1:34" s="19" customFormat="1" ht="24.75" customHeight="1">
      <c r="A6" s="3">
        <v>1</v>
      </c>
      <c r="B6" s="21" t="s">
        <v>55</v>
      </c>
      <c r="C6" s="3">
        <v>324</v>
      </c>
      <c r="D6" s="3">
        <v>261</v>
      </c>
      <c r="E6" s="35">
        <f aca="true" t="shared" si="0" ref="E6:E16">D6*100/C6</f>
        <v>80.55555555555556</v>
      </c>
      <c r="F6" s="3">
        <v>8</v>
      </c>
      <c r="G6" s="3">
        <v>180</v>
      </c>
      <c r="H6" s="3">
        <v>180</v>
      </c>
      <c r="I6" s="35">
        <f aca="true" t="shared" si="1" ref="I6:I16">H6*100/G6</f>
        <v>100</v>
      </c>
      <c r="J6" s="3">
        <v>180</v>
      </c>
      <c r="K6" s="3">
        <v>180</v>
      </c>
      <c r="L6" s="35">
        <f aca="true" t="shared" si="2" ref="L6:L26">K6*100/J6</f>
        <v>100</v>
      </c>
      <c r="M6" s="65"/>
      <c r="N6" s="3"/>
      <c r="O6" s="35"/>
      <c r="P6" s="65"/>
      <c r="Q6" s="3"/>
      <c r="R6" s="35"/>
      <c r="S6" s="108"/>
      <c r="T6" s="35"/>
      <c r="U6" s="35"/>
      <c r="AH6" s="84"/>
    </row>
    <row r="7" spans="1:34" s="19" customFormat="1" ht="24.75" customHeight="1">
      <c r="A7" s="3">
        <v>2</v>
      </c>
      <c r="B7" s="21" t="s">
        <v>56</v>
      </c>
      <c r="C7" s="3">
        <v>207</v>
      </c>
      <c r="D7" s="3">
        <v>213</v>
      </c>
      <c r="E7" s="35">
        <f t="shared" si="0"/>
        <v>102.89855072463769</v>
      </c>
      <c r="F7" s="3">
        <v>2</v>
      </c>
      <c r="G7" s="3">
        <v>105</v>
      </c>
      <c r="H7" s="3">
        <v>105</v>
      </c>
      <c r="I7" s="35">
        <f t="shared" si="1"/>
        <v>100</v>
      </c>
      <c r="J7" s="3">
        <v>105</v>
      </c>
      <c r="K7" s="3">
        <v>105</v>
      </c>
      <c r="L7" s="35">
        <f t="shared" si="2"/>
        <v>100</v>
      </c>
      <c r="M7" s="65"/>
      <c r="N7" s="3"/>
      <c r="O7" s="35"/>
      <c r="P7" s="65"/>
      <c r="Q7" s="3"/>
      <c r="R7" s="35"/>
      <c r="S7" s="108"/>
      <c r="T7" s="35"/>
      <c r="U7" s="35"/>
      <c r="AH7" s="84"/>
    </row>
    <row r="8" spans="1:34" s="19" customFormat="1" ht="24.75" customHeight="1">
      <c r="A8" s="3">
        <v>3</v>
      </c>
      <c r="B8" s="21" t="s">
        <v>57</v>
      </c>
      <c r="C8" s="3">
        <v>122</v>
      </c>
      <c r="D8" s="3">
        <v>121</v>
      </c>
      <c r="E8" s="35">
        <f t="shared" si="0"/>
        <v>99.18032786885246</v>
      </c>
      <c r="F8" s="86">
        <v>2</v>
      </c>
      <c r="G8" s="3">
        <v>60</v>
      </c>
      <c r="H8" s="3">
        <v>60</v>
      </c>
      <c r="I8" s="35">
        <f t="shared" si="1"/>
        <v>100</v>
      </c>
      <c r="J8" s="3">
        <v>60</v>
      </c>
      <c r="K8" s="3">
        <v>60</v>
      </c>
      <c r="L8" s="35">
        <f t="shared" si="2"/>
        <v>100</v>
      </c>
      <c r="M8" s="65"/>
      <c r="N8" s="3"/>
      <c r="O8" s="97"/>
      <c r="P8" s="65"/>
      <c r="Q8" s="3"/>
      <c r="R8" s="35"/>
      <c r="S8" s="108"/>
      <c r="T8" s="35"/>
      <c r="U8" s="35"/>
      <c r="AH8" s="84"/>
    </row>
    <row r="9" spans="1:34" s="19" customFormat="1" ht="24.75" customHeight="1">
      <c r="A9" s="3">
        <v>4</v>
      </c>
      <c r="B9" s="21" t="s">
        <v>58</v>
      </c>
      <c r="C9" s="3">
        <v>774</v>
      </c>
      <c r="D9" s="3">
        <v>842</v>
      </c>
      <c r="E9" s="35">
        <f t="shared" si="0"/>
        <v>108.78552971576228</v>
      </c>
      <c r="F9" s="3">
        <v>26</v>
      </c>
      <c r="G9" s="3">
        <v>308</v>
      </c>
      <c r="H9" s="3">
        <v>308</v>
      </c>
      <c r="I9" s="35">
        <f t="shared" si="1"/>
        <v>100</v>
      </c>
      <c r="J9" s="3">
        <v>308</v>
      </c>
      <c r="K9" s="3">
        <v>308</v>
      </c>
      <c r="L9" s="35">
        <f t="shared" si="2"/>
        <v>100</v>
      </c>
      <c r="M9" s="3">
        <v>372</v>
      </c>
      <c r="N9" s="3">
        <v>467</v>
      </c>
      <c r="O9" s="35">
        <f>N9*100/M9</f>
        <v>125.53763440860214</v>
      </c>
      <c r="P9" s="3">
        <v>28</v>
      </c>
      <c r="Q9" s="3">
        <v>28</v>
      </c>
      <c r="R9" s="35">
        <f>Q9*100/P9</f>
        <v>100</v>
      </c>
      <c r="S9" s="3">
        <v>39</v>
      </c>
      <c r="T9" s="3">
        <v>28</v>
      </c>
      <c r="U9" s="35">
        <f>T9*100/S9</f>
        <v>71.7948717948718</v>
      </c>
      <c r="AH9" s="84"/>
    </row>
    <row r="10" spans="1:34" s="19" customFormat="1" ht="24.75" customHeight="1">
      <c r="A10" s="3">
        <v>5</v>
      </c>
      <c r="B10" s="21" t="s">
        <v>59</v>
      </c>
      <c r="C10" s="3">
        <v>378</v>
      </c>
      <c r="D10" s="3">
        <v>280</v>
      </c>
      <c r="E10" s="35">
        <f t="shared" si="0"/>
        <v>74.07407407407408</v>
      </c>
      <c r="F10" s="117"/>
      <c r="G10" s="3">
        <v>280</v>
      </c>
      <c r="H10" s="3">
        <v>200</v>
      </c>
      <c r="I10" s="35">
        <f t="shared" si="1"/>
        <v>71.42857142857143</v>
      </c>
      <c r="J10" s="3">
        <v>280</v>
      </c>
      <c r="K10" s="3">
        <v>220</v>
      </c>
      <c r="L10" s="35">
        <f t="shared" si="2"/>
        <v>78.57142857142857</v>
      </c>
      <c r="M10" s="3">
        <v>275</v>
      </c>
      <c r="N10" s="3">
        <v>143</v>
      </c>
      <c r="O10" s="35">
        <f>N10*100/M10</f>
        <v>52</v>
      </c>
      <c r="P10" s="3">
        <v>80</v>
      </c>
      <c r="Q10" s="3">
        <v>54</v>
      </c>
      <c r="R10" s="35">
        <f>Q10*100/P10</f>
        <v>67.5</v>
      </c>
      <c r="S10" s="3">
        <v>20</v>
      </c>
      <c r="T10" s="3"/>
      <c r="U10" s="35"/>
      <c r="AH10" s="84"/>
    </row>
    <row r="11" spans="1:34" s="19" customFormat="1" ht="24.75" customHeight="1">
      <c r="A11" s="3">
        <v>6</v>
      </c>
      <c r="B11" s="37" t="s">
        <v>73</v>
      </c>
      <c r="C11" s="3">
        <v>272</v>
      </c>
      <c r="D11" s="3">
        <v>234</v>
      </c>
      <c r="E11" s="35">
        <f t="shared" si="0"/>
        <v>86.02941176470588</v>
      </c>
      <c r="F11" s="117">
        <v>26</v>
      </c>
      <c r="G11" s="3">
        <v>85</v>
      </c>
      <c r="H11" s="3">
        <v>85</v>
      </c>
      <c r="I11" s="35">
        <f t="shared" si="1"/>
        <v>100</v>
      </c>
      <c r="J11" s="3">
        <v>85</v>
      </c>
      <c r="K11" s="3">
        <v>85</v>
      </c>
      <c r="L11" s="35">
        <f t="shared" si="2"/>
        <v>100</v>
      </c>
      <c r="M11" s="3"/>
      <c r="N11" s="3"/>
      <c r="O11" s="35"/>
      <c r="P11" s="3"/>
      <c r="Q11" s="3"/>
      <c r="R11" s="35"/>
      <c r="S11" s="3"/>
      <c r="T11" s="3"/>
      <c r="U11" s="35"/>
      <c r="AH11" s="84"/>
    </row>
    <row r="12" spans="1:34" s="19" customFormat="1" ht="24.75" customHeight="1">
      <c r="A12" s="3">
        <v>7</v>
      </c>
      <c r="B12" s="21" t="s">
        <v>60</v>
      </c>
      <c r="C12" s="3">
        <v>66</v>
      </c>
      <c r="D12" s="3"/>
      <c r="E12" s="35">
        <f t="shared" si="0"/>
        <v>0</v>
      </c>
      <c r="F12" s="3"/>
      <c r="G12" s="3">
        <v>60</v>
      </c>
      <c r="H12" s="3"/>
      <c r="I12" s="35">
        <f t="shared" si="1"/>
        <v>0</v>
      </c>
      <c r="J12" s="3">
        <v>60</v>
      </c>
      <c r="K12" s="3"/>
      <c r="L12" s="35">
        <f t="shared" si="2"/>
        <v>0</v>
      </c>
      <c r="M12" s="3"/>
      <c r="N12" s="3"/>
      <c r="O12" s="35"/>
      <c r="P12" s="3"/>
      <c r="Q12" s="3"/>
      <c r="R12" s="35"/>
      <c r="S12" s="3"/>
      <c r="T12" s="3"/>
      <c r="U12" s="35"/>
      <c r="AH12" s="84"/>
    </row>
    <row r="13" spans="1:34" s="19" customFormat="1" ht="24.75" customHeight="1">
      <c r="A13" s="3">
        <v>8</v>
      </c>
      <c r="B13" s="31" t="s">
        <v>87</v>
      </c>
      <c r="C13" s="3">
        <v>144</v>
      </c>
      <c r="D13" s="3">
        <v>237</v>
      </c>
      <c r="E13" s="35">
        <f t="shared" si="0"/>
        <v>164.58333333333334</v>
      </c>
      <c r="F13" s="3">
        <v>15</v>
      </c>
      <c r="G13" s="3">
        <v>5</v>
      </c>
      <c r="H13" s="3">
        <v>65</v>
      </c>
      <c r="I13" s="35">
        <f t="shared" si="1"/>
        <v>1300</v>
      </c>
      <c r="J13" s="3"/>
      <c r="K13" s="3">
        <v>65</v>
      </c>
      <c r="L13" s="35"/>
      <c r="M13" s="3"/>
      <c r="N13" s="3"/>
      <c r="O13" s="35"/>
      <c r="P13" s="3"/>
      <c r="Q13" s="3"/>
      <c r="R13" s="35"/>
      <c r="S13" s="3"/>
      <c r="T13" s="3"/>
      <c r="U13" s="35"/>
      <c r="AH13" s="84"/>
    </row>
    <row r="14" spans="1:34" s="19" customFormat="1" ht="24.75" customHeight="1">
      <c r="A14" s="3">
        <v>9</v>
      </c>
      <c r="B14" s="31" t="s">
        <v>72</v>
      </c>
      <c r="C14" s="3">
        <v>242</v>
      </c>
      <c r="D14" s="3">
        <v>254</v>
      </c>
      <c r="E14" s="35">
        <f t="shared" si="0"/>
        <v>104.95867768595042</v>
      </c>
      <c r="F14" s="3">
        <v>20</v>
      </c>
      <c r="G14" s="3">
        <v>78</v>
      </c>
      <c r="H14" s="3">
        <v>78</v>
      </c>
      <c r="I14" s="35">
        <f t="shared" si="1"/>
        <v>100</v>
      </c>
      <c r="J14" s="3">
        <v>78</v>
      </c>
      <c r="K14" s="3">
        <v>78</v>
      </c>
      <c r="L14" s="35">
        <f t="shared" si="2"/>
        <v>100</v>
      </c>
      <c r="M14" s="3"/>
      <c r="N14" s="3"/>
      <c r="O14" s="35"/>
      <c r="P14" s="3"/>
      <c r="Q14" s="3"/>
      <c r="R14" s="35"/>
      <c r="S14" s="3"/>
      <c r="T14" s="3"/>
      <c r="U14" s="35"/>
      <c r="AH14" s="84"/>
    </row>
    <row r="15" spans="1:34" s="19" customFormat="1" ht="24.75" customHeight="1">
      <c r="A15" s="3">
        <v>10</v>
      </c>
      <c r="B15" s="21" t="s">
        <v>61</v>
      </c>
      <c r="C15" s="3">
        <v>241</v>
      </c>
      <c r="D15" s="3">
        <v>242</v>
      </c>
      <c r="E15" s="35">
        <f t="shared" si="0"/>
        <v>100.4149377593361</v>
      </c>
      <c r="F15" s="3">
        <v>16</v>
      </c>
      <c r="G15" s="3">
        <v>100</v>
      </c>
      <c r="H15" s="3">
        <v>100</v>
      </c>
      <c r="I15" s="35">
        <f t="shared" si="1"/>
        <v>100</v>
      </c>
      <c r="J15" s="3">
        <v>100</v>
      </c>
      <c r="K15" s="3">
        <v>100</v>
      </c>
      <c r="L15" s="35">
        <f t="shared" si="2"/>
        <v>100</v>
      </c>
      <c r="M15" s="3"/>
      <c r="N15" s="3"/>
      <c r="O15" s="35"/>
      <c r="P15" s="3"/>
      <c r="Q15" s="3"/>
      <c r="R15" s="35"/>
      <c r="S15" s="3"/>
      <c r="T15" s="3"/>
      <c r="U15" s="35"/>
      <c r="AH15" s="84"/>
    </row>
    <row r="16" spans="1:34" s="19" customFormat="1" ht="24.75" customHeight="1">
      <c r="A16" s="3">
        <v>11</v>
      </c>
      <c r="B16" s="21" t="s">
        <v>62</v>
      </c>
      <c r="C16" s="3">
        <v>52</v>
      </c>
      <c r="D16" s="3">
        <v>45</v>
      </c>
      <c r="E16" s="35">
        <f t="shared" si="0"/>
        <v>86.53846153846153</v>
      </c>
      <c r="F16" s="3"/>
      <c r="G16" s="3">
        <v>42</v>
      </c>
      <c r="H16" s="3">
        <v>42</v>
      </c>
      <c r="I16" s="35">
        <f t="shared" si="1"/>
        <v>100</v>
      </c>
      <c r="J16" s="3">
        <v>42</v>
      </c>
      <c r="K16" s="3">
        <v>41</v>
      </c>
      <c r="L16" s="35">
        <f t="shared" si="2"/>
        <v>97.61904761904762</v>
      </c>
      <c r="M16" s="3"/>
      <c r="N16" s="3"/>
      <c r="O16" s="35"/>
      <c r="P16" s="3"/>
      <c r="Q16" s="3"/>
      <c r="R16" s="35"/>
      <c r="S16" s="3"/>
      <c r="T16" s="3"/>
      <c r="U16" s="35"/>
      <c r="AH16" s="84"/>
    </row>
    <row r="17" spans="1:34" s="19" customFormat="1" ht="24.75" customHeight="1">
      <c r="A17" s="3">
        <v>12</v>
      </c>
      <c r="B17" s="21" t="s">
        <v>63</v>
      </c>
      <c r="C17" s="3"/>
      <c r="D17" s="3"/>
      <c r="E17" s="35"/>
      <c r="F17" s="3"/>
      <c r="G17" s="3"/>
      <c r="H17" s="3"/>
      <c r="I17" s="35"/>
      <c r="J17" s="3"/>
      <c r="K17" s="3"/>
      <c r="L17" s="35"/>
      <c r="M17" s="3">
        <v>9344</v>
      </c>
      <c r="N17" s="3">
        <v>10034</v>
      </c>
      <c r="O17" s="35">
        <f>N17*100/M17</f>
        <v>107.38441780821918</v>
      </c>
      <c r="P17" s="3">
        <v>240</v>
      </c>
      <c r="Q17" s="3">
        <v>240</v>
      </c>
      <c r="R17" s="35">
        <f>Q17*100/P17</f>
        <v>100</v>
      </c>
      <c r="S17" s="3">
        <v>381</v>
      </c>
      <c r="T17" s="3">
        <v>487</v>
      </c>
      <c r="U17" s="35">
        <f>T17*100/S17</f>
        <v>127.82152230971128</v>
      </c>
      <c r="AH17" s="84"/>
    </row>
    <row r="18" spans="1:34" s="19" customFormat="1" ht="24.75" customHeight="1">
      <c r="A18" s="3">
        <v>13</v>
      </c>
      <c r="B18" s="31" t="s">
        <v>71</v>
      </c>
      <c r="C18" s="3"/>
      <c r="D18" s="3"/>
      <c r="E18" s="35"/>
      <c r="F18" s="3"/>
      <c r="G18" s="3"/>
      <c r="H18" s="3"/>
      <c r="I18" s="35"/>
      <c r="J18" s="3"/>
      <c r="K18" s="3"/>
      <c r="L18" s="35"/>
      <c r="M18" s="3"/>
      <c r="N18" s="3"/>
      <c r="O18" s="35"/>
      <c r="P18" s="3"/>
      <c r="Q18" s="3"/>
      <c r="R18" s="35"/>
      <c r="S18" s="3"/>
      <c r="T18" s="3"/>
      <c r="U18" s="35"/>
      <c r="AH18" s="84"/>
    </row>
    <row r="19" spans="1:34" s="19" customFormat="1" ht="24.75" customHeight="1">
      <c r="A19" s="30">
        <v>14</v>
      </c>
      <c r="B19" s="31" t="s">
        <v>114</v>
      </c>
      <c r="C19" s="3"/>
      <c r="D19" s="3"/>
      <c r="E19" s="35"/>
      <c r="F19" s="3"/>
      <c r="G19" s="3"/>
      <c r="H19" s="3"/>
      <c r="I19" s="35"/>
      <c r="J19" s="3"/>
      <c r="K19" s="3"/>
      <c r="L19" s="35"/>
      <c r="M19" s="3"/>
      <c r="N19" s="3"/>
      <c r="O19" s="35"/>
      <c r="P19" s="3"/>
      <c r="Q19" s="3"/>
      <c r="R19" s="35"/>
      <c r="S19" s="3"/>
      <c r="T19" s="3"/>
      <c r="U19" s="35"/>
      <c r="AH19" s="84"/>
    </row>
    <row r="20" spans="1:21" s="19" customFormat="1" ht="57" customHeight="1">
      <c r="A20" s="157" t="s">
        <v>103</v>
      </c>
      <c r="B20" s="158"/>
      <c r="C20" s="3">
        <f>SUM(C6:C18)</f>
        <v>2822</v>
      </c>
      <c r="D20" s="3">
        <f>SUM(D6:D18)</f>
        <v>2729</v>
      </c>
      <c r="E20" s="35">
        <f>D20*100/C20</f>
        <v>96.70446491849752</v>
      </c>
      <c r="F20" s="3">
        <f>SUM(F6:F18)</f>
        <v>115</v>
      </c>
      <c r="G20" s="3">
        <f>SUM(G6:G18)</f>
        <v>1303</v>
      </c>
      <c r="H20" s="3">
        <f>SUM(H6:H18)</f>
        <v>1223</v>
      </c>
      <c r="I20" s="35">
        <f>H20*100/G20</f>
        <v>93.86032233307752</v>
      </c>
      <c r="J20" s="3">
        <f>SUM(J6:J18)</f>
        <v>1298</v>
      </c>
      <c r="K20" s="3">
        <f>SUM(K6:K18)</f>
        <v>1242</v>
      </c>
      <c r="L20" s="35">
        <f t="shared" si="2"/>
        <v>95.68567026194145</v>
      </c>
      <c r="M20" s="3">
        <f>SUM(M9:M18)</f>
        <v>9991</v>
      </c>
      <c r="N20" s="3">
        <f>SUM(N9:N18)</f>
        <v>10644</v>
      </c>
      <c r="O20" s="35">
        <f>N20*100/M20</f>
        <v>106.53588229406466</v>
      </c>
      <c r="P20" s="3">
        <f>SUM(P9:P18)</f>
        <v>348</v>
      </c>
      <c r="Q20" s="3">
        <f>SUM(Q9:Q18)</f>
        <v>322</v>
      </c>
      <c r="R20" s="35">
        <f>Q20*100/P20</f>
        <v>92.52873563218391</v>
      </c>
      <c r="S20" s="3">
        <f>SUM(S9:S18)</f>
        <v>440</v>
      </c>
      <c r="T20" s="35">
        <f>SUM(T9:T18)</f>
        <v>515</v>
      </c>
      <c r="U20" s="35">
        <f>T20*100/S20</f>
        <v>117.04545454545455</v>
      </c>
    </row>
    <row r="21" spans="1:21" s="19" customFormat="1" ht="24.75" customHeight="1">
      <c r="A21" s="132">
        <v>1</v>
      </c>
      <c r="B21" s="31" t="s">
        <v>110</v>
      </c>
      <c r="C21" s="3"/>
      <c r="D21" s="3">
        <v>18</v>
      </c>
      <c r="E21" s="35"/>
      <c r="F21" s="3"/>
      <c r="G21" s="3"/>
      <c r="H21" s="3">
        <v>15</v>
      </c>
      <c r="I21" s="35"/>
      <c r="J21" s="3"/>
      <c r="K21" s="3">
        <v>15</v>
      </c>
      <c r="L21" s="35"/>
      <c r="M21" s="3"/>
      <c r="N21" s="3"/>
      <c r="O21" s="35"/>
      <c r="P21" s="3"/>
      <c r="Q21" s="3"/>
      <c r="R21" s="35"/>
      <c r="S21" s="3"/>
      <c r="T21" s="35"/>
      <c r="U21" s="35"/>
    </row>
    <row r="22" spans="1:21" s="19" customFormat="1" ht="24.75" customHeight="1">
      <c r="A22" s="132">
        <v>2</v>
      </c>
      <c r="B22" s="31" t="s">
        <v>113</v>
      </c>
      <c r="C22" s="3"/>
      <c r="D22" s="3"/>
      <c r="E22" s="35"/>
      <c r="F22" s="3"/>
      <c r="G22" s="3"/>
      <c r="H22" s="3"/>
      <c r="I22" s="35"/>
      <c r="J22" s="3"/>
      <c r="K22" s="3"/>
      <c r="L22" s="35"/>
      <c r="M22" s="3"/>
      <c r="N22" s="3"/>
      <c r="O22" s="35"/>
      <c r="P22" s="3"/>
      <c r="Q22" s="3"/>
      <c r="R22" s="35"/>
      <c r="S22" s="3"/>
      <c r="T22" s="35"/>
      <c r="U22" s="35"/>
    </row>
    <row r="23" spans="1:34" s="19" customFormat="1" ht="24.75" customHeight="1">
      <c r="A23" s="3">
        <v>3</v>
      </c>
      <c r="B23" s="31" t="s">
        <v>82</v>
      </c>
      <c r="C23" s="3"/>
      <c r="D23" s="3"/>
      <c r="E23" s="35"/>
      <c r="F23" s="3"/>
      <c r="G23" s="3"/>
      <c r="H23" s="3"/>
      <c r="I23" s="35"/>
      <c r="J23" s="3"/>
      <c r="K23" s="3"/>
      <c r="L23" s="35"/>
      <c r="M23" s="3">
        <v>95</v>
      </c>
      <c r="N23" s="3">
        <v>71</v>
      </c>
      <c r="O23" s="35">
        <f>N23*100/M23</f>
        <v>74.73684210526316</v>
      </c>
      <c r="P23" s="3">
        <v>10</v>
      </c>
      <c r="Q23" s="3">
        <v>8</v>
      </c>
      <c r="R23" s="35">
        <f>Q23*100/P23</f>
        <v>80</v>
      </c>
      <c r="S23" s="3">
        <v>2</v>
      </c>
      <c r="T23" s="3">
        <v>5</v>
      </c>
      <c r="U23" s="35">
        <f>T23*100/S23</f>
        <v>250</v>
      </c>
      <c r="AH23" s="84"/>
    </row>
    <row r="24" spans="1:34" s="19" customFormat="1" ht="24.75" customHeight="1">
      <c r="A24" s="3">
        <v>4</v>
      </c>
      <c r="B24" s="31" t="s">
        <v>88</v>
      </c>
      <c r="C24" s="3"/>
      <c r="D24" s="3"/>
      <c r="E24" s="35"/>
      <c r="F24" s="3"/>
      <c r="G24" s="3"/>
      <c r="H24" s="3"/>
      <c r="I24" s="35"/>
      <c r="J24" s="3"/>
      <c r="K24" s="3"/>
      <c r="L24" s="35"/>
      <c r="M24" s="3"/>
      <c r="N24" s="3"/>
      <c r="O24" s="35"/>
      <c r="P24" s="3"/>
      <c r="Q24" s="3"/>
      <c r="R24" s="35"/>
      <c r="S24" s="3"/>
      <c r="T24" s="3"/>
      <c r="U24" s="35"/>
      <c r="AH24" s="84"/>
    </row>
    <row r="25" spans="1:34" s="19" customFormat="1" ht="24.75" customHeight="1">
      <c r="A25" s="157" t="s">
        <v>90</v>
      </c>
      <c r="B25" s="158"/>
      <c r="C25" s="3"/>
      <c r="D25" s="3">
        <f>SUM(D21:D24)</f>
        <v>18</v>
      </c>
      <c r="E25" s="35"/>
      <c r="F25" s="3"/>
      <c r="G25" s="3"/>
      <c r="H25" s="3">
        <f>SUM(H21:H24)</f>
        <v>15</v>
      </c>
      <c r="I25" s="35"/>
      <c r="J25" s="3"/>
      <c r="K25" s="3">
        <f>K21+K23+K24</f>
        <v>15</v>
      </c>
      <c r="L25" s="35"/>
      <c r="M25" s="3">
        <f>SUM(M23:M24)</f>
        <v>95</v>
      </c>
      <c r="N25" s="3">
        <f>SUM(N23:N24)</f>
        <v>71</v>
      </c>
      <c r="O25" s="35">
        <f>N25*100/M25</f>
        <v>74.73684210526316</v>
      </c>
      <c r="P25" s="3">
        <f>SUM(P23:P24)</f>
        <v>10</v>
      </c>
      <c r="Q25" s="3">
        <f>SUM(Q23:Q24)</f>
        <v>8</v>
      </c>
      <c r="R25" s="35">
        <f>Q25*100/P25</f>
        <v>80</v>
      </c>
      <c r="S25" s="3">
        <f>SUM(S23:S24)</f>
        <v>2</v>
      </c>
      <c r="T25" s="3">
        <f>SUM(T23:T24)</f>
        <v>5</v>
      </c>
      <c r="U25" s="35">
        <f>T25*100/S25</f>
        <v>250</v>
      </c>
      <c r="AH25" s="84"/>
    </row>
    <row r="26" spans="1:34" s="19" customFormat="1" ht="36" customHeight="1">
      <c r="A26" s="159" t="s">
        <v>91</v>
      </c>
      <c r="B26" s="160"/>
      <c r="C26" s="3">
        <f>C20+C25</f>
        <v>2822</v>
      </c>
      <c r="D26" s="3">
        <f>D20+D25</f>
        <v>2747</v>
      </c>
      <c r="E26" s="35">
        <f>D26*100/C26</f>
        <v>97.34231041814316</v>
      </c>
      <c r="F26" s="3">
        <f>F20+F25</f>
        <v>115</v>
      </c>
      <c r="G26" s="3">
        <f>G20+G25</f>
        <v>1303</v>
      </c>
      <c r="H26" s="3">
        <f>H20+H25</f>
        <v>1238</v>
      </c>
      <c r="I26" s="35">
        <f>H26*100/G26</f>
        <v>95.01151189562547</v>
      </c>
      <c r="J26" s="3">
        <f>J20+J25</f>
        <v>1298</v>
      </c>
      <c r="K26" s="3">
        <f>K20+K25</f>
        <v>1257</v>
      </c>
      <c r="L26" s="35">
        <f t="shared" si="2"/>
        <v>96.84129429892141</v>
      </c>
      <c r="M26" s="3">
        <f>M20+M25</f>
        <v>10086</v>
      </c>
      <c r="N26" s="3">
        <f>N20+N25</f>
        <v>10715</v>
      </c>
      <c r="O26" s="35">
        <f>N26*100/M26</f>
        <v>106.2363672417212</v>
      </c>
      <c r="P26" s="3">
        <f>P20+P25</f>
        <v>358</v>
      </c>
      <c r="Q26" s="3">
        <f>Q20+Q25</f>
        <v>330</v>
      </c>
      <c r="R26" s="35">
        <f>Q26*100/P26</f>
        <v>92.17877094972067</v>
      </c>
      <c r="S26" s="3">
        <f>S20+S25</f>
        <v>442</v>
      </c>
      <c r="T26" s="3">
        <f>T20+T25</f>
        <v>520</v>
      </c>
      <c r="U26" s="35">
        <f>T26*100/S26</f>
        <v>117.6470588235294</v>
      </c>
      <c r="AH26" s="84"/>
    </row>
  </sheetData>
  <sheetProtection/>
  <mergeCells count="19">
    <mergeCell ref="F3:F5"/>
    <mergeCell ref="C3:E3"/>
    <mergeCell ref="A20:B20"/>
    <mergeCell ref="J3:L3"/>
    <mergeCell ref="J4:J5"/>
    <mergeCell ref="K4:K5"/>
    <mergeCell ref="M3:U3"/>
    <mergeCell ref="N4:N5"/>
    <mergeCell ref="R4:R5"/>
    <mergeCell ref="A25:B25"/>
    <mergeCell ref="A26:B26"/>
    <mergeCell ref="U4:U5"/>
    <mergeCell ref="M4:M5"/>
    <mergeCell ref="B3:B5"/>
    <mergeCell ref="G4:G5"/>
    <mergeCell ref="H4:H5"/>
    <mergeCell ref="D4:D5"/>
    <mergeCell ref="C4:C5"/>
    <mergeCell ref="G3:I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view="pageBreakPreview" zoomScale="75" zoomScaleNormal="75" zoomScaleSheetLayoutView="75" zoomScalePageLayoutView="0" workbookViewId="0" topLeftCell="A1">
      <selection activeCell="E48" sqref="E48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19"/>
      <c r="B2" s="19"/>
      <c r="C2" s="19"/>
      <c r="D2" s="1" t="s">
        <v>121</v>
      </c>
      <c r="E2" s="1"/>
      <c r="F2" s="1"/>
      <c r="G2" s="1"/>
      <c r="H2" s="1"/>
      <c r="I2" s="1"/>
      <c r="J2" s="1"/>
      <c r="K2" s="1"/>
      <c r="L2" s="19"/>
      <c r="M2" s="19"/>
      <c r="N2" s="19"/>
    </row>
    <row r="3" spans="1:14" ht="15">
      <c r="A3" s="187" t="s">
        <v>106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4" ht="12.75">
      <c r="A4" s="149" t="s">
        <v>2</v>
      </c>
      <c r="B4" s="151" t="s">
        <v>3</v>
      </c>
      <c r="C4" s="155" t="s">
        <v>79</v>
      </c>
      <c r="D4" s="179"/>
      <c r="E4" s="180"/>
      <c r="F4" s="188" t="s">
        <v>64</v>
      </c>
      <c r="G4" s="189"/>
      <c r="H4" s="188" t="s">
        <v>78</v>
      </c>
      <c r="I4" s="192"/>
      <c r="J4" s="180"/>
      <c r="K4" s="188" t="s">
        <v>76</v>
      </c>
      <c r="L4" s="189"/>
      <c r="M4" s="188" t="s">
        <v>77</v>
      </c>
      <c r="N4" s="189"/>
    </row>
    <row r="5" spans="1:14" ht="31.5" customHeight="1">
      <c r="A5" s="173"/>
      <c r="B5" s="152"/>
      <c r="C5" s="181"/>
      <c r="D5" s="182"/>
      <c r="E5" s="183"/>
      <c r="F5" s="190"/>
      <c r="G5" s="191"/>
      <c r="H5" s="190"/>
      <c r="I5" s="193"/>
      <c r="J5" s="194"/>
      <c r="K5" s="190"/>
      <c r="L5" s="191"/>
      <c r="M5" s="190"/>
      <c r="N5" s="191"/>
    </row>
    <row r="6" spans="1:14" ht="30">
      <c r="A6" s="150"/>
      <c r="B6" s="153"/>
      <c r="C6" s="3">
        <v>2011</v>
      </c>
      <c r="D6" s="18">
        <v>2012</v>
      </c>
      <c r="E6" s="93" t="s">
        <v>109</v>
      </c>
      <c r="F6" s="3">
        <v>2011</v>
      </c>
      <c r="G6" s="18">
        <v>2012</v>
      </c>
      <c r="H6" s="3">
        <v>2011</v>
      </c>
      <c r="I6" s="18">
        <v>2012</v>
      </c>
      <c r="J6" s="93" t="s">
        <v>109</v>
      </c>
      <c r="K6" s="21" t="s">
        <v>1</v>
      </c>
      <c r="L6" s="23" t="s">
        <v>32</v>
      </c>
      <c r="M6" s="37" t="s">
        <v>44</v>
      </c>
      <c r="N6" s="50" t="s">
        <v>45</v>
      </c>
    </row>
    <row r="7" spans="1:14" ht="16.5" customHeight="1">
      <c r="A7" s="30">
        <v>1</v>
      </c>
      <c r="B7" s="21" t="s">
        <v>58</v>
      </c>
      <c r="C7" s="30">
        <v>556</v>
      </c>
      <c r="D7" s="30">
        <v>741</v>
      </c>
      <c r="E7" s="30">
        <f aca="true" t="shared" si="0" ref="E7:E13">D7-C7</f>
        <v>185</v>
      </c>
      <c r="F7" s="30">
        <v>289</v>
      </c>
      <c r="G7" s="30">
        <v>404</v>
      </c>
      <c r="H7" s="74">
        <f>F7*100/20</f>
        <v>1445</v>
      </c>
      <c r="I7" s="74">
        <f>G7*100/28</f>
        <v>1442.857142857143</v>
      </c>
      <c r="J7" s="73">
        <f aca="true" t="shared" si="1" ref="J7:J13">I7-H7</f>
        <v>-2.1428571428571104</v>
      </c>
      <c r="K7" s="30">
        <v>88</v>
      </c>
      <c r="L7" s="30">
        <v>45</v>
      </c>
      <c r="M7" s="91">
        <f aca="true" t="shared" si="2" ref="M7:M13">G7/L7</f>
        <v>8.977777777777778</v>
      </c>
      <c r="N7" s="91">
        <f aca="true" t="shared" si="3" ref="N7:N13">(D7-G7)/(K7-L7)</f>
        <v>7.837209302325581</v>
      </c>
    </row>
    <row r="8" spans="1:14" ht="16.5" customHeight="1">
      <c r="A8" s="30">
        <v>2</v>
      </c>
      <c r="B8" s="30" t="s">
        <v>59</v>
      </c>
      <c r="C8" s="30">
        <v>398</v>
      </c>
      <c r="D8" s="30">
        <v>163</v>
      </c>
      <c r="E8" s="30">
        <f t="shared" si="0"/>
        <v>-235</v>
      </c>
      <c r="F8" s="30">
        <v>386</v>
      </c>
      <c r="G8" s="30">
        <v>145</v>
      </c>
      <c r="H8" s="74">
        <f>F8*100/80</f>
        <v>482.5</v>
      </c>
      <c r="I8" s="74">
        <f>G8*100/80</f>
        <v>181.25</v>
      </c>
      <c r="J8" s="73">
        <f t="shared" si="1"/>
        <v>-301.25</v>
      </c>
      <c r="K8" s="31">
        <v>26</v>
      </c>
      <c r="L8" s="31">
        <v>23</v>
      </c>
      <c r="M8" s="91">
        <f t="shared" si="2"/>
        <v>6.304347826086956</v>
      </c>
      <c r="N8" s="91">
        <f t="shared" si="3"/>
        <v>6</v>
      </c>
    </row>
    <row r="9" spans="1:14" ht="16.5" customHeight="1">
      <c r="A9" s="30">
        <v>3</v>
      </c>
      <c r="B9" s="31" t="s">
        <v>63</v>
      </c>
      <c r="C9" s="30">
        <v>12019</v>
      </c>
      <c r="D9" s="30">
        <v>12173</v>
      </c>
      <c r="E9" s="30">
        <f t="shared" si="0"/>
        <v>154</v>
      </c>
      <c r="F9" s="30">
        <v>5722</v>
      </c>
      <c r="G9" s="30">
        <v>6530</v>
      </c>
      <c r="H9" s="74">
        <f>F9*100/226</f>
        <v>2531.858407079646</v>
      </c>
      <c r="I9" s="74">
        <f>G9*100/240</f>
        <v>2720.8333333333335</v>
      </c>
      <c r="J9" s="73">
        <f t="shared" si="1"/>
        <v>188.9749262536875</v>
      </c>
      <c r="K9" s="31">
        <v>1395</v>
      </c>
      <c r="L9" s="31">
        <v>670</v>
      </c>
      <c r="M9" s="114">
        <f t="shared" si="2"/>
        <v>9.746268656716419</v>
      </c>
      <c r="N9" s="114">
        <f t="shared" si="3"/>
        <v>7.783448275862069</v>
      </c>
    </row>
    <row r="10" spans="1:14" ht="42.75" customHeight="1">
      <c r="A10" s="185" t="s">
        <v>101</v>
      </c>
      <c r="B10" s="186"/>
      <c r="C10" s="30">
        <f>SUM(C7:C9)</f>
        <v>12973</v>
      </c>
      <c r="D10" s="30">
        <f>SUM(D7:D9)</f>
        <v>13077</v>
      </c>
      <c r="E10" s="30">
        <f t="shared" si="0"/>
        <v>104</v>
      </c>
      <c r="F10" s="30">
        <f>SUM(F7:F9)</f>
        <v>6397</v>
      </c>
      <c r="G10" s="30">
        <f>SUM(G7:G9)</f>
        <v>7079</v>
      </c>
      <c r="H10" s="74">
        <f>F10*100/326</f>
        <v>1962.2699386503068</v>
      </c>
      <c r="I10" s="74">
        <f>G10*100/348</f>
        <v>2034.1954022988505</v>
      </c>
      <c r="J10" s="73">
        <f t="shared" si="1"/>
        <v>71.92546364854365</v>
      </c>
      <c r="K10" s="73">
        <f>SUM(K7:K9)</f>
        <v>1509</v>
      </c>
      <c r="L10" s="73">
        <f>SUM(L7:L9)</f>
        <v>738</v>
      </c>
      <c r="M10" s="91">
        <f t="shared" si="2"/>
        <v>9.592140921409214</v>
      </c>
      <c r="N10" s="91">
        <f t="shared" si="3"/>
        <v>7.779507133592737</v>
      </c>
    </row>
    <row r="11" spans="1:14" ht="15">
      <c r="A11" s="30">
        <v>1</v>
      </c>
      <c r="B11" s="31" t="s">
        <v>82</v>
      </c>
      <c r="C11" s="30">
        <v>15</v>
      </c>
      <c r="D11" s="30">
        <v>38</v>
      </c>
      <c r="E11" s="30">
        <f t="shared" si="0"/>
        <v>23</v>
      </c>
      <c r="F11" s="21">
        <v>15</v>
      </c>
      <c r="G11" s="21">
        <v>38</v>
      </c>
      <c r="H11" s="74">
        <f>F11*100/11</f>
        <v>136.36363636363637</v>
      </c>
      <c r="I11" s="74">
        <f>G11*100/10</f>
        <v>380</v>
      </c>
      <c r="J11" s="73">
        <f t="shared" si="1"/>
        <v>243.63636363636363</v>
      </c>
      <c r="K11" s="73">
        <v>5</v>
      </c>
      <c r="L11" s="21">
        <v>5</v>
      </c>
      <c r="M11" s="91">
        <f t="shared" si="2"/>
        <v>7.6</v>
      </c>
      <c r="N11" s="91"/>
    </row>
    <row r="12" spans="1:14" ht="25.5" customHeight="1">
      <c r="A12" s="157" t="s">
        <v>90</v>
      </c>
      <c r="B12" s="158"/>
      <c r="C12" s="30">
        <f>SUM(C11)</f>
        <v>15</v>
      </c>
      <c r="D12" s="30">
        <f>SUM(D11)</f>
        <v>38</v>
      </c>
      <c r="E12" s="30">
        <f t="shared" si="0"/>
        <v>23</v>
      </c>
      <c r="F12" s="30">
        <f>SUM(F11)</f>
        <v>15</v>
      </c>
      <c r="G12" s="30">
        <f>SUM(G11)</f>
        <v>38</v>
      </c>
      <c r="H12" s="74">
        <f>F12*100/11</f>
        <v>136.36363636363637</v>
      </c>
      <c r="I12" s="74">
        <f>G12*100/10</f>
        <v>380</v>
      </c>
      <c r="J12" s="73">
        <f t="shared" si="1"/>
        <v>243.63636363636363</v>
      </c>
      <c r="K12" s="30">
        <f>SUM(K11)</f>
        <v>5</v>
      </c>
      <c r="L12" s="30">
        <f>SUM(L11)</f>
        <v>5</v>
      </c>
      <c r="M12" s="91">
        <f t="shared" si="2"/>
        <v>7.6</v>
      </c>
      <c r="N12" s="91"/>
    </row>
    <row r="13" spans="1:14" ht="28.5" customHeight="1">
      <c r="A13" s="184" t="s">
        <v>91</v>
      </c>
      <c r="B13" s="184"/>
      <c r="C13" s="30">
        <f>C10+C12</f>
        <v>12988</v>
      </c>
      <c r="D13" s="30">
        <f>SUM(D10:D11)</f>
        <v>13115</v>
      </c>
      <c r="E13" s="30">
        <f t="shared" si="0"/>
        <v>127</v>
      </c>
      <c r="F13" s="30">
        <f>F10+F12</f>
        <v>6412</v>
      </c>
      <c r="G13" s="30">
        <f>SUM(G10:G11)</f>
        <v>7117</v>
      </c>
      <c r="H13" s="74">
        <f>F13*100/337</f>
        <v>1902.6706231454007</v>
      </c>
      <c r="I13" s="74">
        <f>G13*100/358</f>
        <v>1987.9888268156424</v>
      </c>
      <c r="J13" s="73">
        <f t="shared" si="1"/>
        <v>85.3182036702417</v>
      </c>
      <c r="K13" s="30">
        <f>K10+K12</f>
        <v>1514</v>
      </c>
      <c r="L13" s="30">
        <f>SUM(L10:L11)</f>
        <v>743</v>
      </c>
      <c r="M13" s="91">
        <f t="shared" si="2"/>
        <v>9.578734858681022</v>
      </c>
      <c r="N13" s="91">
        <f t="shared" si="3"/>
        <v>7.779507133592737</v>
      </c>
    </row>
    <row r="15" spans="2:15" ht="12.7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15" ht="15">
      <c r="B16" s="71"/>
      <c r="C16" s="109"/>
      <c r="D16" s="109"/>
      <c r="E16" s="109"/>
      <c r="F16" s="109"/>
      <c r="G16" s="109"/>
      <c r="H16" s="110"/>
      <c r="I16" s="111"/>
      <c r="J16" s="110"/>
      <c r="K16" s="109"/>
      <c r="L16" s="109"/>
      <c r="M16" s="112"/>
      <c r="N16" s="112"/>
      <c r="O16" s="71"/>
    </row>
    <row r="17" spans="2:15" ht="15">
      <c r="B17" s="71"/>
      <c r="C17" s="109"/>
      <c r="D17" s="109"/>
      <c r="E17" s="109"/>
      <c r="F17" s="109"/>
      <c r="G17" s="109"/>
      <c r="H17" s="111"/>
      <c r="I17" s="111"/>
      <c r="J17" s="110"/>
      <c r="K17" s="113"/>
      <c r="L17" s="113"/>
      <c r="M17" s="112"/>
      <c r="N17" s="112"/>
      <c r="O17" s="71"/>
    </row>
    <row r="18" spans="2:15" ht="15">
      <c r="B18" s="71"/>
      <c r="C18" s="109"/>
      <c r="D18" s="109"/>
      <c r="E18" s="109"/>
      <c r="F18" s="109"/>
      <c r="G18" s="109"/>
      <c r="H18" s="110"/>
      <c r="I18" s="111"/>
      <c r="J18" s="110"/>
      <c r="K18" s="113"/>
      <c r="L18" s="113"/>
      <c r="M18" s="112"/>
      <c r="N18" s="112"/>
      <c r="O18" s="71"/>
    </row>
    <row r="19" spans="2:15" ht="15">
      <c r="B19" s="71"/>
      <c r="C19" s="109"/>
      <c r="D19" s="109"/>
      <c r="E19" s="109"/>
      <c r="F19" s="109"/>
      <c r="G19" s="109"/>
      <c r="H19" s="110"/>
      <c r="I19" s="111"/>
      <c r="J19" s="110"/>
      <c r="K19" s="113"/>
      <c r="L19" s="113"/>
      <c r="M19" s="112"/>
      <c r="N19" s="112"/>
      <c r="O19" s="71"/>
    </row>
    <row r="20" spans="2:15" ht="15">
      <c r="B20" s="71"/>
      <c r="C20" s="109"/>
      <c r="D20" s="109"/>
      <c r="E20" s="109"/>
      <c r="F20" s="109"/>
      <c r="G20" s="109"/>
      <c r="H20" s="110"/>
      <c r="I20" s="111"/>
      <c r="J20" s="110"/>
      <c r="K20" s="113"/>
      <c r="L20" s="113"/>
      <c r="M20" s="112"/>
      <c r="N20" s="112"/>
      <c r="O20" s="71"/>
    </row>
    <row r="21" spans="2:15" ht="15">
      <c r="B21" s="71"/>
      <c r="C21" s="109"/>
      <c r="D21" s="109"/>
      <c r="E21" s="109"/>
      <c r="F21" s="109"/>
      <c r="G21" s="109"/>
      <c r="H21" s="110"/>
      <c r="I21" s="111"/>
      <c r="J21" s="110"/>
      <c r="K21" s="111"/>
      <c r="L21" s="111"/>
      <c r="M21" s="112"/>
      <c r="N21" s="112"/>
      <c r="O21" s="71"/>
    </row>
    <row r="22" spans="2:15" ht="15">
      <c r="B22" s="71"/>
      <c r="C22" s="109"/>
      <c r="D22" s="109"/>
      <c r="E22" s="109"/>
      <c r="F22" s="109"/>
      <c r="G22" s="109"/>
      <c r="H22" s="110"/>
      <c r="I22" s="111"/>
      <c r="J22" s="110"/>
      <c r="K22" s="113"/>
      <c r="L22" s="113"/>
      <c r="M22" s="112"/>
      <c r="N22" s="112"/>
      <c r="O22" s="71"/>
    </row>
    <row r="23" spans="2:15" ht="15">
      <c r="B23" s="71"/>
      <c r="C23" s="109"/>
      <c r="D23" s="109"/>
      <c r="E23" s="109"/>
      <c r="F23" s="109"/>
      <c r="G23" s="109"/>
      <c r="H23" s="111"/>
      <c r="I23" s="111"/>
      <c r="J23" s="110"/>
      <c r="K23" s="113"/>
      <c r="L23" s="113"/>
      <c r="M23" s="112"/>
      <c r="N23" s="112"/>
      <c r="O23" s="71"/>
    </row>
    <row r="24" spans="2:15" ht="12.75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2:15" ht="12.7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5" ht="12.75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</row>
  </sheetData>
  <sheetProtection/>
  <mergeCells count="11">
    <mergeCell ref="H4:J5"/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I46" sqref="I46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19"/>
      <c r="B1" s="19"/>
      <c r="C1" s="127" t="s">
        <v>120</v>
      </c>
      <c r="D1" s="127"/>
      <c r="E1" s="127"/>
      <c r="F1" s="127"/>
      <c r="G1" s="127"/>
      <c r="H1" s="127"/>
      <c r="I1" s="127"/>
      <c r="J1" s="127"/>
      <c r="K1" s="127"/>
      <c r="L1" s="19"/>
      <c r="M1" s="19"/>
      <c r="N1" s="19"/>
    </row>
    <row r="2" spans="1:14" ht="15">
      <c r="A2" s="149" t="s">
        <v>2</v>
      </c>
      <c r="B2" s="149" t="s">
        <v>3</v>
      </c>
      <c r="C2" s="23" t="s">
        <v>34</v>
      </c>
      <c r="D2" s="24"/>
      <c r="E2" s="26"/>
      <c r="F2" s="48" t="s">
        <v>35</v>
      </c>
      <c r="G2" s="24"/>
      <c r="H2" s="26"/>
      <c r="I2" s="23" t="s">
        <v>36</v>
      </c>
      <c r="J2" s="24"/>
      <c r="K2" s="26"/>
      <c r="L2" s="23" t="s">
        <v>37</v>
      </c>
      <c r="M2" s="24"/>
      <c r="N2" s="26"/>
    </row>
    <row r="3" spans="1:14" ht="15">
      <c r="A3" s="173"/>
      <c r="B3" s="173"/>
      <c r="C3" s="17">
        <v>2011</v>
      </c>
      <c r="D3" s="18">
        <v>2012</v>
      </c>
      <c r="E3" s="9" t="s">
        <v>33</v>
      </c>
      <c r="F3" s="17">
        <v>2011</v>
      </c>
      <c r="G3" s="18">
        <v>2012</v>
      </c>
      <c r="H3" s="9" t="s">
        <v>33</v>
      </c>
      <c r="I3" s="17">
        <v>2011</v>
      </c>
      <c r="J3" s="18">
        <v>2012</v>
      </c>
      <c r="K3" s="9" t="s">
        <v>33</v>
      </c>
      <c r="L3" s="17">
        <v>2011</v>
      </c>
      <c r="M3" s="18">
        <v>2012</v>
      </c>
      <c r="N3" s="9" t="s">
        <v>33</v>
      </c>
    </row>
    <row r="4" spans="1:14" ht="15">
      <c r="A4" s="150"/>
      <c r="B4" s="150"/>
      <c r="C4" s="28"/>
      <c r="D4" s="28"/>
      <c r="E4" s="44" t="s">
        <v>105</v>
      </c>
      <c r="F4" s="28"/>
      <c r="G4" s="28"/>
      <c r="H4" s="44" t="s">
        <v>107</v>
      </c>
      <c r="I4" s="28"/>
      <c r="J4" s="28"/>
      <c r="K4" s="44" t="s">
        <v>105</v>
      </c>
      <c r="L4" s="28"/>
      <c r="M4" s="28"/>
      <c r="N4" s="44" t="s">
        <v>105</v>
      </c>
    </row>
    <row r="5" spans="1:14" ht="16.5" customHeight="1">
      <c r="A5" s="30">
        <v>1</v>
      </c>
      <c r="B5" s="30" t="s">
        <v>55</v>
      </c>
      <c r="C5" s="12">
        <v>174</v>
      </c>
      <c r="D5" s="12">
        <v>180</v>
      </c>
      <c r="E5" s="15">
        <f aca="true" t="shared" si="0" ref="E5:E15">D5-C5</f>
        <v>6</v>
      </c>
      <c r="F5" s="12">
        <v>6</v>
      </c>
      <c r="G5" s="12">
        <v>20</v>
      </c>
      <c r="H5" s="15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0">
        <v>2</v>
      </c>
      <c r="B6" s="30" t="s">
        <v>56</v>
      </c>
      <c r="C6" s="12">
        <v>153</v>
      </c>
      <c r="D6" s="12">
        <v>164</v>
      </c>
      <c r="E6" s="15">
        <f t="shared" si="0"/>
        <v>11</v>
      </c>
      <c r="F6" s="12">
        <v>9</v>
      </c>
      <c r="G6" s="12">
        <v>1</v>
      </c>
      <c r="H6" s="15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0">
        <v>3</v>
      </c>
      <c r="B7" s="30" t="s">
        <v>57</v>
      </c>
      <c r="C7" s="12">
        <v>39</v>
      </c>
      <c r="D7" s="12">
        <v>58</v>
      </c>
      <c r="E7" s="15">
        <f t="shared" si="0"/>
        <v>19</v>
      </c>
      <c r="F7" s="12">
        <v>2</v>
      </c>
      <c r="G7" s="12">
        <v>6</v>
      </c>
      <c r="H7" s="15">
        <f t="shared" si="1"/>
        <v>4</v>
      </c>
      <c r="I7" s="12"/>
      <c r="J7" s="12"/>
      <c r="K7" s="12"/>
      <c r="L7" s="12"/>
      <c r="M7" s="12"/>
      <c r="N7" s="12"/>
    </row>
    <row r="8" spans="1:14" ht="16.5" customHeight="1">
      <c r="A8" s="30">
        <v>4</v>
      </c>
      <c r="B8" s="21" t="s">
        <v>58</v>
      </c>
      <c r="C8" s="12">
        <v>260</v>
      </c>
      <c r="D8" s="12">
        <v>393</v>
      </c>
      <c r="E8" s="15">
        <f t="shared" si="0"/>
        <v>133</v>
      </c>
      <c r="F8" s="12">
        <v>30</v>
      </c>
      <c r="G8" s="12">
        <v>12</v>
      </c>
      <c r="H8" s="15">
        <f t="shared" si="1"/>
        <v>-18</v>
      </c>
      <c r="I8" s="15">
        <v>105</v>
      </c>
      <c r="J8" s="15">
        <v>109</v>
      </c>
      <c r="K8" s="12">
        <f>J8-I8</f>
        <v>4</v>
      </c>
      <c r="L8" s="12">
        <v>54</v>
      </c>
      <c r="M8" s="12">
        <v>50</v>
      </c>
      <c r="N8" s="12">
        <f>M8-L8</f>
        <v>-4</v>
      </c>
    </row>
    <row r="9" spans="1:14" ht="16.5" customHeight="1">
      <c r="A9" s="30">
        <v>5</v>
      </c>
      <c r="B9" s="30" t="s">
        <v>59</v>
      </c>
      <c r="C9" s="12">
        <v>203</v>
      </c>
      <c r="D9" s="12">
        <v>156</v>
      </c>
      <c r="E9" s="15">
        <f t="shared" si="0"/>
        <v>-47</v>
      </c>
      <c r="F9" s="12">
        <v>6</v>
      </c>
      <c r="G9" s="12">
        <v>4</v>
      </c>
      <c r="H9" s="15">
        <f t="shared" si="1"/>
        <v>-2</v>
      </c>
      <c r="I9" s="12">
        <v>160</v>
      </c>
      <c r="J9" s="12">
        <v>120</v>
      </c>
      <c r="K9" s="12">
        <f>J9-I9</f>
        <v>-40</v>
      </c>
      <c r="L9" s="12">
        <v>23</v>
      </c>
      <c r="M9" s="15">
        <v>12</v>
      </c>
      <c r="N9" s="12">
        <f>M9-L9</f>
        <v>-11</v>
      </c>
    </row>
    <row r="10" spans="1:14" ht="16.5" customHeight="1">
      <c r="A10" s="30">
        <v>6</v>
      </c>
      <c r="B10" s="31" t="s">
        <v>73</v>
      </c>
      <c r="C10" s="12">
        <v>72</v>
      </c>
      <c r="D10" s="12">
        <v>75</v>
      </c>
      <c r="E10" s="15">
        <f t="shared" si="0"/>
        <v>3</v>
      </c>
      <c r="F10" s="12">
        <v>14</v>
      </c>
      <c r="G10" s="12">
        <v>18</v>
      </c>
      <c r="H10" s="15">
        <f t="shared" si="1"/>
        <v>4</v>
      </c>
      <c r="I10" s="12"/>
      <c r="J10" s="12"/>
      <c r="K10" s="12"/>
      <c r="L10" s="12"/>
      <c r="M10" s="12"/>
      <c r="N10" s="12"/>
    </row>
    <row r="11" spans="1:14" ht="16.5" customHeight="1">
      <c r="A11" s="30">
        <v>7</v>
      </c>
      <c r="B11" s="31" t="s">
        <v>60</v>
      </c>
      <c r="C11" s="12">
        <v>66</v>
      </c>
      <c r="D11" s="12"/>
      <c r="E11" s="15">
        <f t="shared" si="0"/>
        <v>-66</v>
      </c>
      <c r="F11" s="12">
        <v>10</v>
      </c>
      <c r="G11" s="12"/>
      <c r="H11" s="15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0">
        <v>8</v>
      </c>
      <c r="B12" s="31" t="s">
        <v>87</v>
      </c>
      <c r="C12" s="12"/>
      <c r="D12" s="12">
        <v>87</v>
      </c>
      <c r="E12" s="15">
        <f t="shared" si="0"/>
        <v>87</v>
      </c>
      <c r="F12" s="12"/>
      <c r="G12" s="12">
        <v>21</v>
      </c>
      <c r="H12" s="15"/>
      <c r="I12" s="12"/>
      <c r="J12" s="12"/>
      <c r="K12" s="12"/>
      <c r="L12" s="12"/>
      <c r="M12" s="12"/>
      <c r="N12" s="12"/>
    </row>
    <row r="13" spans="1:14" ht="16.5" customHeight="1">
      <c r="A13" s="30">
        <v>9</v>
      </c>
      <c r="B13" s="31" t="s">
        <v>72</v>
      </c>
      <c r="C13" s="12">
        <v>103</v>
      </c>
      <c r="D13" s="12">
        <v>136</v>
      </c>
      <c r="E13" s="15">
        <f t="shared" si="0"/>
        <v>33</v>
      </c>
      <c r="F13" s="12">
        <v>22</v>
      </c>
      <c r="G13" s="12">
        <v>42</v>
      </c>
      <c r="H13" s="15">
        <f t="shared" si="1"/>
        <v>20</v>
      </c>
      <c r="I13" s="12"/>
      <c r="J13" s="12"/>
      <c r="K13" s="12"/>
      <c r="L13" s="12"/>
      <c r="M13" s="12"/>
      <c r="N13" s="12"/>
    </row>
    <row r="14" spans="1:14" ht="16.5" customHeight="1">
      <c r="A14" s="30">
        <v>10</v>
      </c>
      <c r="B14" s="31" t="s">
        <v>61</v>
      </c>
      <c r="C14" s="12">
        <v>102</v>
      </c>
      <c r="D14" s="12">
        <v>72</v>
      </c>
      <c r="E14" s="15">
        <f t="shared" si="0"/>
        <v>-30</v>
      </c>
      <c r="F14" s="12">
        <v>18</v>
      </c>
      <c r="G14" s="12"/>
      <c r="H14" s="15">
        <f t="shared" si="1"/>
        <v>-18</v>
      </c>
      <c r="I14" s="12"/>
      <c r="J14" s="12"/>
      <c r="K14" s="12"/>
      <c r="L14" s="12"/>
      <c r="M14" s="12"/>
      <c r="N14" s="12"/>
    </row>
    <row r="15" spans="1:14" ht="16.5" customHeight="1">
      <c r="A15" s="30">
        <v>11</v>
      </c>
      <c r="B15" s="31" t="s">
        <v>62</v>
      </c>
      <c r="C15" s="12">
        <v>47</v>
      </c>
      <c r="D15" s="12">
        <v>26</v>
      </c>
      <c r="E15" s="15">
        <f t="shared" si="0"/>
        <v>-21</v>
      </c>
      <c r="F15" s="12">
        <v>7</v>
      </c>
      <c r="G15" s="12"/>
      <c r="H15" s="15">
        <f t="shared" si="1"/>
        <v>-7</v>
      </c>
      <c r="I15" s="12"/>
      <c r="J15" s="12"/>
      <c r="K15" s="12"/>
      <c r="L15" s="12"/>
      <c r="M15" s="12"/>
      <c r="N15" s="12"/>
    </row>
    <row r="16" spans="1:14" ht="16.5" customHeight="1">
      <c r="A16" s="30">
        <v>12</v>
      </c>
      <c r="B16" s="31" t="s">
        <v>63</v>
      </c>
      <c r="C16" s="15"/>
      <c r="D16" s="15"/>
      <c r="E16" s="15"/>
      <c r="F16" s="15"/>
      <c r="G16" s="15"/>
      <c r="H16" s="15"/>
      <c r="I16" s="12">
        <v>2212</v>
      </c>
      <c r="J16" s="12">
        <v>2152</v>
      </c>
      <c r="K16" s="12">
        <f>J16-I16</f>
        <v>-60</v>
      </c>
      <c r="L16" s="12">
        <v>874</v>
      </c>
      <c r="M16" s="12">
        <v>780</v>
      </c>
      <c r="N16" s="12">
        <f>M16-L16</f>
        <v>-94</v>
      </c>
    </row>
    <row r="17" spans="1:14" ht="60.75" customHeight="1">
      <c r="A17" s="157" t="s">
        <v>100</v>
      </c>
      <c r="B17" s="158"/>
      <c r="C17" s="12">
        <f>SUM(C5:C15)</f>
        <v>1219</v>
      </c>
      <c r="D17" s="12">
        <f>SUM(D5:D16)</f>
        <v>1347</v>
      </c>
      <c r="E17" s="12">
        <f>D17-C17</f>
        <v>128</v>
      </c>
      <c r="F17" s="12">
        <f>SUM(F5:F16)</f>
        <v>124</v>
      </c>
      <c r="G17" s="12">
        <f>SUM(G5:G16)</f>
        <v>124</v>
      </c>
      <c r="H17" s="12">
        <f>G17-F17</f>
        <v>0</v>
      </c>
      <c r="I17" s="12">
        <f>SUM(I8:I16)</f>
        <v>2477</v>
      </c>
      <c r="J17" s="12">
        <f>SUM(J8:J16)</f>
        <v>2381</v>
      </c>
      <c r="K17" s="12">
        <f>J17-I17</f>
        <v>-96</v>
      </c>
      <c r="L17" s="12">
        <f>SUM(L8:L16)</f>
        <v>951</v>
      </c>
      <c r="M17" s="12">
        <f>SUM(M8:M16)</f>
        <v>842</v>
      </c>
      <c r="N17" s="12">
        <f>M17-L17</f>
        <v>-109</v>
      </c>
    </row>
    <row r="18" spans="1:14" ht="16.5" customHeight="1">
      <c r="A18" s="30">
        <v>1</v>
      </c>
      <c r="B18" s="31" t="s">
        <v>82</v>
      </c>
      <c r="C18" s="12"/>
      <c r="D18" s="15"/>
      <c r="E18" s="12"/>
      <c r="F18" s="15"/>
      <c r="G18" s="15"/>
      <c r="H18" s="12"/>
      <c r="I18" s="12">
        <v>7</v>
      </c>
      <c r="J18" s="12"/>
      <c r="K18" s="12">
        <f>J18-I18</f>
        <v>-7</v>
      </c>
      <c r="L18" s="12"/>
      <c r="M18" s="12"/>
      <c r="N18" s="12">
        <f>M18-L18</f>
        <v>0</v>
      </c>
    </row>
    <row r="19" spans="1:14" ht="18.75" customHeight="1">
      <c r="A19" s="157" t="s">
        <v>90</v>
      </c>
      <c r="B19" s="158"/>
      <c r="C19" s="12"/>
      <c r="D19" s="12"/>
      <c r="E19" s="12"/>
      <c r="F19" s="12"/>
      <c r="G19" s="12"/>
      <c r="H19" s="12"/>
      <c r="I19" s="12">
        <f>I18</f>
        <v>7</v>
      </c>
      <c r="J19" s="12">
        <f>J18</f>
        <v>0</v>
      </c>
      <c r="K19" s="12">
        <f>J19-I19</f>
        <v>-7</v>
      </c>
      <c r="L19" s="12">
        <f>L18</f>
        <v>0</v>
      </c>
      <c r="M19" s="12">
        <f>M18</f>
        <v>0</v>
      </c>
      <c r="N19" s="12">
        <f>M19-L19</f>
        <v>0</v>
      </c>
    </row>
    <row r="20" spans="1:14" ht="39" customHeight="1">
      <c r="A20" s="159" t="s">
        <v>91</v>
      </c>
      <c r="B20" s="160"/>
      <c r="C20" s="12">
        <f>C17+C19</f>
        <v>1219</v>
      </c>
      <c r="D20" s="12">
        <f>D17+D19</f>
        <v>1347</v>
      </c>
      <c r="E20" s="12">
        <f>D20-C20</f>
        <v>128</v>
      </c>
      <c r="F20" s="12">
        <f>F17+F19</f>
        <v>124</v>
      </c>
      <c r="G20" s="12">
        <f>G17+G19</f>
        <v>124</v>
      </c>
      <c r="H20" s="12">
        <f>G20-F20</f>
        <v>0</v>
      </c>
      <c r="I20" s="12">
        <f>I17+I19</f>
        <v>2484</v>
      </c>
      <c r="J20" s="12">
        <f>J17+J19</f>
        <v>2381</v>
      </c>
      <c r="K20" s="12">
        <f>J20-I20</f>
        <v>-103</v>
      </c>
      <c r="L20" s="12">
        <f>L17+L19</f>
        <v>951</v>
      </c>
      <c r="M20" s="12">
        <f>M17+M19</f>
        <v>842</v>
      </c>
      <c r="N20" s="12">
        <f>M20-L20</f>
        <v>-109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N35" sqref="N35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5" t="s">
        <v>119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54" t="s">
        <v>2</v>
      </c>
      <c r="B3" s="154" t="s">
        <v>3</v>
      </c>
      <c r="C3" s="23" t="s">
        <v>24</v>
      </c>
      <c r="D3" s="24"/>
      <c r="E3" s="26"/>
      <c r="F3" s="5" t="s">
        <v>25</v>
      </c>
      <c r="G3" s="7"/>
      <c r="H3" s="22" t="s">
        <v>27</v>
      </c>
      <c r="I3" s="33" t="s">
        <v>28</v>
      </c>
      <c r="J3" s="20"/>
      <c r="K3" s="22" t="s">
        <v>27</v>
      </c>
      <c r="L3" s="49" t="s">
        <v>30</v>
      </c>
      <c r="M3" s="20"/>
      <c r="N3" s="22" t="s">
        <v>27</v>
      </c>
    </row>
    <row r="4" spans="1:14" ht="15">
      <c r="A4" s="198"/>
      <c r="B4" s="198"/>
      <c r="C4" s="17">
        <v>2011</v>
      </c>
      <c r="D4" s="18">
        <v>2012</v>
      </c>
      <c r="E4" s="18" t="s">
        <v>97</v>
      </c>
      <c r="F4" s="17">
        <v>2011</v>
      </c>
      <c r="G4" s="18">
        <v>2012</v>
      </c>
      <c r="H4" s="43" t="s">
        <v>26</v>
      </c>
      <c r="I4" s="29" t="s">
        <v>29</v>
      </c>
      <c r="J4" s="27"/>
      <c r="K4" s="43" t="s">
        <v>26</v>
      </c>
      <c r="L4" s="51" t="s">
        <v>31</v>
      </c>
      <c r="M4" s="27"/>
      <c r="N4" s="43" t="s">
        <v>26</v>
      </c>
    </row>
    <row r="5" spans="1:14" ht="15">
      <c r="A5" s="198"/>
      <c r="B5" s="198"/>
      <c r="C5" s="39"/>
      <c r="D5" s="11"/>
      <c r="E5" s="11" t="s">
        <v>98</v>
      </c>
      <c r="F5" s="28"/>
      <c r="G5" s="27"/>
      <c r="H5" s="28" t="s">
        <v>99</v>
      </c>
      <c r="I5" s="17">
        <v>2011</v>
      </c>
      <c r="J5" s="18">
        <v>2012</v>
      </c>
      <c r="K5" s="28" t="s">
        <v>99</v>
      </c>
      <c r="L5" s="17">
        <v>2011</v>
      </c>
      <c r="M5" s="18">
        <v>2012</v>
      </c>
      <c r="N5" s="28" t="s">
        <v>99</v>
      </c>
    </row>
    <row r="6" spans="1:14" ht="16.5" customHeight="1">
      <c r="A6" s="30">
        <v>1</v>
      </c>
      <c r="B6" s="30" t="s">
        <v>55</v>
      </c>
      <c r="C6" s="35">
        <v>140</v>
      </c>
      <c r="D6" s="35">
        <v>105</v>
      </c>
      <c r="E6" s="35">
        <f aca="true" t="shared" si="0" ref="E6:E17">D6*100/C6</f>
        <v>75</v>
      </c>
      <c r="F6" s="35">
        <v>132</v>
      </c>
      <c r="G6" s="35">
        <v>102</v>
      </c>
      <c r="H6" s="35">
        <f aca="true" t="shared" si="1" ref="H6:H17">G6-F6</f>
        <v>-30</v>
      </c>
      <c r="I6" s="35">
        <f>F6*100/180</f>
        <v>73.33333333333333</v>
      </c>
      <c r="J6" s="35">
        <f>G6*100/180</f>
        <v>56.666666666666664</v>
      </c>
      <c r="K6" s="35">
        <f aca="true" t="shared" si="2" ref="K6:K17">J6-I6</f>
        <v>-16.666666666666664</v>
      </c>
      <c r="L6" s="35">
        <f>(C6-F6)*100/180</f>
        <v>4.444444444444445</v>
      </c>
      <c r="M6" s="35">
        <f>(D6-G6)*100/180</f>
        <v>1.6666666666666667</v>
      </c>
      <c r="N6" s="35">
        <f>M6-L6</f>
        <v>-2.7777777777777777</v>
      </c>
    </row>
    <row r="7" spans="1:14" ht="16.5" customHeight="1">
      <c r="A7" s="30">
        <v>2</v>
      </c>
      <c r="B7" s="30" t="s">
        <v>56</v>
      </c>
      <c r="C7" s="35">
        <v>101</v>
      </c>
      <c r="D7" s="35">
        <v>90</v>
      </c>
      <c r="E7" s="35">
        <f t="shared" si="0"/>
        <v>89.10891089108911</v>
      </c>
      <c r="F7" s="35">
        <v>92</v>
      </c>
      <c r="G7" s="35">
        <v>87</v>
      </c>
      <c r="H7" s="35">
        <f t="shared" si="1"/>
        <v>-5</v>
      </c>
      <c r="I7" s="35">
        <f>F7*100/105</f>
        <v>87.61904761904762</v>
      </c>
      <c r="J7" s="35">
        <f>G7*100/105</f>
        <v>82.85714285714286</v>
      </c>
      <c r="K7" s="35">
        <f>J7-I7</f>
        <v>-4.761904761904759</v>
      </c>
      <c r="L7" s="35">
        <f>(C7-F7)*100/105</f>
        <v>8.571428571428571</v>
      </c>
      <c r="M7" s="35">
        <f>(D7-G7)*100/105</f>
        <v>2.857142857142857</v>
      </c>
      <c r="N7" s="35">
        <f>M7-L7</f>
        <v>-5.7142857142857135</v>
      </c>
    </row>
    <row r="8" spans="1:14" ht="16.5" customHeight="1">
      <c r="A8" s="30">
        <v>3</v>
      </c>
      <c r="B8" s="30" t="s">
        <v>57</v>
      </c>
      <c r="C8" s="35">
        <v>59</v>
      </c>
      <c r="D8" s="35">
        <v>54</v>
      </c>
      <c r="E8" s="35">
        <f t="shared" si="0"/>
        <v>91.52542372881356</v>
      </c>
      <c r="F8" s="35">
        <v>54</v>
      </c>
      <c r="G8" s="35">
        <v>51</v>
      </c>
      <c r="H8" s="35">
        <f t="shared" si="1"/>
        <v>-3</v>
      </c>
      <c r="I8" s="35">
        <f>F8*100/60</f>
        <v>90</v>
      </c>
      <c r="J8" s="35">
        <f>G8*100/60</f>
        <v>85</v>
      </c>
      <c r="K8" s="35">
        <f>J8-I8</f>
        <v>-5</v>
      </c>
      <c r="L8" s="35">
        <f>(C8-F8)*100/60</f>
        <v>8.333333333333334</v>
      </c>
      <c r="M8" s="35">
        <f>(D8-G8)*100/60</f>
        <v>5</v>
      </c>
      <c r="N8" s="35">
        <f>M8-L8</f>
        <v>-3.333333333333334</v>
      </c>
    </row>
    <row r="9" spans="1:14" ht="16.5" customHeight="1">
      <c r="A9" s="30">
        <v>4</v>
      </c>
      <c r="B9" s="21" t="s">
        <v>58</v>
      </c>
      <c r="C9" s="35">
        <v>185</v>
      </c>
      <c r="D9" s="35">
        <v>200</v>
      </c>
      <c r="E9" s="35">
        <f t="shared" si="0"/>
        <v>108.10810810810811</v>
      </c>
      <c r="F9" s="35">
        <v>155</v>
      </c>
      <c r="G9" s="35">
        <v>169</v>
      </c>
      <c r="H9" s="35">
        <f t="shared" si="1"/>
        <v>14</v>
      </c>
      <c r="I9" s="35">
        <f>F9*100/308</f>
        <v>50.324675324675326</v>
      </c>
      <c r="J9" s="35">
        <f>G9*100/308</f>
        <v>54.87012987012987</v>
      </c>
      <c r="K9" s="35">
        <f t="shared" si="2"/>
        <v>4.545454545454547</v>
      </c>
      <c r="L9" s="35">
        <f>(C9-F9)*100/308</f>
        <v>9.74025974025974</v>
      </c>
      <c r="M9" s="35">
        <f>(D9-G9)*100/308</f>
        <v>10.064935064935066</v>
      </c>
      <c r="N9" s="35">
        <f aca="true" t="shared" si="3" ref="N9:N17">M9-L9</f>
        <v>0.3246753246753258</v>
      </c>
    </row>
    <row r="10" spans="1:14" ht="16.5" customHeight="1">
      <c r="A10" s="30">
        <v>5</v>
      </c>
      <c r="B10" s="30" t="s">
        <v>59</v>
      </c>
      <c r="C10" s="35">
        <v>94</v>
      </c>
      <c r="D10" s="35">
        <v>124</v>
      </c>
      <c r="E10" s="35">
        <f t="shared" si="0"/>
        <v>131.91489361702128</v>
      </c>
      <c r="F10" s="35">
        <v>86</v>
      </c>
      <c r="G10" s="35">
        <v>110</v>
      </c>
      <c r="H10" s="35">
        <f t="shared" si="1"/>
        <v>24</v>
      </c>
      <c r="I10" s="35">
        <f>F10*100/280</f>
        <v>30.714285714285715</v>
      </c>
      <c r="J10" s="35">
        <f>G10*100/280</f>
        <v>39.285714285714285</v>
      </c>
      <c r="K10" s="35">
        <f t="shared" si="2"/>
        <v>8.57142857142857</v>
      </c>
      <c r="L10" s="35">
        <f>(C10-F10)*100/280</f>
        <v>2.857142857142857</v>
      </c>
      <c r="M10" s="35">
        <f>(D10-G10)*100/280</f>
        <v>5</v>
      </c>
      <c r="N10" s="35">
        <f t="shared" si="3"/>
        <v>2.142857142857143</v>
      </c>
    </row>
    <row r="11" spans="1:14" ht="16.5" customHeight="1">
      <c r="A11" s="30">
        <v>6</v>
      </c>
      <c r="B11" s="31" t="s">
        <v>73</v>
      </c>
      <c r="C11" s="87">
        <v>91</v>
      </c>
      <c r="D11" s="87">
        <v>70</v>
      </c>
      <c r="E11" s="35">
        <f t="shared" si="0"/>
        <v>76.92307692307692</v>
      </c>
      <c r="F11" s="87">
        <v>78</v>
      </c>
      <c r="G11" s="87">
        <v>57</v>
      </c>
      <c r="H11" s="35">
        <f t="shared" si="1"/>
        <v>-21</v>
      </c>
      <c r="I11" s="87">
        <f>F11*100/85</f>
        <v>91.76470588235294</v>
      </c>
      <c r="J11" s="87">
        <f>G11*100/85</f>
        <v>67.05882352941177</v>
      </c>
      <c r="K11" s="35">
        <f t="shared" si="2"/>
        <v>-24.705882352941174</v>
      </c>
      <c r="L11" s="35">
        <f>(C11-F11)*100/85</f>
        <v>15.294117647058824</v>
      </c>
      <c r="M11" s="35">
        <f>(D11-G11)*100/85</f>
        <v>15.294117647058824</v>
      </c>
      <c r="N11" s="87">
        <f t="shared" si="3"/>
        <v>0</v>
      </c>
    </row>
    <row r="12" spans="1:14" ht="16.5" customHeight="1">
      <c r="A12" s="30">
        <v>7</v>
      </c>
      <c r="B12" s="31" t="s">
        <v>60</v>
      </c>
      <c r="C12" s="87">
        <v>66</v>
      </c>
      <c r="D12" s="87"/>
      <c r="E12" s="35">
        <f t="shared" si="0"/>
        <v>0</v>
      </c>
      <c r="F12" s="87">
        <v>58</v>
      </c>
      <c r="G12" s="87"/>
      <c r="H12" s="35">
        <f t="shared" si="1"/>
        <v>-58</v>
      </c>
      <c r="I12" s="87">
        <f>F12*100/60</f>
        <v>96.66666666666667</v>
      </c>
      <c r="J12" s="87">
        <f>G12*100/60</f>
        <v>0</v>
      </c>
      <c r="K12" s="35">
        <f t="shared" si="2"/>
        <v>-96.66666666666667</v>
      </c>
      <c r="L12" s="35">
        <f>(C12-F12)*100/60</f>
        <v>13.333333333333334</v>
      </c>
      <c r="M12" s="35">
        <f>(D12-G12)*100/60</f>
        <v>0</v>
      </c>
      <c r="N12" s="87">
        <f t="shared" si="3"/>
        <v>-13.333333333333334</v>
      </c>
    </row>
    <row r="13" spans="1:14" ht="16.5" customHeight="1">
      <c r="A13" s="30">
        <v>8</v>
      </c>
      <c r="B13" s="31" t="s">
        <v>87</v>
      </c>
      <c r="C13" s="115">
        <v>9</v>
      </c>
      <c r="D13" s="87">
        <v>86</v>
      </c>
      <c r="E13" s="35">
        <f>D13*100/C14</f>
        <v>93.47826086956522</v>
      </c>
      <c r="F13" s="87"/>
      <c r="G13" s="87">
        <v>72</v>
      </c>
      <c r="H13" s="35">
        <f t="shared" si="1"/>
        <v>72</v>
      </c>
      <c r="I13" s="87"/>
      <c r="J13" s="87">
        <f>G13*100/5</f>
        <v>1440</v>
      </c>
      <c r="K13" s="35"/>
      <c r="L13" s="35"/>
      <c r="M13" s="35">
        <f>(D13-G13)*100/5</f>
        <v>280</v>
      </c>
      <c r="N13" s="87"/>
    </row>
    <row r="14" spans="1:14" ht="16.5" customHeight="1">
      <c r="A14" s="30">
        <v>9</v>
      </c>
      <c r="B14" s="31" t="s">
        <v>72</v>
      </c>
      <c r="C14" s="87">
        <v>92</v>
      </c>
      <c r="D14" s="87">
        <v>83</v>
      </c>
      <c r="E14" s="35">
        <f>D14*100/C15</f>
        <v>116.90140845070422</v>
      </c>
      <c r="F14" s="87">
        <v>80</v>
      </c>
      <c r="G14" s="87">
        <v>74</v>
      </c>
      <c r="H14" s="35">
        <f t="shared" si="1"/>
        <v>-6</v>
      </c>
      <c r="I14" s="87">
        <f>F14*100/78</f>
        <v>102.56410256410257</v>
      </c>
      <c r="J14" s="87">
        <f>G14*100/78</f>
        <v>94.87179487179488</v>
      </c>
      <c r="K14" s="35">
        <f t="shared" si="2"/>
        <v>-7.692307692307693</v>
      </c>
      <c r="L14" s="35">
        <f>(C14-F14)*100/78</f>
        <v>15.384615384615385</v>
      </c>
      <c r="M14" s="35">
        <f>(D14-G14)*100/78</f>
        <v>11.538461538461538</v>
      </c>
      <c r="N14" s="87">
        <f t="shared" si="3"/>
        <v>-3.8461538461538467</v>
      </c>
    </row>
    <row r="15" spans="1:14" ht="16.5" customHeight="1">
      <c r="A15" s="30">
        <v>10</v>
      </c>
      <c r="B15" s="31" t="s">
        <v>61</v>
      </c>
      <c r="C15" s="87">
        <v>71</v>
      </c>
      <c r="D15" s="87">
        <v>101</v>
      </c>
      <c r="E15" s="35">
        <f>D15*100/C16</f>
        <v>348.2758620689655</v>
      </c>
      <c r="F15" s="87">
        <v>68</v>
      </c>
      <c r="G15" s="87">
        <v>85</v>
      </c>
      <c r="H15" s="35">
        <f t="shared" si="1"/>
        <v>17</v>
      </c>
      <c r="I15" s="87">
        <f>F15*100/100</f>
        <v>68</v>
      </c>
      <c r="J15" s="87">
        <f>G15*100/100</f>
        <v>85</v>
      </c>
      <c r="K15" s="35">
        <f t="shared" si="2"/>
        <v>17</v>
      </c>
      <c r="L15" s="35">
        <f>(C15-F15)*100/100</f>
        <v>3</v>
      </c>
      <c r="M15" s="35">
        <f>(D15-G15)*100/100</f>
        <v>16</v>
      </c>
      <c r="N15" s="87">
        <f t="shared" si="3"/>
        <v>13</v>
      </c>
    </row>
    <row r="16" spans="1:14" ht="16.5" customHeight="1">
      <c r="A16" s="30">
        <v>11</v>
      </c>
      <c r="B16" s="31" t="s">
        <v>62</v>
      </c>
      <c r="C16" s="87">
        <v>29</v>
      </c>
      <c r="D16" s="87">
        <v>32</v>
      </c>
      <c r="E16" s="35">
        <f>D16*100/C17</f>
        <v>3.4151547491995733</v>
      </c>
      <c r="F16" s="87">
        <v>29</v>
      </c>
      <c r="G16" s="87">
        <v>32</v>
      </c>
      <c r="H16" s="35">
        <f t="shared" si="1"/>
        <v>3</v>
      </c>
      <c r="I16" s="87">
        <f>F16*100/42</f>
        <v>69.04761904761905</v>
      </c>
      <c r="J16" s="87">
        <f>G16*100/42</f>
        <v>76.19047619047619</v>
      </c>
      <c r="K16" s="35">
        <f t="shared" si="2"/>
        <v>7.142857142857139</v>
      </c>
      <c r="L16" s="35">
        <f>(C16-F16)*100/42</f>
        <v>0</v>
      </c>
      <c r="M16" s="35">
        <f>(D16-G16)*100/42</f>
        <v>0</v>
      </c>
      <c r="N16" s="87">
        <f t="shared" si="3"/>
        <v>0</v>
      </c>
    </row>
    <row r="17" spans="1:14" ht="61.5" customHeight="1">
      <c r="A17" s="196" t="s">
        <v>96</v>
      </c>
      <c r="B17" s="197"/>
      <c r="C17" s="35">
        <f>SUM(C6:C16)</f>
        <v>937</v>
      </c>
      <c r="D17" s="3">
        <f>SUM(D6:D16)</f>
        <v>945</v>
      </c>
      <c r="E17" s="35">
        <f t="shared" si="0"/>
        <v>100.8537886872999</v>
      </c>
      <c r="F17" s="3">
        <f>SUM(F6:F16)</f>
        <v>832</v>
      </c>
      <c r="G17" s="3">
        <f>SUM(G6:G16)</f>
        <v>839</v>
      </c>
      <c r="H17" s="35">
        <f t="shared" si="1"/>
        <v>7</v>
      </c>
      <c r="I17" s="35">
        <f>F17*100/1298</f>
        <v>64.09861325115563</v>
      </c>
      <c r="J17" s="35">
        <f>G17*100/1303</f>
        <v>64.38986953184958</v>
      </c>
      <c r="K17" s="35">
        <f t="shared" si="2"/>
        <v>0.2912562806939576</v>
      </c>
      <c r="L17" s="35">
        <f>(C17-F17)*100/1298</f>
        <v>8.089368258859784</v>
      </c>
      <c r="M17" s="35">
        <f>(D17-G17)*100/1303</f>
        <v>8.135072908672294</v>
      </c>
      <c r="N17" s="35">
        <f t="shared" si="3"/>
        <v>0.04570464981251021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F21" sqref="F21"/>
    </sheetView>
  </sheetViews>
  <sheetFormatPr defaultColWidth="9.00390625" defaultRowHeight="12.75"/>
  <cols>
    <col min="1" max="1" width="3.75390625" style="19" customWidth="1"/>
    <col min="2" max="2" width="29.75390625" style="19" customWidth="1"/>
    <col min="3" max="3" width="12.125" style="19" customWidth="1"/>
    <col min="4" max="4" width="14.625" style="19" customWidth="1"/>
    <col min="5" max="5" width="13.00390625" style="19" customWidth="1"/>
    <col min="6" max="6" width="13.25390625" style="19" customWidth="1"/>
    <col min="7" max="16384" width="9.125" style="19" customWidth="1"/>
  </cols>
  <sheetData>
    <row r="1" spans="1:9" ht="15.75" customHeight="1">
      <c r="A1" s="199" t="s">
        <v>108</v>
      </c>
      <c r="B1" s="199"/>
      <c r="C1" s="199"/>
      <c r="D1" s="199"/>
      <c r="E1" s="199"/>
      <c r="F1" s="199"/>
      <c r="G1" s="75"/>
      <c r="H1" s="75"/>
      <c r="I1" s="75"/>
    </row>
    <row r="2" spans="1:9" ht="15.75">
      <c r="A2" s="200" t="s">
        <v>118</v>
      </c>
      <c r="B2" s="200"/>
      <c r="C2" s="200"/>
      <c r="D2" s="200"/>
      <c r="E2" s="200"/>
      <c r="F2" s="200"/>
      <c r="G2" s="75"/>
      <c r="H2" s="75"/>
      <c r="I2" s="75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5"/>
      <c r="H3" s="75"/>
      <c r="I3" s="75"/>
    </row>
    <row r="4" spans="1:9" ht="15">
      <c r="A4" s="8"/>
      <c r="B4" s="8"/>
      <c r="C4" s="17">
        <v>2010</v>
      </c>
      <c r="D4" s="18">
        <v>2011</v>
      </c>
      <c r="E4" s="17">
        <v>2010</v>
      </c>
      <c r="F4" s="18">
        <v>2011</v>
      </c>
      <c r="G4" s="75"/>
      <c r="H4" s="75"/>
      <c r="I4" s="75"/>
    </row>
    <row r="5" spans="1:9" ht="15">
      <c r="A5" s="3">
        <v>1</v>
      </c>
      <c r="B5" s="21" t="s">
        <v>55</v>
      </c>
      <c r="C5" s="35">
        <f>(молоко!C7*1000)/1875</f>
        <v>195.73333333333332</v>
      </c>
      <c r="D5" s="35">
        <f>(молоко!D7*1000)/1875</f>
        <v>166.93333333333334</v>
      </c>
      <c r="E5" s="35">
        <f>(мясо!C6*1000)/1875</f>
        <v>19.30666666666667</v>
      </c>
      <c r="F5" s="35">
        <f>(мясо!D6*1000)/1875</f>
        <v>20.053333333333335</v>
      </c>
      <c r="H5" s="75"/>
      <c r="I5" s="75"/>
    </row>
    <row r="6" spans="1:9" ht="15">
      <c r="A6" s="3">
        <v>2</v>
      </c>
      <c r="B6" s="21" t="s">
        <v>56</v>
      </c>
      <c r="C6" s="35">
        <f>(молоко!C8*1000)/799</f>
        <v>304.1301627033792</v>
      </c>
      <c r="D6" s="35">
        <f>(молоко!D8*1000)/799</f>
        <v>313.71088861076345</v>
      </c>
      <c r="E6" s="35">
        <f>(мясо!C7*1000)/799</f>
        <v>21.27659574468085</v>
      </c>
      <c r="F6" s="35">
        <f>(мясо!D7*1000)/799</f>
        <v>12.449311639549437</v>
      </c>
      <c r="H6" s="75"/>
      <c r="I6" s="75"/>
    </row>
    <row r="7" spans="1:9" ht="15">
      <c r="A7" s="3">
        <v>3</v>
      </c>
      <c r="B7" s="21" t="s">
        <v>57</v>
      </c>
      <c r="C7" s="35">
        <f>(молоко!C9*1000)/2025</f>
        <v>89.38271604938272</v>
      </c>
      <c r="D7" s="35">
        <f>(молоко!D9*1000)/2025</f>
        <v>92.8395061728395</v>
      </c>
      <c r="E7" s="35">
        <f>(мясо!C8*1000)/2025</f>
        <v>4.404938271604938</v>
      </c>
      <c r="F7" s="35">
        <f>(мясо!D8*1000)/2025</f>
        <v>3.9012345679012346</v>
      </c>
      <c r="H7" s="75"/>
      <c r="I7" s="75"/>
    </row>
    <row r="8" spans="1:9" ht="15">
      <c r="A8" s="3">
        <v>4</v>
      </c>
      <c r="B8" s="37" t="s">
        <v>58</v>
      </c>
      <c r="C8" s="35">
        <f>(молоко!C10*1000)/2478</f>
        <v>301.3720742534302</v>
      </c>
      <c r="D8" s="35">
        <f>(молоко!D10*1000)/2478</f>
        <v>364.7296206618241</v>
      </c>
      <c r="E8" s="35">
        <f>(мясо!C9*1000)/2478</f>
        <v>49.152542372881356</v>
      </c>
      <c r="F8" s="35">
        <f>(мясо!D9*1000)/2478</f>
        <v>34.50363196125908</v>
      </c>
      <c r="H8" s="75"/>
      <c r="I8" s="75"/>
    </row>
    <row r="9" spans="1:9" ht="15">
      <c r="A9" s="3">
        <v>5</v>
      </c>
      <c r="B9" s="21" t="s">
        <v>59</v>
      </c>
      <c r="C9" s="35">
        <f>(молоко!C11*1000)/2157</f>
        <v>186.3699582753825</v>
      </c>
      <c r="D9" s="35">
        <f>(молоко!D11*1000)/2157</f>
        <v>157.62633286972647</v>
      </c>
      <c r="E9" s="35">
        <f>(мясо!C10*1000)/2157</f>
        <v>31.20074177097821</v>
      </c>
      <c r="F9" s="35">
        <f>(мясо!D10*1000)/2157</f>
        <v>29.20723226703755</v>
      </c>
      <c r="H9" s="75"/>
      <c r="I9" s="75"/>
    </row>
    <row r="10" spans="1:9" ht="15">
      <c r="A10" s="3">
        <v>6</v>
      </c>
      <c r="B10" s="37" t="s">
        <v>73</v>
      </c>
      <c r="C10" s="35">
        <f>(молоко!C12*1000)/859</f>
        <v>360.186263096624</v>
      </c>
      <c r="D10" s="35">
        <f>(молоко!D12*1000)/859</f>
        <v>315.0337601862631</v>
      </c>
      <c r="E10" s="35">
        <f>(мясо!C11*1000)/859</f>
        <v>33.87660069848661</v>
      </c>
      <c r="F10" s="35">
        <f>(мясо!D11*1000)/859</f>
        <v>26.240977881257276</v>
      </c>
      <c r="H10" s="75"/>
      <c r="I10" s="75"/>
    </row>
    <row r="11" spans="1:9" ht="15">
      <c r="A11" s="3">
        <v>7</v>
      </c>
      <c r="B11" s="37" t="s">
        <v>60</v>
      </c>
      <c r="C11" s="35">
        <f>(молоко!C13*1000)/1482</f>
        <v>137.69905533063428</v>
      </c>
      <c r="D11" s="35">
        <f>(молоко!D13*1000)/1482</f>
        <v>0</v>
      </c>
      <c r="E11" s="35">
        <f>(мясо!C12*1000)/1482</f>
        <v>0.6747638326585695</v>
      </c>
      <c r="F11" s="35">
        <f>(мясо!D12*1000)/1482</f>
        <v>0</v>
      </c>
      <c r="H11" s="75"/>
      <c r="I11" s="75"/>
    </row>
    <row r="12" spans="1:9" ht="15">
      <c r="A12" s="3">
        <v>8</v>
      </c>
      <c r="B12" s="31" t="s">
        <v>87</v>
      </c>
      <c r="C12" s="35"/>
      <c r="D12" s="35"/>
      <c r="E12" s="35"/>
      <c r="F12" s="35"/>
      <c r="H12" s="75"/>
      <c r="I12" s="75"/>
    </row>
    <row r="13" spans="1:9" ht="15.75" customHeight="1">
      <c r="A13" s="3">
        <v>9</v>
      </c>
      <c r="B13" s="31" t="s">
        <v>72</v>
      </c>
      <c r="C13" s="35">
        <f>(молоко!C15*1000)/1077</f>
        <v>344.6239554317549</v>
      </c>
      <c r="D13" s="35">
        <f>(молоко!D15*1000)/1077</f>
        <v>351.4883936861653</v>
      </c>
      <c r="E13" s="35">
        <f>(мясо!C14*1000)/1077</f>
        <v>17.168059424326835</v>
      </c>
      <c r="F13" s="35">
        <f>(мясо!D14*1000)/1077</f>
        <v>17.44661095636026</v>
      </c>
      <c r="H13" s="75"/>
      <c r="I13" s="75"/>
    </row>
    <row r="14" spans="1:9" ht="15">
      <c r="A14" s="3">
        <v>10</v>
      </c>
      <c r="B14" s="37" t="s">
        <v>61</v>
      </c>
      <c r="C14" s="35">
        <f>(молоко!C16*1000)/1084</f>
        <v>229.7047970479705</v>
      </c>
      <c r="D14" s="35">
        <f>(молоко!D16*1000)/1084</f>
        <v>239.48339483394835</v>
      </c>
      <c r="E14" s="35">
        <f>(мясо!C15*1000)/1084</f>
        <v>14.944649446494465</v>
      </c>
      <c r="F14" s="35">
        <f>(мясо!D15*1000)/1084</f>
        <v>22.970479704797047</v>
      </c>
      <c r="H14" s="75"/>
      <c r="I14" s="75"/>
    </row>
    <row r="15" spans="1:9" ht="15">
      <c r="A15" s="3">
        <v>11</v>
      </c>
      <c r="B15" s="37" t="s">
        <v>62</v>
      </c>
      <c r="C15" s="35">
        <f>(молоко!C17*1000)/674</f>
        <v>171.66172106824925</v>
      </c>
      <c r="D15" s="35">
        <f>(молоко!D17*1000)/674</f>
        <v>170.47477744807122</v>
      </c>
      <c r="E15" s="35">
        <f>(мясо!C16*1000)/674</f>
        <v>20.474777448071215</v>
      </c>
      <c r="F15" s="35">
        <f>(мясо!D16*1000)/674</f>
        <v>6.379821958456973</v>
      </c>
      <c r="H15" s="75"/>
      <c r="I15" s="75"/>
    </row>
    <row r="16" spans="1:9" ht="15">
      <c r="A16" s="3">
        <v>12</v>
      </c>
      <c r="B16" s="37" t="s">
        <v>63</v>
      </c>
      <c r="C16" s="35"/>
      <c r="D16" s="35"/>
      <c r="E16" s="35">
        <f>(мясо!C17*1000)/983</f>
        <v>837.2329603255341</v>
      </c>
      <c r="F16" s="35">
        <f>(мясо!D17*1000)/983</f>
        <v>1056.968463886063</v>
      </c>
      <c r="H16" s="75"/>
      <c r="I16" s="75"/>
    </row>
    <row r="17" spans="1:6" ht="63.75" customHeight="1">
      <c r="A17" s="196" t="s">
        <v>96</v>
      </c>
      <c r="B17" s="197"/>
      <c r="C17" s="35">
        <f>(молоко!C18*1000)/22877</f>
        <v>139.56943655199547</v>
      </c>
      <c r="D17" s="35">
        <f>(молоко!D18*1000)/22877</f>
        <v>142.27809590418323</v>
      </c>
      <c r="E17" s="35">
        <f>(мясо!C26*1000)/22877</f>
        <v>50.717751453424846</v>
      </c>
      <c r="F17" s="35">
        <f>(мясо!D26*1000)/22877</f>
        <v>58.687196747825325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0" zoomScaleNormal="75" zoomScaleSheetLayoutView="70" zoomScalePageLayoutView="0" workbookViewId="0" topLeftCell="A1">
      <selection activeCell="J30" sqref="J30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19"/>
      <c r="B1" s="14"/>
      <c r="C1" s="42" t="s">
        <v>117</v>
      </c>
      <c r="D1" s="42"/>
      <c r="E1" s="42"/>
      <c r="F1" s="14"/>
      <c r="G1" s="14"/>
      <c r="H1" s="14"/>
      <c r="I1" s="14"/>
      <c r="J1" s="14"/>
      <c r="K1" s="14"/>
    </row>
    <row r="2" spans="1:11" ht="18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9" t="s">
        <v>2</v>
      </c>
      <c r="B3" s="203" t="s">
        <v>3</v>
      </c>
      <c r="C3" s="204" t="s">
        <v>92</v>
      </c>
      <c r="D3" s="205"/>
      <c r="E3" s="206"/>
      <c r="F3" s="53" t="s">
        <v>11</v>
      </c>
      <c r="G3" s="54" t="s">
        <v>14</v>
      </c>
      <c r="H3" s="55" t="s">
        <v>16</v>
      </c>
      <c r="I3" s="56"/>
      <c r="J3" s="52"/>
      <c r="K3" s="52" t="s">
        <v>17</v>
      </c>
    </row>
    <row r="4" spans="1:11" ht="18">
      <c r="A4" s="173"/>
      <c r="B4" s="173"/>
      <c r="C4" s="57">
        <v>2011</v>
      </c>
      <c r="D4" s="53">
        <v>2012</v>
      </c>
      <c r="E4" s="53" t="s">
        <v>97</v>
      </c>
      <c r="F4" s="58" t="s">
        <v>12</v>
      </c>
      <c r="G4" s="59" t="s">
        <v>15</v>
      </c>
      <c r="H4" s="57">
        <v>2011</v>
      </c>
      <c r="I4" s="53">
        <v>2012</v>
      </c>
      <c r="J4" s="53" t="s">
        <v>97</v>
      </c>
      <c r="K4" s="60" t="s">
        <v>18</v>
      </c>
    </row>
    <row r="5" spans="1:11" ht="18">
      <c r="A5" s="150"/>
      <c r="B5" s="150"/>
      <c r="C5" s="61"/>
      <c r="D5" s="62"/>
      <c r="E5" s="62" t="s">
        <v>98</v>
      </c>
      <c r="F5" s="62" t="s">
        <v>13</v>
      </c>
      <c r="G5" s="63"/>
      <c r="H5" s="61"/>
      <c r="I5" s="62"/>
      <c r="J5" s="62" t="s">
        <v>98</v>
      </c>
      <c r="K5" s="64" t="s">
        <v>0</v>
      </c>
    </row>
    <row r="6" spans="1:11" ht="18" customHeight="1">
      <c r="A6" s="207" t="s">
        <v>93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6.5" customHeight="1">
      <c r="A7" s="30">
        <v>1</v>
      </c>
      <c r="B7" s="65" t="s">
        <v>55</v>
      </c>
      <c r="C7" s="12">
        <v>367</v>
      </c>
      <c r="D7" s="12">
        <v>313</v>
      </c>
      <c r="E7" s="13">
        <f aca="true" t="shared" si="0" ref="E7:E17">D7/C7*100</f>
        <v>85.28610354223434</v>
      </c>
      <c r="F7" s="12">
        <v>265.3</v>
      </c>
      <c r="G7" s="13">
        <f aca="true" t="shared" si="1" ref="G7:G17">F7/D7*100</f>
        <v>84.76038338658147</v>
      </c>
      <c r="H7" s="16">
        <f>C7/'численность 1'!J6*1000</f>
        <v>2038.8888888888887</v>
      </c>
      <c r="I7" s="16">
        <f>D7/'численность 1'!K6*1000</f>
        <v>1738.888888888889</v>
      </c>
      <c r="J7" s="13">
        <f aca="true" t="shared" si="2" ref="J7:J22">I7/H7*100</f>
        <v>85.28610354223434</v>
      </c>
      <c r="K7" s="12"/>
    </row>
    <row r="8" spans="1:11" ht="16.5" customHeight="1">
      <c r="A8" s="30">
        <v>2</v>
      </c>
      <c r="B8" s="65" t="s">
        <v>56</v>
      </c>
      <c r="C8" s="12">
        <v>243</v>
      </c>
      <c r="D8" s="12">
        <v>250.655</v>
      </c>
      <c r="E8" s="13">
        <f t="shared" si="0"/>
        <v>103.15020576131688</v>
      </c>
      <c r="F8" s="12">
        <v>225.155</v>
      </c>
      <c r="G8" s="13">
        <f t="shared" si="1"/>
        <v>89.82665416608486</v>
      </c>
      <c r="H8" s="16">
        <f>C8/'численность 1'!J7*1000</f>
        <v>2314.2857142857147</v>
      </c>
      <c r="I8" s="13">
        <f>D8/'численность 1'!K7*1000</f>
        <v>2387.190476190476</v>
      </c>
      <c r="J8" s="13">
        <f t="shared" si="2"/>
        <v>103.15020576131685</v>
      </c>
      <c r="K8" s="12"/>
    </row>
    <row r="9" spans="1:11" ht="16.5" customHeight="1">
      <c r="A9" s="30">
        <v>3</v>
      </c>
      <c r="B9" s="65" t="s">
        <v>57</v>
      </c>
      <c r="C9" s="12">
        <v>181</v>
      </c>
      <c r="D9" s="12">
        <v>188</v>
      </c>
      <c r="E9" s="13">
        <f t="shared" si="0"/>
        <v>103.86740331491713</v>
      </c>
      <c r="F9" s="12">
        <v>135</v>
      </c>
      <c r="G9" s="13">
        <f t="shared" si="1"/>
        <v>71.80851063829788</v>
      </c>
      <c r="H9" s="16">
        <f>C9/'численность 1'!J8*1000</f>
        <v>3016.6666666666665</v>
      </c>
      <c r="I9" s="13">
        <f>D9/'численность 1'!K8*1000</f>
        <v>3133.3333333333335</v>
      </c>
      <c r="J9" s="13">
        <f t="shared" si="2"/>
        <v>103.86740331491713</v>
      </c>
      <c r="K9" s="12"/>
    </row>
    <row r="10" spans="1:11" ht="16.5" customHeight="1">
      <c r="A10" s="30">
        <v>4</v>
      </c>
      <c r="B10" s="65" t="s">
        <v>58</v>
      </c>
      <c r="C10" s="12">
        <v>746.8</v>
      </c>
      <c r="D10" s="12">
        <v>903.8</v>
      </c>
      <c r="E10" s="13">
        <f t="shared" si="0"/>
        <v>121.02303160149974</v>
      </c>
      <c r="F10" s="12">
        <v>838.3</v>
      </c>
      <c r="G10" s="13">
        <f t="shared" si="1"/>
        <v>92.75282142066828</v>
      </c>
      <c r="H10" s="16">
        <f>C10/'численность 1'!J9*1000</f>
        <v>2424.6753246753246</v>
      </c>
      <c r="I10" s="13">
        <f>D10/'численность 1'!K9*1000</f>
        <v>2934.4155844155844</v>
      </c>
      <c r="J10" s="13">
        <f t="shared" si="2"/>
        <v>121.02303160149974</v>
      </c>
      <c r="K10" s="12"/>
    </row>
    <row r="11" spans="1:11" ht="16.5" customHeight="1">
      <c r="A11" s="30">
        <v>5</v>
      </c>
      <c r="B11" s="66" t="s">
        <v>59</v>
      </c>
      <c r="C11" s="12">
        <v>402</v>
      </c>
      <c r="D11" s="12">
        <v>340</v>
      </c>
      <c r="E11" s="13">
        <f t="shared" si="0"/>
        <v>84.5771144278607</v>
      </c>
      <c r="F11" s="12">
        <v>270</v>
      </c>
      <c r="G11" s="13">
        <f t="shared" si="1"/>
        <v>79.41176470588235</v>
      </c>
      <c r="H11" s="16">
        <f>C11/'численность 1'!J10*1000</f>
        <v>1435.7142857142858</v>
      </c>
      <c r="I11" s="128">
        <f>D11/'численность 1'!K10*1000</f>
        <v>1545.4545454545455</v>
      </c>
      <c r="J11" s="13">
        <f t="shared" si="2"/>
        <v>107.64360018091361</v>
      </c>
      <c r="K11" s="12"/>
    </row>
    <row r="12" spans="1:11" ht="16.5" customHeight="1">
      <c r="A12" s="30">
        <v>6</v>
      </c>
      <c r="B12" s="66" t="s">
        <v>73</v>
      </c>
      <c r="C12" s="15">
        <v>309.4</v>
      </c>
      <c r="D12" s="15">
        <v>270.614</v>
      </c>
      <c r="E12" s="13">
        <f t="shared" si="0"/>
        <v>87.46412411118293</v>
      </c>
      <c r="F12" s="15">
        <v>194.212</v>
      </c>
      <c r="G12" s="16">
        <f t="shared" si="1"/>
        <v>71.7671665176229</v>
      </c>
      <c r="H12" s="16">
        <f>C12/'численность 1'!J11*1000</f>
        <v>3639.9999999999995</v>
      </c>
      <c r="I12" s="13">
        <f>D12/'численность 1'!K11*1000</f>
        <v>3183.694117647058</v>
      </c>
      <c r="J12" s="13">
        <f t="shared" si="2"/>
        <v>87.46412411118293</v>
      </c>
      <c r="K12" s="129">
        <v>285.5</v>
      </c>
    </row>
    <row r="13" spans="1:11" ht="16.5" customHeight="1">
      <c r="A13" s="30">
        <v>7</v>
      </c>
      <c r="B13" s="66" t="s">
        <v>60</v>
      </c>
      <c r="C13" s="15">
        <v>204.07</v>
      </c>
      <c r="D13" s="15"/>
      <c r="E13" s="13"/>
      <c r="F13" s="15"/>
      <c r="G13" s="16"/>
      <c r="H13" s="16">
        <f>C13/'численность 1'!J12*1000</f>
        <v>3401.1666666666665</v>
      </c>
      <c r="I13" s="13"/>
      <c r="J13" s="13"/>
      <c r="K13" s="15"/>
    </row>
    <row r="14" spans="1:11" ht="16.5" customHeight="1">
      <c r="A14" s="30">
        <v>8</v>
      </c>
      <c r="B14" s="66" t="s">
        <v>87</v>
      </c>
      <c r="C14" s="15">
        <v>3.8</v>
      </c>
      <c r="D14" s="15">
        <v>235.774</v>
      </c>
      <c r="E14" s="13">
        <f t="shared" si="0"/>
        <v>6204.578947368422</v>
      </c>
      <c r="F14" s="15">
        <v>159.717</v>
      </c>
      <c r="G14" s="16">
        <f t="shared" si="1"/>
        <v>67.74156607598802</v>
      </c>
      <c r="H14" s="16"/>
      <c r="I14" s="16">
        <f>D14/'численность 1'!K13*1000</f>
        <v>3627.292307692308</v>
      </c>
      <c r="J14" s="13"/>
      <c r="K14" s="15">
        <v>75.764</v>
      </c>
    </row>
    <row r="15" spans="1:11" ht="16.5" customHeight="1">
      <c r="A15" s="30">
        <v>9</v>
      </c>
      <c r="B15" s="66" t="s">
        <v>72</v>
      </c>
      <c r="C15" s="15">
        <v>371.16</v>
      </c>
      <c r="D15" s="15">
        <v>378.553</v>
      </c>
      <c r="E15" s="16">
        <f t="shared" si="0"/>
        <v>101.99186334734345</v>
      </c>
      <c r="F15" s="15">
        <v>324.78</v>
      </c>
      <c r="G15" s="16">
        <f t="shared" si="1"/>
        <v>85.79511983790908</v>
      </c>
      <c r="H15" s="16">
        <f>C15/'численность 1'!J14*1000</f>
        <v>4758.461538461539</v>
      </c>
      <c r="I15" s="16">
        <f>D15/'численность 1'!K14*1000</f>
        <v>4853.24358974359</v>
      </c>
      <c r="J15" s="13">
        <f t="shared" si="2"/>
        <v>101.99186334734345</v>
      </c>
      <c r="K15" s="15"/>
    </row>
    <row r="16" spans="1:11" ht="16.5" customHeight="1">
      <c r="A16" s="30">
        <v>10</v>
      </c>
      <c r="B16" s="66" t="s">
        <v>61</v>
      </c>
      <c r="C16" s="15">
        <v>249</v>
      </c>
      <c r="D16" s="15">
        <v>259.6</v>
      </c>
      <c r="E16" s="13">
        <f t="shared" si="0"/>
        <v>104.25702811244982</v>
      </c>
      <c r="F16" s="15">
        <v>213.5</v>
      </c>
      <c r="G16" s="16">
        <f t="shared" si="1"/>
        <v>82.24191063174113</v>
      </c>
      <c r="H16" s="16">
        <f>C16/'численность 1'!J15*1000</f>
        <v>2490</v>
      </c>
      <c r="I16" s="13">
        <f>D16/'численность 1'!K15*1000</f>
        <v>2596</v>
      </c>
      <c r="J16" s="13">
        <f t="shared" si="2"/>
        <v>104.25702811244979</v>
      </c>
      <c r="K16" s="15">
        <v>6.4</v>
      </c>
    </row>
    <row r="17" spans="1:11" ht="16.5" customHeight="1">
      <c r="A17" s="30">
        <v>11</v>
      </c>
      <c r="B17" s="66" t="s">
        <v>62</v>
      </c>
      <c r="C17" s="15">
        <v>115.7</v>
      </c>
      <c r="D17" s="15">
        <v>114.9</v>
      </c>
      <c r="E17" s="13">
        <f t="shared" si="0"/>
        <v>99.3085566119274</v>
      </c>
      <c r="F17" s="15">
        <v>105</v>
      </c>
      <c r="G17" s="16">
        <f t="shared" si="1"/>
        <v>91.38381201044385</v>
      </c>
      <c r="H17" s="16">
        <f>C17/'численность 1'!J16*1000</f>
        <v>2754.7619047619046</v>
      </c>
      <c r="I17" s="13">
        <f>D17/'численность 1'!K16*1000</f>
        <v>2802.439024390244</v>
      </c>
      <c r="J17" s="13">
        <f t="shared" si="2"/>
        <v>101.73071652929148</v>
      </c>
      <c r="K17" s="15"/>
    </row>
    <row r="18" spans="1:11" ht="57" customHeight="1">
      <c r="A18" s="157" t="s">
        <v>103</v>
      </c>
      <c r="B18" s="158"/>
      <c r="C18" s="15">
        <f>SUM(C7:C17)</f>
        <v>3192.93</v>
      </c>
      <c r="D18" s="67">
        <f>SUM(D7:D17)</f>
        <v>3254.8959999999997</v>
      </c>
      <c r="E18" s="13">
        <f>D18/C18*100</f>
        <v>101.94072528993745</v>
      </c>
      <c r="F18" s="67">
        <f>SUM(F7:F17)</f>
        <v>2730.964</v>
      </c>
      <c r="G18" s="13">
        <f>F18/D18*100</f>
        <v>83.90326449754463</v>
      </c>
      <c r="H18" s="13">
        <f>C18/'численность 1'!J20*1000</f>
        <v>2459.884437596302</v>
      </c>
      <c r="I18" s="13">
        <f>D18/'численность 1'!K20*1000</f>
        <v>2620.68921095008</v>
      </c>
      <c r="J18" s="13">
        <f t="shared" si="2"/>
        <v>106.5370864946367</v>
      </c>
      <c r="K18" s="67">
        <f>SUM(K7:K17)</f>
        <v>367.664</v>
      </c>
    </row>
    <row r="19" spans="1:11" ht="19.5" customHeight="1">
      <c r="A19" s="132">
        <v>1</v>
      </c>
      <c r="B19" s="130" t="s">
        <v>112</v>
      </c>
      <c r="C19" s="132"/>
      <c r="D19" s="67">
        <v>26.181</v>
      </c>
      <c r="E19" s="13"/>
      <c r="F19" s="67">
        <v>17.529</v>
      </c>
      <c r="G19" s="13">
        <f>F19/D19*100</f>
        <v>66.95313395210268</v>
      </c>
      <c r="H19" s="13"/>
      <c r="I19" s="13">
        <f>D19/'численность 1'!K21*1000</f>
        <v>1745.4</v>
      </c>
      <c r="J19" s="13"/>
      <c r="K19" s="67"/>
    </row>
    <row r="20" spans="1:11" ht="21.75" customHeight="1">
      <c r="A20" s="157" t="s">
        <v>111</v>
      </c>
      <c r="B20" s="210"/>
      <c r="C20" s="15"/>
      <c r="D20" s="67">
        <f>D19</f>
        <v>26.181</v>
      </c>
      <c r="E20" s="13"/>
      <c r="F20" s="67"/>
      <c r="G20" s="13"/>
      <c r="H20" s="13"/>
      <c r="I20" s="13">
        <f>D20/'численность 1'!K25*1000</f>
        <v>1745.4</v>
      </c>
      <c r="J20" s="13"/>
      <c r="K20" s="67"/>
    </row>
    <row r="21" spans="1:11" ht="18">
      <c r="A21" s="207" t="s">
        <v>94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9"/>
    </row>
    <row r="22" spans="1:11" ht="17.25" customHeight="1">
      <c r="A22" s="118">
        <v>1</v>
      </c>
      <c r="B22" s="66" t="s">
        <v>72</v>
      </c>
      <c r="C22" s="118">
        <v>28.126</v>
      </c>
      <c r="D22" s="118">
        <v>58.53</v>
      </c>
      <c r="E22" s="13">
        <f>D22/C22*100</f>
        <v>208.0992675815971</v>
      </c>
      <c r="F22" s="118">
        <v>45.7</v>
      </c>
      <c r="G22" s="13">
        <f>F22/D22*100</f>
        <v>78.07961729027849</v>
      </c>
      <c r="H22" s="118">
        <f>C22*1000/50</f>
        <v>562.52</v>
      </c>
      <c r="I22" s="126">
        <f>D22*1000/81</f>
        <v>722.5925925925926</v>
      </c>
      <c r="J22" s="13">
        <f t="shared" si="2"/>
        <v>128.45633801333153</v>
      </c>
      <c r="K22" s="118"/>
    </row>
    <row r="23" spans="1:11" ht="37.5" customHeight="1">
      <c r="A23" s="201" t="s">
        <v>91</v>
      </c>
      <c r="B23" s="202"/>
      <c r="C23" s="118">
        <f>C18+C22</f>
        <v>3221.056</v>
      </c>
      <c r="D23" s="126">
        <f>D18+D22+D20</f>
        <v>3339.607</v>
      </c>
      <c r="E23" s="13">
        <f>D23/C23*100</f>
        <v>103.68050105307078</v>
      </c>
      <c r="F23" s="118">
        <f>F18+F22</f>
        <v>2776.6639999999998</v>
      </c>
      <c r="G23" s="13">
        <f>F23/D23*100</f>
        <v>83.14343573959451</v>
      </c>
      <c r="H23" s="119" t="s">
        <v>95</v>
      </c>
      <c r="I23" s="119" t="s">
        <v>95</v>
      </c>
      <c r="J23" s="119" t="s">
        <v>95</v>
      </c>
      <c r="K23" s="118">
        <f>K18+K22</f>
        <v>367.664</v>
      </c>
    </row>
  </sheetData>
  <sheetProtection/>
  <mergeCells count="8">
    <mergeCell ref="A23:B23"/>
    <mergeCell ref="A3:A5"/>
    <mergeCell ref="B3:B5"/>
    <mergeCell ref="A18:B18"/>
    <mergeCell ref="C3:E3"/>
    <mergeCell ref="A6:K6"/>
    <mergeCell ref="A21:K21"/>
    <mergeCell ref="A20:B20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2012-11-09T06:16:56Z</cp:lastPrinted>
  <dcterms:created xsi:type="dcterms:W3CDTF">2002-11-05T10:10:22Z</dcterms:created>
  <dcterms:modified xsi:type="dcterms:W3CDTF">2013-03-11T07:18:41Z</dcterms:modified>
  <cp:category/>
  <cp:version/>
  <cp:contentType/>
  <cp:contentStatus/>
</cp:coreProperties>
</file>