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5" windowWidth="8400" windowHeight="6870" tabRatio="880" activeTab="9"/>
  </bookViews>
  <sheets>
    <sheet name="пало1" sheetId="1" r:id="rId1"/>
    <sheet name="привес" sheetId="2" r:id="rId2"/>
    <sheet name="численность 2" sheetId="3" r:id="rId3"/>
    <sheet name="численность 1" sheetId="4" r:id="rId4"/>
    <sheet name="приплод 2" sheetId="5" r:id="rId5"/>
    <sheet name="случка" sheetId="6" r:id="rId6"/>
    <sheet name="приплод 1" sheetId="7" r:id="rId7"/>
    <sheet name="на 100 га" sheetId="8" r:id="rId8"/>
    <sheet name="молоко" sheetId="9" r:id="rId9"/>
    <sheet name="мясо" sheetId="10" r:id="rId10"/>
  </sheets>
  <definedNames>
    <definedName name="_xlnm.Print_Area" localSheetId="8">'молоко'!$A$1:$K$16</definedName>
    <definedName name="_xlnm.Print_Area" localSheetId="9">'мясо'!$A$1:$K$19</definedName>
    <definedName name="_xlnm.Print_Area" localSheetId="7">'на 100 га'!$A$1:$F$16</definedName>
    <definedName name="_xlnm.Print_Area" localSheetId="0">'пало1'!$A$1:$V$18</definedName>
    <definedName name="_xlnm.Print_Area" localSheetId="1">'привес'!$A$1:$T$20</definedName>
    <definedName name="_xlnm.Print_Area" localSheetId="4">'приплод 2'!$A$1:$P$11</definedName>
    <definedName name="_xlnm.Print_Area" localSheetId="3">'численность 1'!$A$1:$U$19</definedName>
    <definedName name="_xlnm.Print_Area" localSheetId="2">'численность 2'!$A$1:$N$19</definedName>
  </definedNames>
  <calcPr fullCalcOnLoad="1"/>
</workbook>
</file>

<file path=xl/sharedStrings.xml><?xml version="1.0" encoding="utf-8"?>
<sst xmlns="http://schemas.openxmlformats.org/spreadsheetml/2006/main" count="274" uniqueCount="113">
  <si>
    <t>молока</t>
  </si>
  <si>
    <t>всего</t>
  </si>
  <si>
    <t>№</t>
  </si>
  <si>
    <t>Наименование хозяйств</t>
  </si>
  <si>
    <t xml:space="preserve">в % к </t>
  </si>
  <si>
    <t>в т.ч.</t>
  </si>
  <si>
    <t xml:space="preserve"> всего</t>
  </si>
  <si>
    <t>усл.гол.</t>
  </si>
  <si>
    <t xml:space="preserve">          в т.ч. коров</t>
  </si>
  <si>
    <t xml:space="preserve">     свиней</t>
  </si>
  <si>
    <t xml:space="preserve">         лошадей</t>
  </si>
  <si>
    <t>По району</t>
  </si>
  <si>
    <t xml:space="preserve">    ПРОИЗВОДСТВО МЯСА И МОЛОКА НА 100 га с/х угодий</t>
  </si>
  <si>
    <t xml:space="preserve"> производство молока, т</t>
  </si>
  <si>
    <t>в т.ч.отгру-</t>
  </si>
  <si>
    <t>жено мо-</t>
  </si>
  <si>
    <t>лока,т</t>
  </si>
  <si>
    <t>товар-</t>
  </si>
  <si>
    <t>ность,%</t>
  </si>
  <si>
    <t>средний удой от 1 ф.кор.кг</t>
  </si>
  <si>
    <t>куплено у</t>
  </si>
  <si>
    <t>населения</t>
  </si>
  <si>
    <t xml:space="preserve"> производство мяса, т</t>
  </si>
  <si>
    <t>в том числе</t>
  </si>
  <si>
    <t xml:space="preserve">      свиней</t>
  </si>
  <si>
    <t xml:space="preserve">        прочее</t>
  </si>
  <si>
    <t xml:space="preserve">           крс</t>
  </si>
  <si>
    <t xml:space="preserve">   получено телят, гол.</t>
  </si>
  <si>
    <t xml:space="preserve"> в т.ч. от коров</t>
  </si>
  <si>
    <t>ца с</t>
  </si>
  <si>
    <t>разни-</t>
  </si>
  <si>
    <t>получено телят</t>
  </si>
  <si>
    <t>на 100 коров</t>
  </si>
  <si>
    <t>растел нетелей</t>
  </si>
  <si>
    <t xml:space="preserve">            на 100 коров</t>
  </si>
  <si>
    <t>в т.ч.осн.</t>
  </si>
  <si>
    <t>Разница</t>
  </si>
  <si>
    <t xml:space="preserve">      всего КРС, гол</t>
  </si>
  <si>
    <t xml:space="preserve">        в т.ч. телок</t>
  </si>
  <si>
    <t>случ. с/маток и свинок</t>
  </si>
  <si>
    <t xml:space="preserve"> в т.ч. свинок</t>
  </si>
  <si>
    <t>Пало и погибло КРС</t>
  </si>
  <si>
    <t xml:space="preserve">Разница </t>
  </si>
  <si>
    <t xml:space="preserve">    Куплено</t>
  </si>
  <si>
    <t xml:space="preserve">       Продано</t>
  </si>
  <si>
    <t xml:space="preserve">         молока, ц</t>
  </si>
  <si>
    <t xml:space="preserve">       мяса, ц</t>
  </si>
  <si>
    <t>основ.</t>
  </si>
  <si>
    <t>пров.</t>
  </si>
  <si>
    <t xml:space="preserve">                                Кормодни</t>
  </si>
  <si>
    <t xml:space="preserve">                                С/с привес ,г</t>
  </si>
  <si>
    <t xml:space="preserve">       крс</t>
  </si>
  <si>
    <t xml:space="preserve">    свиньи</t>
  </si>
  <si>
    <t xml:space="preserve">          в т.ч. разовых</t>
  </si>
  <si>
    <t>овец и коз</t>
  </si>
  <si>
    <t>Пало и погибло свин.</t>
  </si>
  <si>
    <t xml:space="preserve">               ( таблица 1)</t>
  </si>
  <si>
    <t xml:space="preserve">   ( таблица 2)</t>
  </si>
  <si>
    <t>по Ибресинскому району</t>
  </si>
  <si>
    <t xml:space="preserve">                      по Ибресинкому  району</t>
  </si>
  <si>
    <t xml:space="preserve">           по Ибресинскому району</t>
  </si>
  <si>
    <t>Колхоз им.Ильича</t>
  </si>
  <si>
    <t>Колхоз "Искра"</t>
  </si>
  <si>
    <t>Колхоз "Кр.фронтовик"</t>
  </si>
  <si>
    <t>Колхоз "Кр.партизан"</t>
  </si>
  <si>
    <t>СХПК им.Калинина</t>
  </si>
  <si>
    <t>Колхоз "Трудовик"</t>
  </si>
  <si>
    <t>Колхоз им.Кирова</t>
  </si>
  <si>
    <t>Колхоз "Заря"</t>
  </si>
  <si>
    <t>ОАО "Рассвет"</t>
  </si>
  <si>
    <t>в т.ч. от основных свиноматок</t>
  </si>
  <si>
    <t xml:space="preserve">                       Валовый привес ,центнер</t>
  </si>
  <si>
    <t>осн.</t>
  </si>
  <si>
    <t>Среднегодовое поголовье коров, гол</t>
  </si>
  <si>
    <t>Наличие кормов, ц.к.ед.</t>
  </si>
  <si>
    <t>в т.ч. конц.</t>
  </si>
  <si>
    <t>из них покуп.</t>
  </si>
  <si>
    <t>п/п</t>
  </si>
  <si>
    <t>ООО "Агропромкомплект"</t>
  </si>
  <si>
    <t>Итого по району</t>
  </si>
  <si>
    <t>ООО "А-ф "Путиловка"</t>
  </si>
  <si>
    <t>СПК "Патман"</t>
  </si>
  <si>
    <t xml:space="preserve"> в т.ч.  нетелей</t>
  </si>
  <si>
    <t>Крупного рогатого скота</t>
  </si>
  <si>
    <t xml:space="preserve">    Опоросилось свиноматок, голов</t>
  </si>
  <si>
    <t xml:space="preserve">Получено поросят на 1 свиноматку </t>
  </si>
  <si>
    <t xml:space="preserve">Получено поросят на 100 осн. свиноматок </t>
  </si>
  <si>
    <t>Получено поросят , гол.</t>
  </si>
  <si>
    <t>по Ибресинскому  району</t>
  </si>
  <si>
    <t>лошади</t>
  </si>
  <si>
    <t>овцы и козы</t>
  </si>
  <si>
    <t>КФХ Ярчеев П.И.</t>
  </si>
  <si>
    <t>КРС</t>
  </si>
  <si>
    <t>свиней</t>
  </si>
  <si>
    <t>2011 в %</t>
  </si>
  <si>
    <t>к 2010 г.</t>
  </si>
  <si>
    <t>2010 г.</t>
  </si>
  <si>
    <t>с 2010 г.</t>
  </si>
  <si>
    <t>разница с 2010 г.</t>
  </si>
  <si>
    <t>в % к 2010 г.</t>
  </si>
  <si>
    <t>2011 к 2010 г. %</t>
  </si>
  <si>
    <t xml:space="preserve">КРС </t>
  </si>
  <si>
    <t xml:space="preserve">   Производство мяса за январь-май 2011г.</t>
  </si>
  <si>
    <t xml:space="preserve">            Производство молока за  январь-май 2011 г. по Ибресинскому району</t>
  </si>
  <si>
    <t>по Ибресинскому району за январь-май  2011 года (ц)</t>
  </si>
  <si>
    <t>Поступление приплода (телят) за январь-май 2011 г.</t>
  </si>
  <si>
    <t>СЛУЧЕНО И ОСЕМЕНЕНО за январь-май 2011 г.по Ибресинскому р-ну</t>
  </si>
  <si>
    <t>Поступление приплода (поросят) за январь-май 2011 г.</t>
  </si>
  <si>
    <t xml:space="preserve">      ЧИСЛЕННОСТЬ СКОТА по Ибресинскому району на 1.06.2011 г., (голов)</t>
  </si>
  <si>
    <r>
      <t xml:space="preserve">      ЧИСЛЕННОСТЬ СКОТА по </t>
    </r>
    <r>
      <rPr>
        <b/>
        <u val="single"/>
        <sz val="12"/>
        <rFont val="Arial Cyr"/>
        <family val="2"/>
      </rPr>
      <t>Ибресинскому</t>
    </r>
    <r>
      <rPr>
        <b/>
        <sz val="12"/>
        <rFont val="Arial Cyr"/>
        <family val="2"/>
      </rPr>
      <t xml:space="preserve"> району на 1.06.2011 г., (голов)</t>
    </r>
  </si>
  <si>
    <t>Показатели получения привесов за январь-май 2011 года</t>
  </si>
  <si>
    <t>ПАЛО И ПОГИБЛО - КУПЛЕНО- ПРОДАНО крс, свиней за январь-май 2011г.по Ибресинскому.р-ну</t>
  </si>
  <si>
    <t xml:space="preserve">коз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</si>
</sst>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000"/>
    <numFmt numFmtId="170" formatCode="0.0000"/>
    <numFmt numFmtId="171" formatCode="0.000"/>
    <numFmt numFmtId="172" formatCode="0.0"/>
    <numFmt numFmtId="173" formatCode="0.0000000"/>
    <numFmt numFmtId="174" formatCode="0.00000000"/>
  </numFmts>
  <fonts count="15">
    <font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i/>
      <sz val="12"/>
      <name val="Arial Cyr"/>
      <family val="2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2"/>
    </font>
    <font>
      <sz val="16"/>
      <name val="Arial Cyr"/>
      <family val="2"/>
    </font>
    <font>
      <b/>
      <sz val="16"/>
      <name val="Arial Cyr"/>
      <family val="2"/>
    </font>
    <font>
      <i/>
      <sz val="16"/>
      <name val="Arial Cyr"/>
      <family val="2"/>
    </font>
    <font>
      <b/>
      <u val="single"/>
      <sz val="12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sz val="13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/>
    </xf>
    <xf numFmtId="44" fontId="0" fillId="0" borderId="0" xfId="16" applyAlignment="1">
      <alignment horizontal="center"/>
    </xf>
    <xf numFmtId="0" fontId="4" fillId="0" borderId="1" xfId="0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6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5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13" xfId="0" applyFont="1" applyBorder="1" applyAlignment="1">
      <alignment/>
    </xf>
    <xf numFmtId="1" fontId="2" fillId="0" borderId="1" xfId="0" applyNumberFormat="1" applyFont="1" applyBorder="1" applyAlignment="1">
      <alignment horizontal="center"/>
    </xf>
    <xf numFmtId="0" fontId="2" fillId="0" borderId="5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5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2" fillId="0" borderId="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3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8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Fill="1" applyBorder="1" applyAlignment="1">
      <alignment/>
    </xf>
    <xf numFmtId="172" fontId="4" fillId="0" borderId="1" xfId="0" applyNumberFormat="1" applyFont="1" applyBorder="1" applyAlignment="1">
      <alignment horizontal="center"/>
    </xf>
    <xf numFmtId="0" fontId="0" fillId="2" borderId="0" xfId="0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14" fontId="12" fillId="0" borderId="0" xfId="0" applyNumberFormat="1" applyFont="1" applyAlignment="1">
      <alignment/>
    </xf>
    <xf numFmtId="1" fontId="2" fillId="0" borderId="1" xfId="0" applyNumberFormat="1" applyFont="1" applyBorder="1" applyAlignment="1">
      <alignment/>
    </xf>
    <xf numFmtId="1" fontId="2" fillId="0" borderId="1" xfId="0" applyNumberFormat="1" applyFont="1" applyFill="1" applyBorder="1" applyAlignment="1">
      <alignment/>
    </xf>
    <xf numFmtId="0" fontId="2" fillId="0" borderId="0" xfId="0" applyFont="1" applyAlignment="1">
      <alignment/>
    </xf>
    <xf numFmtId="2" fontId="0" fillId="0" borderId="0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2" fillId="0" borderId="2" xfId="0" applyFont="1" applyFill="1" applyBorder="1" applyAlignment="1">
      <alignment/>
    </xf>
    <xf numFmtId="0" fontId="0" fillId="0" borderId="3" xfId="0" applyBorder="1" applyAlignment="1">
      <alignment/>
    </xf>
    <xf numFmtId="1" fontId="14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172" fontId="14" fillId="0" borderId="1" xfId="0" applyNumberFormat="1" applyFont="1" applyFill="1" applyBorder="1" applyAlignment="1">
      <alignment horizontal="center"/>
    </xf>
    <xf numFmtId="172" fontId="14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" fontId="2" fillId="0" borderId="2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0" fontId="2" fillId="0" borderId="7" xfId="0" applyFont="1" applyBorder="1" applyAlignment="1">
      <alignment/>
    </xf>
    <xf numFmtId="172" fontId="2" fillId="0" borderId="1" xfId="0" applyNumberFormat="1" applyFont="1" applyBorder="1" applyAlignment="1">
      <alignment/>
    </xf>
    <xf numFmtId="1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4" xfId="0" applyFont="1" applyFill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/>
    </xf>
    <xf numFmtId="1" fontId="4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0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2" fillId="0" borderId="3" xfId="0" applyFont="1" applyFill="1" applyBorder="1" applyAlignment="1">
      <alignment wrapText="1"/>
    </xf>
    <xf numFmtId="0" fontId="2" fillId="0" borderId="9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7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6" xfId="0" applyFont="1" applyBorder="1" applyAlignment="1">
      <alignment/>
    </xf>
    <xf numFmtId="0" fontId="2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2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/>
    </xf>
    <xf numFmtId="0" fontId="0" fillId="0" borderId="7" xfId="0" applyBorder="1" applyAlignment="1">
      <alignment/>
    </xf>
    <xf numFmtId="0" fontId="2" fillId="0" borderId="2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4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8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0" xfId="0" applyAlignment="1">
      <alignment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"/>
  <sheetViews>
    <sheetView view="pageBreakPreview" zoomScale="75" zoomScaleSheetLayoutView="7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3" sqref="C3:E3"/>
    </sheetView>
  </sheetViews>
  <sheetFormatPr defaultColWidth="9.00390625" defaultRowHeight="12.75"/>
  <cols>
    <col min="1" max="1" width="4.00390625" style="74" customWidth="1"/>
    <col min="2" max="2" width="28.625" style="74" customWidth="1"/>
    <col min="3" max="4" width="8.75390625" style="74" customWidth="1"/>
    <col min="5" max="5" width="8.875" style="74" customWidth="1"/>
    <col min="6" max="7" width="8.75390625" style="74" customWidth="1"/>
    <col min="8" max="8" width="8.875" style="74" customWidth="1"/>
    <col min="9" max="14" width="8.75390625" style="74" customWidth="1"/>
    <col min="15" max="15" width="8.875" style="74" customWidth="1"/>
    <col min="16" max="18" width="8.75390625" style="74" customWidth="1"/>
    <col min="19" max="19" width="8.875" style="74" customWidth="1"/>
    <col min="20" max="20" width="8.75390625" style="74" customWidth="1"/>
    <col min="21" max="16384" width="9.125" style="74" customWidth="1"/>
  </cols>
  <sheetData>
    <row r="1" spans="3:18" ht="15">
      <c r="C1" s="144" t="s">
        <v>111</v>
      </c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</row>
    <row r="2" spans="3:10" ht="15">
      <c r="C2" s="75"/>
      <c r="D2" s="75"/>
      <c r="E2" s="75"/>
      <c r="F2" s="75"/>
      <c r="G2" s="75"/>
      <c r="H2" s="75"/>
      <c r="I2" s="75"/>
      <c r="J2" s="75"/>
    </row>
    <row r="3" spans="1:22" s="21" customFormat="1" ht="18.75" customHeight="1">
      <c r="A3" s="35" t="s">
        <v>2</v>
      </c>
      <c r="B3" s="24" t="s">
        <v>3</v>
      </c>
      <c r="C3" s="140" t="s">
        <v>41</v>
      </c>
      <c r="D3" s="141"/>
      <c r="E3" s="142"/>
      <c r="F3" s="140" t="s">
        <v>55</v>
      </c>
      <c r="G3" s="141"/>
      <c r="H3" s="142"/>
      <c r="I3" s="140" t="s">
        <v>43</v>
      </c>
      <c r="J3" s="141"/>
      <c r="K3" s="141"/>
      <c r="L3" s="141"/>
      <c r="M3" s="141"/>
      <c r="N3" s="141"/>
      <c r="O3" s="141"/>
      <c r="P3" s="142"/>
      <c r="Q3" s="143" t="s">
        <v>44</v>
      </c>
      <c r="R3" s="143"/>
      <c r="S3" s="143"/>
      <c r="T3" s="143"/>
      <c r="U3" s="143"/>
      <c r="V3" s="143"/>
    </row>
    <row r="4" spans="1:22" s="21" customFormat="1" ht="18.75" customHeight="1">
      <c r="A4" s="40"/>
      <c r="B4" s="34"/>
      <c r="C4" s="145">
        <v>2010</v>
      </c>
      <c r="D4" s="145">
        <v>2011</v>
      </c>
      <c r="E4" s="113" t="s">
        <v>42</v>
      </c>
      <c r="F4" s="145">
        <v>2010</v>
      </c>
      <c r="G4" s="145">
        <v>2011</v>
      </c>
      <c r="H4" s="113" t="s">
        <v>42</v>
      </c>
      <c r="I4" s="136" t="s">
        <v>101</v>
      </c>
      <c r="J4" s="137"/>
      <c r="K4" s="136" t="s">
        <v>93</v>
      </c>
      <c r="L4" s="137"/>
      <c r="M4" s="136" t="s">
        <v>89</v>
      </c>
      <c r="N4" s="137"/>
      <c r="O4" s="136" t="s">
        <v>90</v>
      </c>
      <c r="P4" s="137"/>
      <c r="Q4" s="136" t="s">
        <v>92</v>
      </c>
      <c r="R4" s="137"/>
      <c r="S4" s="136" t="s">
        <v>93</v>
      </c>
      <c r="T4" s="137"/>
      <c r="U4" s="138" t="s">
        <v>112</v>
      </c>
      <c r="V4" s="139"/>
    </row>
    <row r="5" spans="1:22" s="21" customFormat="1" ht="18.75" customHeight="1">
      <c r="A5" s="31"/>
      <c r="B5" s="30"/>
      <c r="C5" s="146"/>
      <c r="D5" s="146"/>
      <c r="E5" s="114" t="s">
        <v>97</v>
      </c>
      <c r="F5" s="146"/>
      <c r="G5" s="146"/>
      <c r="H5" s="114" t="s">
        <v>97</v>
      </c>
      <c r="I5" s="115">
        <v>2010</v>
      </c>
      <c r="J5" s="116">
        <v>2011</v>
      </c>
      <c r="K5" s="115">
        <v>2010</v>
      </c>
      <c r="L5" s="116">
        <v>2011</v>
      </c>
      <c r="M5" s="115">
        <v>2010</v>
      </c>
      <c r="N5" s="116">
        <v>2011</v>
      </c>
      <c r="O5" s="115">
        <v>2010</v>
      </c>
      <c r="P5" s="116">
        <v>2011</v>
      </c>
      <c r="Q5" s="115">
        <v>2010</v>
      </c>
      <c r="R5" s="116">
        <v>2011</v>
      </c>
      <c r="S5" s="115">
        <v>2010</v>
      </c>
      <c r="T5" s="116">
        <v>2011</v>
      </c>
      <c r="U5" s="115">
        <v>2010</v>
      </c>
      <c r="V5" s="116">
        <v>2011</v>
      </c>
    </row>
    <row r="6" spans="1:22" s="21" customFormat="1" ht="15" customHeight="1">
      <c r="A6" s="32">
        <v>1</v>
      </c>
      <c r="B6" s="32" t="s">
        <v>61</v>
      </c>
      <c r="C6" s="4"/>
      <c r="D6" s="4"/>
      <c r="E6" s="12"/>
      <c r="F6" s="121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23"/>
      <c r="V6" s="23"/>
    </row>
    <row r="7" spans="1:22" s="21" customFormat="1" ht="13.5" customHeight="1">
      <c r="A7" s="32">
        <v>2</v>
      </c>
      <c r="B7" s="32" t="s">
        <v>62</v>
      </c>
      <c r="C7" s="4">
        <v>2</v>
      </c>
      <c r="D7" s="4">
        <v>3</v>
      </c>
      <c r="E7" s="12">
        <f aca="true" t="shared" si="0" ref="E7:E12">D7-C7</f>
        <v>1</v>
      </c>
      <c r="F7" s="121"/>
      <c r="G7" s="4"/>
      <c r="H7" s="4"/>
      <c r="I7" s="4"/>
      <c r="J7" s="4"/>
      <c r="K7" s="4"/>
      <c r="L7" s="4"/>
      <c r="M7" s="4"/>
      <c r="N7" s="4"/>
      <c r="O7" s="4"/>
      <c r="P7" s="4"/>
      <c r="Q7" s="4">
        <v>36</v>
      </c>
      <c r="R7" s="4">
        <v>28</v>
      </c>
      <c r="S7" s="4"/>
      <c r="T7" s="4"/>
      <c r="U7" s="23"/>
      <c r="V7" s="23"/>
    </row>
    <row r="8" spans="1:22" s="21" customFormat="1" ht="13.5" customHeight="1">
      <c r="A8" s="32">
        <v>3</v>
      </c>
      <c r="B8" s="32" t="s">
        <v>63</v>
      </c>
      <c r="C8" s="4">
        <v>1</v>
      </c>
      <c r="D8" s="4"/>
      <c r="E8" s="12">
        <f t="shared" si="0"/>
        <v>-1</v>
      </c>
      <c r="F8" s="121"/>
      <c r="G8" s="4"/>
      <c r="H8" s="4"/>
      <c r="I8" s="4"/>
      <c r="J8" s="4"/>
      <c r="K8" s="4"/>
      <c r="L8" s="4"/>
      <c r="M8" s="4"/>
      <c r="N8" s="4"/>
      <c r="O8" s="4"/>
      <c r="P8" s="4"/>
      <c r="Q8" s="4">
        <v>10</v>
      </c>
      <c r="R8" s="4">
        <v>7</v>
      </c>
      <c r="S8" s="4"/>
      <c r="T8" s="4"/>
      <c r="U8" s="23"/>
      <c r="V8" s="23"/>
    </row>
    <row r="9" spans="1:22" s="21" customFormat="1" ht="12.75" customHeight="1">
      <c r="A9" s="32">
        <v>4</v>
      </c>
      <c r="B9" s="23" t="s">
        <v>64</v>
      </c>
      <c r="C9" s="4">
        <v>2</v>
      </c>
      <c r="D9" s="4">
        <v>3</v>
      </c>
      <c r="E9" s="12">
        <f t="shared" si="0"/>
        <v>1</v>
      </c>
      <c r="F9" s="121"/>
      <c r="G9" s="4"/>
      <c r="H9" s="4"/>
      <c r="I9" s="4"/>
      <c r="J9" s="4"/>
      <c r="K9" s="4"/>
      <c r="L9" s="4">
        <v>2</v>
      </c>
      <c r="M9" s="4"/>
      <c r="N9" s="4"/>
      <c r="O9" s="4"/>
      <c r="P9" s="4"/>
      <c r="Q9" s="4"/>
      <c r="R9" s="4"/>
      <c r="S9" s="4">
        <v>247</v>
      </c>
      <c r="T9" s="4">
        <v>242</v>
      </c>
      <c r="U9" s="23"/>
      <c r="V9" s="23"/>
    </row>
    <row r="10" spans="1:22" s="21" customFormat="1" ht="13.5" customHeight="1">
      <c r="A10" s="32">
        <v>5</v>
      </c>
      <c r="B10" s="99" t="s">
        <v>65</v>
      </c>
      <c r="C10" s="4"/>
      <c r="D10" s="4"/>
      <c r="E10" s="12"/>
      <c r="F10" s="4">
        <v>74</v>
      </c>
      <c r="G10" s="4">
        <v>18</v>
      </c>
      <c r="H10" s="4">
        <f>G10-F10</f>
        <v>-56</v>
      </c>
      <c r="I10" s="4"/>
      <c r="J10" s="4"/>
      <c r="K10" s="12"/>
      <c r="L10" s="12"/>
      <c r="M10" s="12"/>
      <c r="N10" s="12"/>
      <c r="O10" s="12"/>
      <c r="P10" s="12"/>
      <c r="Q10" s="12">
        <v>5</v>
      </c>
      <c r="R10" s="12"/>
      <c r="S10" s="4">
        <v>159</v>
      </c>
      <c r="T10" s="4">
        <v>104</v>
      </c>
      <c r="U10" s="23"/>
      <c r="V10" s="23"/>
    </row>
    <row r="11" spans="1:22" s="21" customFormat="1" ht="12.75" customHeight="1">
      <c r="A11" s="32">
        <v>6</v>
      </c>
      <c r="B11" s="33" t="s">
        <v>81</v>
      </c>
      <c r="C11" s="4">
        <v>2</v>
      </c>
      <c r="D11" s="4">
        <v>1</v>
      </c>
      <c r="E11" s="12">
        <f t="shared" si="0"/>
        <v>-1</v>
      </c>
      <c r="F11" s="4"/>
      <c r="G11" s="4"/>
      <c r="H11" s="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4"/>
      <c r="T11" s="4"/>
      <c r="U11" s="23"/>
      <c r="V11" s="23"/>
    </row>
    <row r="12" spans="1:22" s="21" customFormat="1" ht="12.75" customHeight="1">
      <c r="A12" s="32">
        <v>7</v>
      </c>
      <c r="B12" s="32" t="s">
        <v>66</v>
      </c>
      <c r="C12" s="4">
        <v>2</v>
      </c>
      <c r="D12" s="4"/>
      <c r="E12" s="12">
        <f t="shared" si="0"/>
        <v>-2</v>
      </c>
      <c r="F12" s="4"/>
      <c r="G12" s="4"/>
      <c r="H12" s="4"/>
      <c r="I12" s="4">
        <v>9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23"/>
      <c r="V12" s="23"/>
    </row>
    <row r="13" spans="1:22" s="21" customFormat="1" ht="13.5" customHeight="1">
      <c r="A13" s="32">
        <v>8</v>
      </c>
      <c r="B13" s="33" t="s">
        <v>80</v>
      </c>
      <c r="C13" s="4"/>
      <c r="D13" s="4"/>
      <c r="E13" s="12"/>
      <c r="F13" s="4"/>
      <c r="G13" s="4"/>
      <c r="H13" s="4"/>
      <c r="I13" s="4"/>
      <c r="J13" s="4">
        <v>30</v>
      </c>
      <c r="K13" s="4"/>
      <c r="L13" s="4"/>
      <c r="M13" s="4"/>
      <c r="N13" s="4"/>
      <c r="O13" s="4"/>
      <c r="P13" s="4"/>
      <c r="Q13" s="4">
        <v>19</v>
      </c>
      <c r="R13" s="4"/>
      <c r="S13" s="4"/>
      <c r="T13" s="4"/>
      <c r="U13" s="23"/>
      <c r="V13" s="23">
        <v>12</v>
      </c>
    </row>
    <row r="14" spans="1:22" s="21" customFormat="1" ht="12.75" customHeight="1">
      <c r="A14" s="32">
        <v>9</v>
      </c>
      <c r="B14" s="32" t="s">
        <v>67</v>
      </c>
      <c r="C14" s="4"/>
      <c r="D14" s="4"/>
      <c r="E14" s="12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23"/>
      <c r="V14" s="23"/>
    </row>
    <row r="15" spans="1:22" s="21" customFormat="1" ht="12.75" customHeight="1">
      <c r="A15" s="32">
        <v>10</v>
      </c>
      <c r="B15" s="32" t="s">
        <v>68</v>
      </c>
      <c r="C15" s="4"/>
      <c r="D15" s="4"/>
      <c r="E15" s="12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23"/>
      <c r="V15" s="23"/>
    </row>
    <row r="16" spans="1:22" s="21" customFormat="1" ht="12.75" customHeight="1">
      <c r="A16" s="32">
        <v>11</v>
      </c>
      <c r="B16" s="32" t="s">
        <v>69</v>
      </c>
      <c r="C16" s="4"/>
      <c r="D16" s="4"/>
      <c r="E16" s="12"/>
      <c r="F16" s="4">
        <v>346</v>
      </c>
      <c r="G16" s="4">
        <v>356</v>
      </c>
      <c r="H16" s="4">
        <f>G16-F16</f>
        <v>10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>
        <v>754</v>
      </c>
      <c r="T16" s="4">
        <v>433</v>
      </c>
      <c r="U16" s="23"/>
      <c r="V16" s="23"/>
    </row>
    <row r="17" spans="1:22" s="21" customFormat="1" ht="12.75" customHeight="1">
      <c r="A17" s="32">
        <v>12</v>
      </c>
      <c r="B17" s="33" t="s">
        <v>78</v>
      </c>
      <c r="C17" s="4"/>
      <c r="D17" s="4"/>
      <c r="E17" s="12"/>
      <c r="F17" s="4"/>
      <c r="G17" s="4"/>
      <c r="H17" s="4"/>
      <c r="I17" s="4"/>
      <c r="J17" s="4"/>
      <c r="K17" s="4"/>
      <c r="L17" s="4"/>
      <c r="M17" s="4">
        <v>57</v>
      </c>
      <c r="N17" s="4"/>
      <c r="O17" s="4"/>
      <c r="P17" s="4"/>
      <c r="Q17" s="4"/>
      <c r="R17" s="4"/>
      <c r="S17" s="122"/>
      <c r="T17" s="23"/>
      <c r="U17" s="23"/>
      <c r="V17" s="23"/>
    </row>
    <row r="18" spans="1:22" s="21" customFormat="1" ht="13.5" customHeight="1">
      <c r="A18" s="32"/>
      <c r="B18" s="32" t="s">
        <v>11</v>
      </c>
      <c r="C18" s="4">
        <f>SUM(C6:C15)</f>
        <v>9</v>
      </c>
      <c r="D18" s="4">
        <f>SUM(D6:D16)</f>
        <v>7</v>
      </c>
      <c r="E18" s="12">
        <f>D18-C18</f>
        <v>-2</v>
      </c>
      <c r="F18" s="4">
        <f>SUM(F10:F17)</f>
        <v>420</v>
      </c>
      <c r="G18" s="4">
        <f>SUM(G10:G17)</f>
        <v>374</v>
      </c>
      <c r="H18" s="4">
        <f>G18-F18</f>
        <v>-46</v>
      </c>
      <c r="I18" s="4">
        <f>SUM(I6:I16)</f>
        <v>9</v>
      </c>
      <c r="J18" s="4">
        <f>SUM(J6:J16)</f>
        <v>30</v>
      </c>
      <c r="K18" s="4">
        <f>SUM(K6:K16)</f>
        <v>0</v>
      </c>
      <c r="L18" s="4">
        <f>SUM(L6:L16)</f>
        <v>2</v>
      </c>
      <c r="M18" s="4">
        <f>SUM(M6:M17)</f>
        <v>57</v>
      </c>
      <c r="N18" s="4">
        <f>SUM(N17)</f>
        <v>0</v>
      </c>
      <c r="O18" s="4">
        <f>SUM(O6:O16)</f>
        <v>0</v>
      </c>
      <c r="P18" s="4">
        <f>SUM(P6:P16)</f>
        <v>0</v>
      </c>
      <c r="Q18" s="4">
        <f>SUM(Q6:Q16)</f>
        <v>70</v>
      </c>
      <c r="R18" s="4">
        <f>SUM(R6:R16)</f>
        <v>35</v>
      </c>
      <c r="S18" s="4">
        <f>SUM(S9:S16)</f>
        <v>1160</v>
      </c>
      <c r="T18" s="4">
        <f>SUM(T6:T16)</f>
        <v>779</v>
      </c>
      <c r="U18" s="23"/>
      <c r="V18" s="23"/>
    </row>
    <row r="19" ht="14.25">
      <c r="B19" s="77"/>
    </row>
  </sheetData>
  <mergeCells count="16">
    <mergeCell ref="C1:R1"/>
    <mergeCell ref="C4:C5"/>
    <mergeCell ref="D4:D5"/>
    <mergeCell ref="F4:F5"/>
    <mergeCell ref="G4:G5"/>
    <mergeCell ref="M4:N4"/>
    <mergeCell ref="O4:P4"/>
    <mergeCell ref="S4:T4"/>
    <mergeCell ref="I4:J4"/>
    <mergeCell ref="K4:L4"/>
    <mergeCell ref="U4:V4"/>
    <mergeCell ref="F3:H3"/>
    <mergeCell ref="C3:E3"/>
    <mergeCell ref="I3:P3"/>
    <mergeCell ref="Q4:R4"/>
    <mergeCell ref="Q3:V3"/>
  </mergeCells>
  <printOptions/>
  <pageMargins left="0.75" right="0.75" top="1" bottom="1" header="0.5" footer="0.5"/>
  <pageSetup horizontalDpi="600" verticalDpi="600" orientation="landscape" paperSize="9" scale="6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9"/>
  <sheetViews>
    <sheetView tabSelected="1" view="pageBreakPreview" zoomScale="75" zoomScaleNormal="65" zoomScaleSheetLayoutView="75" workbookViewId="0" topLeftCell="A1">
      <selection activeCell="D8" sqref="D8"/>
    </sheetView>
  </sheetViews>
  <sheetFormatPr defaultColWidth="9.00390625" defaultRowHeight="12.75"/>
  <cols>
    <col min="1" max="1" width="3.875" style="0" customWidth="1"/>
    <col min="2" max="2" width="31.25390625" style="0" customWidth="1"/>
    <col min="3" max="3" width="10.375" style="0" customWidth="1"/>
    <col min="4" max="4" width="9.75390625" style="0" customWidth="1"/>
    <col min="5" max="5" width="11.625" style="0" customWidth="1"/>
    <col min="6" max="6" width="10.00390625" style="0" customWidth="1"/>
    <col min="7" max="7" width="10.625" style="0" customWidth="1"/>
    <col min="8" max="8" width="10.875" style="0" customWidth="1"/>
    <col min="9" max="9" width="10.375" style="0" customWidth="1"/>
    <col min="10" max="10" width="9.875" style="0" customWidth="1"/>
    <col min="11" max="11" width="10.875" style="0" customWidth="1"/>
  </cols>
  <sheetData>
    <row r="1" spans="1:13" ht="15.75">
      <c r="A1" s="21"/>
      <c r="B1" s="21"/>
      <c r="C1" s="176" t="s">
        <v>102</v>
      </c>
      <c r="D1" s="176"/>
      <c r="E1" s="176"/>
      <c r="F1" s="176"/>
      <c r="G1" s="182"/>
      <c r="H1" s="182"/>
      <c r="I1" s="21"/>
      <c r="J1" s="21"/>
      <c r="K1" s="21"/>
      <c r="L1" s="21"/>
      <c r="M1" s="21"/>
    </row>
    <row r="2" spans="1:13" ht="15">
      <c r="A2" s="21"/>
      <c r="B2" s="21"/>
      <c r="C2" s="163" t="s">
        <v>60</v>
      </c>
      <c r="D2" s="163"/>
      <c r="E2" s="163"/>
      <c r="F2" s="163"/>
      <c r="G2" s="21"/>
      <c r="H2" s="21"/>
      <c r="I2" s="21"/>
      <c r="J2" s="21"/>
      <c r="K2" s="21"/>
      <c r="L2" s="21"/>
      <c r="M2" s="21"/>
    </row>
    <row r="3" spans="1:13" ht="1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15">
      <c r="A4" s="183" t="s">
        <v>2</v>
      </c>
      <c r="B4" s="183" t="s">
        <v>3</v>
      </c>
      <c r="C4" s="25" t="s">
        <v>22</v>
      </c>
      <c r="D4" s="26"/>
      <c r="E4" s="28"/>
      <c r="F4" s="25"/>
      <c r="G4" s="26"/>
      <c r="H4" s="26" t="s">
        <v>23</v>
      </c>
      <c r="I4" s="26"/>
      <c r="J4" s="26"/>
      <c r="K4" s="28"/>
      <c r="L4" s="21"/>
      <c r="M4" s="21"/>
    </row>
    <row r="5" spans="1:13" ht="15">
      <c r="A5" s="184"/>
      <c r="B5" s="184"/>
      <c r="C5" s="19">
        <v>2010</v>
      </c>
      <c r="D5" s="20">
        <v>2011</v>
      </c>
      <c r="E5" s="20" t="s">
        <v>94</v>
      </c>
      <c r="F5" s="25" t="s">
        <v>26</v>
      </c>
      <c r="G5" s="28"/>
      <c r="H5" s="25" t="s">
        <v>24</v>
      </c>
      <c r="I5" s="28"/>
      <c r="J5" s="25" t="s">
        <v>25</v>
      </c>
      <c r="K5" s="28"/>
      <c r="L5" s="21"/>
      <c r="M5" s="21"/>
    </row>
    <row r="6" spans="1:13" ht="15">
      <c r="A6" s="185"/>
      <c r="B6" s="185"/>
      <c r="C6" s="41"/>
      <c r="D6" s="12"/>
      <c r="E6" s="12" t="s">
        <v>95</v>
      </c>
      <c r="F6" s="19">
        <v>2010</v>
      </c>
      <c r="G6" s="20">
        <v>2011</v>
      </c>
      <c r="H6" s="19">
        <v>2010</v>
      </c>
      <c r="I6" s="20">
        <v>2011</v>
      </c>
      <c r="J6" s="19">
        <v>2010</v>
      </c>
      <c r="K6" s="20">
        <v>2011</v>
      </c>
      <c r="L6" s="21"/>
      <c r="M6" s="21"/>
    </row>
    <row r="7" spans="1:13" ht="16.5">
      <c r="A7" s="32">
        <v>1</v>
      </c>
      <c r="B7" s="32" t="s">
        <v>61</v>
      </c>
      <c r="C7" s="88">
        <v>12.3</v>
      </c>
      <c r="D7" s="88">
        <v>19.8</v>
      </c>
      <c r="E7" s="87">
        <f aca="true" t="shared" si="0" ref="E7:E19">D7*100/C7</f>
        <v>160.97560975609755</v>
      </c>
      <c r="F7" s="88">
        <v>12</v>
      </c>
      <c r="G7" s="88">
        <v>19.1</v>
      </c>
      <c r="H7" s="88"/>
      <c r="I7" s="88"/>
      <c r="J7" s="88">
        <v>0.3</v>
      </c>
      <c r="K7" s="88">
        <v>0.7</v>
      </c>
      <c r="L7" s="21"/>
      <c r="M7" s="21"/>
    </row>
    <row r="8" spans="1:13" ht="16.5">
      <c r="A8" s="32">
        <v>2</v>
      </c>
      <c r="B8" s="32" t="s">
        <v>62</v>
      </c>
      <c r="C8" s="88">
        <v>2</v>
      </c>
      <c r="D8" s="88">
        <v>8</v>
      </c>
      <c r="E8" s="87">
        <f t="shared" si="0"/>
        <v>400</v>
      </c>
      <c r="F8" s="88">
        <v>2</v>
      </c>
      <c r="G8" s="88">
        <v>8</v>
      </c>
      <c r="H8" s="88"/>
      <c r="I8" s="88"/>
      <c r="J8" s="88"/>
      <c r="K8" s="88"/>
      <c r="L8" s="21"/>
      <c r="M8" s="21"/>
    </row>
    <row r="9" spans="1:13" ht="16.5">
      <c r="A9" s="32">
        <v>3</v>
      </c>
      <c r="B9" s="32" t="s">
        <v>63</v>
      </c>
      <c r="C9" s="88">
        <v>1.1</v>
      </c>
      <c r="D9" s="88">
        <v>3</v>
      </c>
      <c r="E9" s="87">
        <f t="shared" si="0"/>
        <v>272.7272727272727</v>
      </c>
      <c r="F9" s="88">
        <v>1.1</v>
      </c>
      <c r="G9" s="88">
        <v>3</v>
      </c>
      <c r="H9" s="88"/>
      <c r="I9" s="88"/>
      <c r="J9" s="88"/>
      <c r="K9" s="88"/>
      <c r="L9" s="21"/>
      <c r="M9" s="21"/>
    </row>
    <row r="10" spans="1:13" ht="16.5">
      <c r="A10" s="32">
        <v>4</v>
      </c>
      <c r="B10" s="42" t="s">
        <v>64</v>
      </c>
      <c r="C10" s="88">
        <v>32.9</v>
      </c>
      <c r="D10" s="88">
        <v>67.8</v>
      </c>
      <c r="E10" s="87">
        <f t="shared" si="0"/>
        <v>206.0790273556231</v>
      </c>
      <c r="F10" s="88">
        <v>29.7</v>
      </c>
      <c r="G10" s="88">
        <v>62.3</v>
      </c>
      <c r="H10" s="88">
        <v>2.3</v>
      </c>
      <c r="I10" s="88">
        <v>4.7</v>
      </c>
      <c r="J10" s="88">
        <v>0.9</v>
      </c>
      <c r="K10" s="88">
        <v>0.8</v>
      </c>
      <c r="L10" s="21"/>
      <c r="M10" s="21"/>
    </row>
    <row r="11" spans="1:13" ht="16.5">
      <c r="A11" s="32">
        <v>5</v>
      </c>
      <c r="B11" s="32" t="s">
        <v>65</v>
      </c>
      <c r="C11" s="88">
        <v>25.6</v>
      </c>
      <c r="D11" s="88">
        <v>24</v>
      </c>
      <c r="E11" s="87">
        <f t="shared" si="0"/>
        <v>93.75</v>
      </c>
      <c r="F11" s="88">
        <v>19</v>
      </c>
      <c r="G11" s="88">
        <v>16</v>
      </c>
      <c r="H11" s="88">
        <v>6</v>
      </c>
      <c r="I11" s="88">
        <v>5</v>
      </c>
      <c r="J11" s="88">
        <v>0.6</v>
      </c>
      <c r="K11" s="88">
        <v>3</v>
      </c>
      <c r="L11" s="21"/>
      <c r="M11" s="21"/>
    </row>
    <row r="12" spans="1:13" ht="16.5">
      <c r="A12" s="32">
        <v>6</v>
      </c>
      <c r="B12" s="33" t="s">
        <v>81</v>
      </c>
      <c r="C12" s="88">
        <v>11.9</v>
      </c>
      <c r="D12" s="88">
        <v>9.9</v>
      </c>
      <c r="E12" s="87">
        <f t="shared" si="0"/>
        <v>83.19327731092437</v>
      </c>
      <c r="F12" s="89">
        <v>10.9</v>
      </c>
      <c r="G12" s="89">
        <v>8.8</v>
      </c>
      <c r="H12" s="89"/>
      <c r="I12" s="89"/>
      <c r="J12" s="89">
        <v>1</v>
      </c>
      <c r="K12" s="89">
        <v>1.1</v>
      </c>
      <c r="L12" s="21"/>
      <c r="M12" s="21"/>
    </row>
    <row r="13" spans="1:13" ht="16.5">
      <c r="A13" s="32">
        <v>7</v>
      </c>
      <c r="B13" s="33" t="s">
        <v>66</v>
      </c>
      <c r="C13" s="88">
        <v>7.9</v>
      </c>
      <c r="D13" s="88"/>
      <c r="E13" s="87">
        <f t="shared" si="0"/>
        <v>0</v>
      </c>
      <c r="F13" s="89">
        <v>7.9</v>
      </c>
      <c r="G13" s="89"/>
      <c r="H13" s="89"/>
      <c r="I13" s="89"/>
      <c r="J13" s="94"/>
      <c r="K13" s="89"/>
      <c r="L13" s="21"/>
      <c r="M13" s="21"/>
    </row>
    <row r="14" spans="1:13" ht="16.5">
      <c r="A14" s="32">
        <v>8</v>
      </c>
      <c r="B14" s="33" t="s">
        <v>80</v>
      </c>
      <c r="C14" s="88">
        <v>5.6</v>
      </c>
      <c r="D14" s="88">
        <v>10.4</v>
      </c>
      <c r="E14" s="87">
        <f t="shared" si="0"/>
        <v>185.71428571428572</v>
      </c>
      <c r="F14" s="89">
        <v>5.6</v>
      </c>
      <c r="G14" s="89">
        <v>10.3</v>
      </c>
      <c r="H14" s="89"/>
      <c r="I14" s="89">
        <v>0.1</v>
      </c>
      <c r="J14" s="94"/>
      <c r="K14" s="89"/>
      <c r="L14" s="21"/>
      <c r="M14" s="21"/>
    </row>
    <row r="15" spans="1:13" ht="16.5">
      <c r="A15" s="32">
        <v>9</v>
      </c>
      <c r="B15" s="33" t="s">
        <v>67</v>
      </c>
      <c r="C15" s="88">
        <v>8.9</v>
      </c>
      <c r="D15" s="88">
        <v>7.1</v>
      </c>
      <c r="E15" s="87">
        <f t="shared" si="0"/>
        <v>79.7752808988764</v>
      </c>
      <c r="F15" s="89">
        <v>8.9</v>
      </c>
      <c r="G15" s="89">
        <v>7.1</v>
      </c>
      <c r="H15" s="89"/>
      <c r="I15" s="89"/>
      <c r="J15" s="94"/>
      <c r="K15" s="89"/>
      <c r="L15" s="21"/>
      <c r="M15" s="21"/>
    </row>
    <row r="16" spans="1:13" ht="16.5">
      <c r="A16" s="32">
        <v>10</v>
      </c>
      <c r="B16" s="33" t="s">
        <v>68</v>
      </c>
      <c r="C16" s="88">
        <v>3.7</v>
      </c>
      <c r="D16" s="88">
        <v>4.9</v>
      </c>
      <c r="E16" s="87">
        <f t="shared" si="0"/>
        <v>132.43243243243245</v>
      </c>
      <c r="F16" s="89">
        <v>3.7</v>
      </c>
      <c r="G16" s="89">
        <v>4.5</v>
      </c>
      <c r="H16" s="89"/>
      <c r="I16" s="89"/>
      <c r="J16" s="94"/>
      <c r="K16" s="89">
        <v>0.4</v>
      </c>
      <c r="L16" s="21"/>
      <c r="M16" s="21"/>
    </row>
    <row r="17" spans="1:13" ht="16.5">
      <c r="A17" s="32">
        <v>11</v>
      </c>
      <c r="B17" s="33" t="s">
        <v>69</v>
      </c>
      <c r="C17" s="88">
        <v>276</v>
      </c>
      <c r="D17" s="88">
        <v>351</v>
      </c>
      <c r="E17" s="87">
        <f t="shared" si="0"/>
        <v>127.17391304347827</v>
      </c>
      <c r="F17" s="94"/>
      <c r="G17" s="89"/>
      <c r="H17" s="89">
        <v>276</v>
      </c>
      <c r="I17" s="89">
        <v>351</v>
      </c>
      <c r="J17" s="94"/>
      <c r="K17" s="89"/>
      <c r="L17" s="21"/>
      <c r="M17" s="21"/>
    </row>
    <row r="18" spans="1:13" ht="18">
      <c r="A18" s="32">
        <v>12</v>
      </c>
      <c r="B18" s="33" t="s">
        <v>78</v>
      </c>
      <c r="C18" s="3"/>
      <c r="D18" s="88">
        <v>2</v>
      </c>
      <c r="E18" s="87"/>
      <c r="F18" s="17"/>
      <c r="G18" s="89"/>
      <c r="H18" s="17"/>
      <c r="I18" s="89"/>
      <c r="J18" s="17"/>
      <c r="K18" s="89">
        <v>2</v>
      </c>
      <c r="L18" s="21"/>
      <c r="M18" s="21"/>
    </row>
    <row r="19" spans="1:13" ht="16.5">
      <c r="A19" s="138" t="s">
        <v>11</v>
      </c>
      <c r="B19" s="139"/>
      <c r="C19" s="91">
        <f>SUM(C7:C18)</f>
        <v>387.90000000000003</v>
      </c>
      <c r="D19" s="91">
        <f>SUM(D7:D18)</f>
        <v>507.9</v>
      </c>
      <c r="E19" s="87">
        <f t="shared" si="0"/>
        <v>130.93580819798916</v>
      </c>
      <c r="F19" s="90">
        <f>SUM(F7:F17)</f>
        <v>100.80000000000001</v>
      </c>
      <c r="G19" s="91">
        <f>SUM(G7:G17)</f>
        <v>139.1</v>
      </c>
      <c r="H19" s="91">
        <f>SUM(H7:H18)</f>
        <v>284.3</v>
      </c>
      <c r="I19" s="91">
        <f>SUM(I7:I18)</f>
        <v>360.8</v>
      </c>
      <c r="J19" s="91">
        <f>SUM(J7:J17)</f>
        <v>2.8</v>
      </c>
      <c r="K19" s="91">
        <f>SUM(K7:K18)</f>
        <v>8</v>
      </c>
      <c r="L19" s="21"/>
      <c r="M19" s="21"/>
    </row>
  </sheetData>
  <mergeCells count="5">
    <mergeCell ref="C1:H1"/>
    <mergeCell ref="C2:F2"/>
    <mergeCell ref="A19:B19"/>
    <mergeCell ref="A4:A6"/>
    <mergeCell ref="B4:B6"/>
  </mergeCells>
  <printOptions/>
  <pageMargins left="0.75" right="0.75" top="1" bottom="1" header="0.5" footer="0.5"/>
  <pageSetup horizontalDpi="300" verticalDpi="3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0"/>
  <sheetViews>
    <sheetView view="pageBreakPreview" zoomScale="75" zoomScaleNormal="75" zoomScaleSheetLayoutView="75" workbookViewId="0" topLeftCell="A1">
      <pane xSplit="2" topLeftCell="C1" activePane="topRight" state="frozen"/>
      <selection pane="topLeft" activeCell="A1" sqref="A1"/>
      <selection pane="topRight" activeCell="D5" sqref="D5"/>
    </sheetView>
  </sheetViews>
  <sheetFormatPr defaultColWidth="9.00390625" defaultRowHeight="12.75"/>
  <cols>
    <col min="1" max="1" width="4.00390625" style="0" customWidth="1"/>
    <col min="2" max="2" width="25.125" style="0" customWidth="1"/>
    <col min="3" max="4" width="7.125" style="0" customWidth="1"/>
    <col min="5" max="5" width="8.25390625" style="0" customWidth="1"/>
    <col min="6" max="7" width="7.125" style="0" customWidth="1"/>
    <col min="8" max="8" width="6.375" style="0" customWidth="1"/>
    <col min="9" max="10" width="10.25390625" style="0" customWidth="1"/>
    <col min="11" max="11" width="8.25390625" style="0" customWidth="1"/>
    <col min="12" max="12" width="11.125" style="0" customWidth="1"/>
    <col min="13" max="13" width="10.625" style="0" customWidth="1"/>
    <col min="14" max="14" width="7.875" style="0" customWidth="1"/>
    <col min="15" max="15" width="7.00390625" style="0" customWidth="1"/>
    <col min="16" max="16" width="7.125" style="0" customWidth="1"/>
    <col min="17" max="17" width="8.625" style="0" customWidth="1"/>
    <col min="18" max="18" width="6.375" style="0" customWidth="1"/>
    <col min="19" max="19" width="6.25390625" style="0" customWidth="1"/>
    <col min="20" max="20" width="8.75390625" style="0" customWidth="1"/>
  </cols>
  <sheetData>
    <row r="1" spans="2:20" ht="15"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2:20" ht="15.75">
      <c r="B2" s="21"/>
      <c r="C2" s="21"/>
      <c r="D2" s="21"/>
      <c r="E2" s="21"/>
      <c r="F2" s="21"/>
      <c r="G2" s="1" t="s">
        <v>110</v>
      </c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2:20" ht="15">
      <c r="B3" s="21"/>
      <c r="C3" s="21"/>
      <c r="D3" s="21"/>
      <c r="E3" s="21"/>
      <c r="F3" s="21"/>
      <c r="G3" s="21"/>
      <c r="H3" s="21"/>
      <c r="I3" s="21" t="s">
        <v>58</v>
      </c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</row>
    <row r="4" spans="1:20" ht="15">
      <c r="A4" s="82"/>
      <c r="B4" s="24" t="s">
        <v>3</v>
      </c>
      <c r="C4" s="27" t="s">
        <v>71</v>
      </c>
      <c r="D4" s="111"/>
      <c r="E4" s="111"/>
      <c r="F4" s="109"/>
      <c r="G4" s="109"/>
      <c r="H4" s="112"/>
      <c r="I4" s="104" t="s">
        <v>49</v>
      </c>
      <c r="J4" s="109"/>
      <c r="K4" s="111"/>
      <c r="L4" s="109"/>
      <c r="M4" s="109"/>
      <c r="N4" s="112"/>
      <c r="O4" s="104" t="s">
        <v>50</v>
      </c>
      <c r="P4" s="109"/>
      <c r="Q4" s="111"/>
      <c r="R4" s="109"/>
      <c r="S4" s="109"/>
      <c r="T4" s="112"/>
    </row>
    <row r="5" spans="1:20" ht="15" customHeight="1">
      <c r="A5" s="83" t="s">
        <v>2</v>
      </c>
      <c r="B5" s="34"/>
      <c r="C5" s="26" t="s">
        <v>51</v>
      </c>
      <c r="D5" s="109"/>
      <c r="E5" s="151" t="s">
        <v>100</v>
      </c>
      <c r="F5" s="104" t="s">
        <v>52</v>
      </c>
      <c r="G5" s="108"/>
      <c r="H5" s="151" t="s">
        <v>100</v>
      </c>
      <c r="I5" s="143" t="s">
        <v>51</v>
      </c>
      <c r="J5" s="143"/>
      <c r="K5" s="151" t="s">
        <v>100</v>
      </c>
      <c r="L5" s="143" t="s">
        <v>52</v>
      </c>
      <c r="M5" s="143"/>
      <c r="N5" s="151" t="s">
        <v>100</v>
      </c>
      <c r="O5" s="109" t="s">
        <v>51</v>
      </c>
      <c r="P5" s="109"/>
      <c r="Q5" s="151" t="s">
        <v>100</v>
      </c>
      <c r="R5" s="154" t="s">
        <v>52</v>
      </c>
      <c r="S5" s="155"/>
      <c r="T5" s="151" t="s">
        <v>100</v>
      </c>
    </row>
    <row r="6" spans="1:20" ht="15">
      <c r="A6" s="83" t="s">
        <v>77</v>
      </c>
      <c r="B6" s="34"/>
      <c r="C6" s="147">
        <v>2010</v>
      </c>
      <c r="D6" s="149">
        <v>2011</v>
      </c>
      <c r="E6" s="152"/>
      <c r="F6" s="149">
        <v>2010</v>
      </c>
      <c r="G6" s="149">
        <v>2011</v>
      </c>
      <c r="H6" s="152"/>
      <c r="I6" s="149">
        <v>2010</v>
      </c>
      <c r="J6" s="149">
        <v>2011</v>
      </c>
      <c r="K6" s="152"/>
      <c r="L6" s="149">
        <v>2010</v>
      </c>
      <c r="M6" s="149">
        <v>2011</v>
      </c>
      <c r="N6" s="152"/>
      <c r="O6" s="149">
        <v>2010</v>
      </c>
      <c r="P6" s="149">
        <v>2011</v>
      </c>
      <c r="Q6" s="152"/>
      <c r="R6" s="149">
        <v>2010</v>
      </c>
      <c r="S6" s="149">
        <v>2011</v>
      </c>
      <c r="T6" s="152"/>
    </row>
    <row r="7" spans="1:20" ht="15">
      <c r="A7" s="84"/>
      <c r="B7" s="30"/>
      <c r="C7" s="148"/>
      <c r="D7" s="150"/>
      <c r="E7" s="153"/>
      <c r="F7" s="150"/>
      <c r="G7" s="150"/>
      <c r="H7" s="153"/>
      <c r="I7" s="150"/>
      <c r="J7" s="150"/>
      <c r="K7" s="153"/>
      <c r="L7" s="150"/>
      <c r="M7" s="150"/>
      <c r="N7" s="153"/>
      <c r="O7" s="150"/>
      <c r="P7" s="150"/>
      <c r="Q7" s="153"/>
      <c r="R7" s="150"/>
      <c r="S7" s="150"/>
      <c r="T7" s="153"/>
    </row>
    <row r="8" spans="1:20" ht="15">
      <c r="A8" s="2">
        <v>1</v>
      </c>
      <c r="B8" s="23" t="s">
        <v>61</v>
      </c>
      <c r="C8" s="4">
        <v>99</v>
      </c>
      <c r="D8" s="4">
        <v>128</v>
      </c>
      <c r="E8" s="37">
        <f aca="true" t="shared" si="0" ref="E8:E17">D8/C8*100</f>
        <v>129.2929292929293</v>
      </c>
      <c r="F8" s="119"/>
      <c r="G8" s="4"/>
      <c r="H8" s="37"/>
      <c r="I8" s="4">
        <v>23282</v>
      </c>
      <c r="J8" s="4">
        <v>27898</v>
      </c>
      <c r="K8" s="37">
        <f>J8*100/I8</f>
        <v>119.82647538871231</v>
      </c>
      <c r="L8" s="119"/>
      <c r="M8" s="4"/>
      <c r="N8" s="37"/>
      <c r="O8" s="37">
        <f aca="true" t="shared" si="1" ref="O8:O17">C8/I8*100000</f>
        <v>425.2212009277554</v>
      </c>
      <c r="P8" s="37">
        <f aca="true" t="shared" si="2" ref="P8:P16">D8/J8*100000</f>
        <v>458.8142519177002</v>
      </c>
      <c r="Q8" s="37">
        <f aca="true" t="shared" si="3" ref="Q8:Q17">P8/O8*100</f>
        <v>107.90013548634236</v>
      </c>
      <c r="R8" s="37"/>
      <c r="S8" s="37"/>
      <c r="T8" s="37"/>
    </row>
    <row r="9" spans="1:20" ht="15">
      <c r="A9" s="2">
        <v>2</v>
      </c>
      <c r="B9" s="23" t="s">
        <v>62</v>
      </c>
      <c r="C9" s="4">
        <v>23</v>
      </c>
      <c r="D9" s="4">
        <v>61.6</v>
      </c>
      <c r="E9" s="37">
        <f t="shared" si="0"/>
        <v>267.82608695652175</v>
      </c>
      <c r="F9" s="119"/>
      <c r="G9" s="4"/>
      <c r="H9" s="37"/>
      <c r="I9" s="4">
        <v>14347</v>
      </c>
      <c r="J9" s="4">
        <v>24458</v>
      </c>
      <c r="K9" s="37">
        <f aca="true" t="shared" si="4" ref="K9:K20">J9*100/I9</f>
        <v>170.47466369275807</v>
      </c>
      <c r="L9" s="119"/>
      <c r="M9" s="4"/>
      <c r="N9" s="37"/>
      <c r="O9" s="37">
        <f t="shared" si="1"/>
        <v>160.3122604028717</v>
      </c>
      <c r="P9" s="37">
        <f t="shared" si="2"/>
        <v>251.86033199771038</v>
      </c>
      <c r="Q9" s="37">
        <f t="shared" si="3"/>
        <v>157.10609492048482</v>
      </c>
      <c r="R9" s="37"/>
      <c r="S9" s="37"/>
      <c r="T9" s="37"/>
    </row>
    <row r="10" spans="1:20" ht="15">
      <c r="A10" s="2">
        <v>3</v>
      </c>
      <c r="B10" s="38" t="s">
        <v>63</v>
      </c>
      <c r="C10" s="20">
        <v>29</v>
      </c>
      <c r="D10" s="20">
        <v>46</v>
      </c>
      <c r="E10" s="37">
        <f t="shared" si="0"/>
        <v>158.6206896551724</v>
      </c>
      <c r="F10" s="120"/>
      <c r="G10" s="20"/>
      <c r="H10" s="37"/>
      <c r="I10" s="4">
        <v>5575</v>
      </c>
      <c r="J10" s="4">
        <v>7435</v>
      </c>
      <c r="K10" s="37">
        <f t="shared" si="4"/>
        <v>133.36322869955157</v>
      </c>
      <c r="L10" s="120"/>
      <c r="M10" s="20"/>
      <c r="N10" s="93"/>
      <c r="O10" s="37">
        <f t="shared" si="1"/>
        <v>520.1793721973094</v>
      </c>
      <c r="P10" s="37">
        <f t="shared" si="2"/>
        <v>618.6953597848017</v>
      </c>
      <c r="Q10" s="37">
        <f t="shared" si="3"/>
        <v>118.93884933794033</v>
      </c>
      <c r="R10" s="93"/>
      <c r="S10" s="93"/>
      <c r="T10" s="93"/>
    </row>
    <row r="11" spans="1:20" ht="15">
      <c r="A11" s="2">
        <v>4</v>
      </c>
      <c r="B11" s="23" t="s">
        <v>64</v>
      </c>
      <c r="C11" s="4">
        <v>301</v>
      </c>
      <c r="D11" s="4">
        <v>283</v>
      </c>
      <c r="E11" s="37">
        <f t="shared" si="0"/>
        <v>94.01993355481729</v>
      </c>
      <c r="F11" s="4">
        <v>101</v>
      </c>
      <c r="G11" s="4">
        <v>128.7</v>
      </c>
      <c r="H11" s="37">
        <f>G11/F11*100</f>
        <v>127.42574257425741</v>
      </c>
      <c r="I11" s="4">
        <v>76337</v>
      </c>
      <c r="J11" s="4">
        <v>70616</v>
      </c>
      <c r="K11" s="37">
        <f t="shared" si="4"/>
        <v>92.50560016767753</v>
      </c>
      <c r="L11" s="4">
        <v>28498</v>
      </c>
      <c r="M11" s="4">
        <v>31293</v>
      </c>
      <c r="N11" s="37">
        <f>M11/L11*100</f>
        <v>109.80770580391605</v>
      </c>
      <c r="O11" s="37">
        <f t="shared" si="1"/>
        <v>394.3042037282052</v>
      </c>
      <c r="P11" s="37">
        <f t="shared" si="2"/>
        <v>400.7590347796533</v>
      </c>
      <c r="Q11" s="37">
        <f t="shared" si="3"/>
        <v>101.6370180663601</v>
      </c>
      <c r="R11" s="37">
        <f>F11/L11*100000</f>
        <v>354.4108358481297</v>
      </c>
      <c r="S11" s="37">
        <f>G11/M11*100000</f>
        <v>411.2740868564855</v>
      </c>
      <c r="T11" s="37">
        <f>S11/R11*100</f>
        <v>116.04444482412003</v>
      </c>
    </row>
    <row r="12" spans="1:20" ht="15">
      <c r="A12" s="2">
        <v>5</v>
      </c>
      <c r="B12" s="23" t="s">
        <v>65</v>
      </c>
      <c r="C12" s="94">
        <v>179</v>
      </c>
      <c r="D12" s="94">
        <v>83</v>
      </c>
      <c r="E12" s="95">
        <f t="shared" si="0"/>
        <v>46.36871508379888</v>
      </c>
      <c r="F12" s="94">
        <v>27</v>
      </c>
      <c r="G12" s="94">
        <v>91</v>
      </c>
      <c r="H12" s="37">
        <f>G12/F12*100</f>
        <v>337.037037037037</v>
      </c>
      <c r="I12" s="4">
        <v>34384</v>
      </c>
      <c r="J12" s="4">
        <v>18154</v>
      </c>
      <c r="K12" s="37">
        <f t="shared" si="4"/>
        <v>52.79781293624942</v>
      </c>
      <c r="L12" s="4">
        <v>8129</v>
      </c>
      <c r="M12" s="4">
        <v>24292</v>
      </c>
      <c r="N12" s="37">
        <f>M12/L12*100</f>
        <v>298.83134456882766</v>
      </c>
      <c r="O12" s="37">
        <f t="shared" si="1"/>
        <v>520.5909725453699</v>
      </c>
      <c r="P12" s="37">
        <f t="shared" si="2"/>
        <v>457.19951525834523</v>
      </c>
      <c r="Q12" s="37">
        <f t="shared" si="3"/>
        <v>87.82317392537958</v>
      </c>
      <c r="R12" s="37">
        <f>F12/L12*100000</f>
        <v>332.1441751752983</v>
      </c>
      <c r="S12" s="37">
        <f>G12/M12*100000</f>
        <v>374.6089247488885</v>
      </c>
      <c r="T12" s="37">
        <f>S12/R12*100</f>
        <v>112.7850351586561</v>
      </c>
    </row>
    <row r="13" spans="1:20" ht="15">
      <c r="A13" s="2">
        <v>6</v>
      </c>
      <c r="B13" s="39" t="s">
        <v>81</v>
      </c>
      <c r="C13" s="94">
        <v>52.05</v>
      </c>
      <c r="D13" s="94">
        <v>55</v>
      </c>
      <c r="E13" s="95">
        <f t="shared" si="0"/>
        <v>105.66762728146013</v>
      </c>
      <c r="F13" s="94"/>
      <c r="G13" s="94"/>
      <c r="H13" s="95"/>
      <c r="I13" s="94">
        <v>18594</v>
      </c>
      <c r="J13" s="94">
        <v>19978</v>
      </c>
      <c r="K13" s="37">
        <f t="shared" si="4"/>
        <v>107.4432612670754</v>
      </c>
      <c r="L13" s="94"/>
      <c r="M13" s="94"/>
      <c r="N13" s="95"/>
      <c r="O13" s="37">
        <f t="shared" si="1"/>
        <v>279.92900935785735</v>
      </c>
      <c r="P13" s="37">
        <f t="shared" si="2"/>
        <v>275.3028331164281</v>
      </c>
      <c r="Q13" s="37">
        <f t="shared" si="3"/>
        <v>98.3473751962894</v>
      </c>
      <c r="R13" s="37"/>
      <c r="S13" s="37"/>
      <c r="T13" s="95"/>
    </row>
    <row r="14" spans="1:20" ht="15">
      <c r="A14" s="2">
        <v>7</v>
      </c>
      <c r="B14" s="39" t="s">
        <v>66</v>
      </c>
      <c r="C14" s="94">
        <v>58.17</v>
      </c>
      <c r="D14" s="94">
        <v>42.6</v>
      </c>
      <c r="E14" s="95">
        <f t="shared" si="0"/>
        <v>73.23362558019598</v>
      </c>
      <c r="F14" s="94"/>
      <c r="G14" s="94"/>
      <c r="H14" s="95"/>
      <c r="I14" s="94">
        <v>13493</v>
      </c>
      <c r="J14" s="94">
        <v>17981</v>
      </c>
      <c r="K14" s="37">
        <f t="shared" si="4"/>
        <v>133.26169124731342</v>
      </c>
      <c r="L14" s="94"/>
      <c r="M14" s="94"/>
      <c r="N14" s="95"/>
      <c r="O14" s="37">
        <f t="shared" si="1"/>
        <v>431.1124286667161</v>
      </c>
      <c r="P14" s="37">
        <f t="shared" si="2"/>
        <v>236.9167454535343</v>
      </c>
      <c r="Q14" s="95">
        <f t="shared" si="3"/>
        <v>54.95474723060922</v>
      </c>
      <c r="R14" s="37"/>
      <c r="S14" s="92"/>
      <c r="T14" s="95"/>
    </row>
    <row r="15" spans="1:20" s="73" customFormat="1" ht="15">
      <c r="A15" s="2">
        <v>8</v>
      </c>
      <c r="B15" s="33" t="s">
        <v>80</v>
      </c>
      <c r="C15" s="96">
        <v>105.3</v>
      </c>
      <c r="D15" s="96">
        <v>57.16</v>
      </c>
      <c r="E15" s="97">
        <f t="shared" si="0"/>
        <v>54.28300094966762</v>
      </c>
      <c r="F15" s="96"/>
      <c r="G15" s="96"/>
      <c r="H15" s="97"/>
      <c r="I15" s="96">
        <v>17185</v>
      </c>
      <c r="J15" s="96">
        <v>14851</v>
      </c>
      <c r="K15" s="37">
        <f t="shared" si="4"/>
        <v>86.41838812918243</v>
      </c>
      <c r="L15" s="96"/>
      <c r="M15" s="96"/>
      <c r="N15" s="97"/>
      <c r="O15" s="37">
        <f t="shared" si="1"/>
        <v>612.7436718068083</v>
      </c>
      <c r="P15" s="37">
        <f t="shared" si="2"/>
        <v>384.8899064036092</v>
      </c>
      <c r="Q15" s="97">
        <f t="shared" si="3"/>
        <v>62.814178932061004</v>
      </c>
      <c r="R15" s="37"/>
      <c r="S15" s="37"/>
      <c r="T15" s="37"/>
    </row>
    <row r="16" spans="1:20" ht="15">
      <c r="A16" s="2">
        <v>9</v>
      </c>
      <c r="B16" s="39" t="s">
        <v>67</v>
      </c>
      <c r="C16" s="94">
        <v>74</v>
      </c>
      <c r="D16" s="94">
        <v>47</v>
      </c>
      <c r="E16" s="95">
        <f t="shared" si="0"/>
        <v>63.51351351351351</v>
      </c>
      <c r="F16" s="94"/>
      <c r="G16" s="94"/>
      <c r="H16" s="95"/>
      <c r="I16" s="94">
        <v>13669</v>
      </c>
      <c r="J16" s="94">
        <v>21754</v>
      </c>
      <c r="K16" s="37">
        <f t="shared" si="4"/>
        <v>159.14843807154875</v>
      </c>
      <c r="L16" s="94"/>
      <c r="M16" s="94"/>
      <c r="N16" s="95"/>
      <c r="O16" s="37">
        <f t="shared" si="1"/>
        <v>541.3709854415099</v>
      </c>
      <c r="P16" s="37">
        <f t="shared" si="2"/>
        <v>216.05222028132755</v>
      </c>
      <c r="Q16" s="95">
        <f t="shared" si="3"/>
        <v>39.90834863547928</v>
      </c>
      <c r="R16" s="37"/>
      <c r="S16" s="37"/>
      <c r="T16" s="95"/>
    </row>
    <row r="17" spans="1:20" ht="15">
      <c r="A17" s="2">
        <v>10</v>
      </c>
      <c r="B17" s="39" t="s">
        <v>68</v>
      </c>
      <c r="C17" s="94">
        <v>34.6</v>
      </c>
      <c r="D17" s="94">
        <v>32.6</v>
      </c>
      <c r="E17" s="95">
        <f t="shared" si="0"/>
        <v>94.21965317919076</v>
      </c>
      <c r="F17" s="94"/>
      <c r="G17" s="94"/>
      <c r="H17" s="95"/>
      <c r="I17" s="94">
        <v>5633</v>
      </c>
      <c r="J17" s="94">
        <v>7986</v>
      </c>
      <c r="K17" s="37">
        <f t="shared" si="4"/>
        <v>141.77170246760164</v>
      </c>
      <c r="L17" s="94"/>
      <c r="M17" s="94"/>
      <c r="N17" s="95"/>
      <c r="O17" s="37">
        <f t="shared" si="1"/>
        <v>614.2375288478609</v>
      </c>
      <c r="P17" s="37">
        <f>D17/J17*100000</f>
        <v>408.21437515652394</v>
      </c>
      <c r="Q17" s="95">
        <f t="shared" si="3"/>
        <v>66.45871604788148</v>
      </c>
      <c r="R17" s="37"/>
      <c r="S17" s="37"/>
      <c r="T17" s="95"/>
    </row>
    <row r="18" spans="1:20" ht="15">
      <c r="A18" s="2">
        <v>11</v>
      </c>
      <c r="B18" s="85" t="s">
        <v>69</v>
      </c>
      <c r="C18" s="94"/>
      <c r="D18" s="94"/>
      <c r="E18" s="95"/>
      <c r="F18" s="94">
        <v>3205</v>
      </c>
      <c r="G18" s="94">
        <v>3712</v>
      </c>
      <c r="H18" s="95">
        <f>G18/F18*100</f>
        <v>115.81903276131045</v>
      </c>
      <c r="I18" s="4"/>
      <c r="J18" s="94"/>
      <c r="K18" s="37"/>
      <c r="L18" s="94">
        <v>832723</v>
      </c>
      <c r="M18" s="94">
        <v>962148</v>
      </c>
      <c r="N18" s="95">
        <f>M18/L18*100</f>
        <v>115.54238324148606</v>
      </c>
      <c r="O18" s="37"/>
      <c r="P18" s="37"/>
      <c r="Q18" s="95"/>
      <c r="R18" s="37">
        <f>F18/L18*100000</f>
        <v>384.8818874944009</v>
      </c>
      <c r="S18" s="37">
        <f>G18/M18*100000</f>
        <v>385.80343148871066</v>
      </c>
      <c r="T18" s="95">
        <f>S18/R18*100</f>
        <v>100.23943553184824</v>
      </c>
    </row>
    <row r="19" spans="1:20" ht="15">
      <c r="A19" s="2">
        <v>12</v>
      </c>
      <c r="B19" s="33" t="s">
        <v>91</v>
      </c>
      <c r="C19" s="103"/>
      <c r="D19" s="94"/>
      <c r="E19" s="95"/>
      <c r="F19" s="94"/>
      <c r="G19" s="94">
        <v>15</v>
      </c>
      <c r="H19" s="95"/>
      <c r="I19" s="4"/>
      <c r="J19" s="94"/>
      <c r="K19" s="37"/>
      <c r="L19" s="94"/>
      <c r="M19" s="94">
        <v>13654</v>
      </c>
      <c r="N19" s="95"/>
      <c r="O19" s="37"/>
      <c r="P19" s="37"/>
      <c r="Q19" s="95"/>
      <c r="R19" s="37"/>
      <c r="S19" s="37">
        <f>G19/M19*100000</f>
        <v>109.8579170938919</v>
      </c>
      <c r="T19" s="95"/>
    </row>
    <row r="20" spans="1:20" ht="15">
      <c r="A20" s="86"/>
      <c r="B20" s="28" t="s">
        <v>11</v>
      </c>
      <c r="C20" s="98">
        <f>SUM(C8:C18)</f>
        <v>955.1199999999999</v>
      </c>
      <c r="D20" s="4">
        <f>SUM(D8:D18)</f>
        <v>835.96</v>
      </c>
      <c r="E20" s="37">
        <f>D20/C20*100</f>
        <v>87.5240807437809</v>
      </c>
      <c r="F20" s="37">
        <f>SUM(F8:F18)</f>
        <v>3333</v>
      </c>
      <c r="G20" s="4">
        <f>SUM(G8:G19)</f>
        <v>3946.7</v>
      </c>
      <c r="H20" s="37">
        <f>G20/F20*100</f>
        <v>118.4128412841284</v>
      </c>
      <c r="I20" s="4">
        <f>SUM(I8:I17)</f>
        <v>222499</v>
      </c>
      <c r="J20" s="4">
        <f>SUM(J8:J18)</f>
        <v>231111</v>
      </c>
      <c r="K20" s="37">
        <f t="shared" si="4"/>
        <v>103.87057919361435</v>
      </c>
      <c r="L20" s="4">
        <f>SUM(L8:L18)</f>
        <v>869350</v>
      </c>
      <c r="M20" s="4">
        <f>SUM(M8:M19)</f>
        <v>1031387</v>
      </c>
      <c r="N20" s="37">
        <f>M20/L20*100</f>
        <v>118.63886811985967</v>
      </c>
      <c r="O20" s="37">
        <f>C20/I20*100000</f>
        <v>429.2693450307641</v>
      </c>
      <c r="P20" s="37">
        <f>D20/J20*100000</f>
        <v>361.71363543924787</v>
      </c>
      <c r="Q20" s="37">
        <f>P20/O20*100</f>
        <v>84.26262895929017</v>
      </c>
      <c r="R20" s="37">
        <f>F20/L20*100000</f>
        <v>383.3898889975269</v>
      </c>
      <c r="S20" s="37">
        <f>G20/M20*100000</f>
        <v>382.65946729985933</v>
      </c>
      <c r="T20" s="37">
        <f>S20/R20*100</f>
        <v>99.80948331747156</v>
      </c>
    </row>
  </sheetData>
  <mergeCells count="21">
    <mergeCell ref="R6:R7"/>
    <mergeCell ref="F6:F7"/>
    <mergeCell ref="T5:T7"/>
    <mergeCell ref="L5:M5"/>
    <mergeCell ref="R5:S5"/>
    <mergeCell ref="L6:L7"/>
    <mergeCell ref="M6:M7"/>
    <mergeCell ref="O6:O7"/>
    <mergeCell ref="P6:P7"/>
    <mergeCell ref="S6:S7"/>
    <mergeCell ref="Q5:Q7"/>
    <mergeCell ref="G6:G7"/>
    <mergeCell ref="H5:H7"/>
    <mergeCell ref="N5:N7"/>
    <mergeCell ref="C6:C7"/>
    <mergeCell ref="D6:D7"/>
    <mergeCell ref="K5:K7"/>
    <mergeCell ref="E5:E7"/>
    <mergeCell ref="I5:J5"/>
    <mergeCell ref="I6:I7"/>
    <mergeCell ref="J6:J7"/>
  </mergeCells>
  <printOptions/>
  <pageMargins left="0.75" right="0.75" top="1" bottom="1" header="0.5" footer="0.5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9"/>
  <sheetViews>
    <sheetView view="pageBreakPreview" zoomScale="75" zoomScaleNormal="50" zoomScaleSheetLayoutView="75" workbookViewId="0" topLeftCell="A1">
      <selection activeCell="D4" sqref="D4"/>
    </sheetView>
  </sheetViews>
  <sheetFormatPr defaultColWidth="9.00390625" defaultRowHeight="12.75"/>
  <cols>
    <col min="1" max="1" width="3.625" style="0" customWidth="1"/>
    <col min="2" max="2" width="29.625" style="0" customWidth="1"/>
    <col min="3" max="3" width="7.25390625" style="0" customWidth="1"/>
    <col min="4" max="4" width="7.125" style="0" customWidth="1"/>
    <col min="5" max="5" width="8.125" style="0" customWidth="1"/>
    <col min="6" max="6" width="7.125" style="0" customWidth="1"/>
    <col min="7" max="7" width="6.25390625" style="0" customWidth="1"/>
    <col min="8" max="8" width="8.75390625" style="0" customWidth="1"/>
    <col min="9" max="9" width="7.25390625" style="0" customWidth="1"/>
    <col min="10" max="10" width="6.25390625" style="0" customWidth="1"/>
    <col min="11" max="11" width="8.875" style="0" customWidth="1"/>
    <col min="12" max="13" width="8.75390625" style="0" customWidth="1"/>
    <col min="14" max="14" width="9.125" style="76" customWidth="1"/>
  </cols>
  <sheetData>
    <row r="1" ht="15.75">
      <c r="C1" s="1" t="s">
        <v>109</v>
      </c>
    </row>
    <row r="2" spans="1:12" ht="15">
      <c r="A2" s="21"/>
      <c r="B2" s="21"/>
      <c r="C2" s="21"/>
      <c r="D2" s="21"/>
      <c r="E2" s="21"/>
      <c r="F2" s="21"/>
      <c r="G2" s="21"/>
      <c r="H2" s="11" t="s">
        <v>57</v>
      </c>
      <c r="I2" s="21"/>
      <c r="J2" s="21"/>
      <c r="K2" s="21"/>
      <c r="L2" s="21"/>
    </row>
    <row r="3" spans="1:14" ht="15" customHeight="1">
      <c r="A3" s="24" t="s">
        <v>2</v>
      </c>
      <c r="B3" s="24" t="s">
        <v>3</v>
      </c>
      <c r="C3" s="26"/>
      <c r="D3" s="26" t="s">
        <v>54</v>
      </c>
      <c r="E3" s="28"/>
      <c r="F3" s="156" t="s">
        <v>10</v>
      </c>
      <c r="G3" s="157"/>
      <c r="H3" s="133"/>
      <c r="I3" s="26" t="s">
        <v>6</v>
      </c>
      <c r="J3" s="22" t="s">
        <v>7</v>
      </c>
      <c r="K3" s="124" t="s">
        <v>74</v>
      </c>
      <c r="L3" s="125"/>
      <c r="M3" s="126"/>
      <c r="N3" s="134"/>
    </row>
    <row r="4" spans="1:14" ht="15">
      <c r="A4" s="34"/>
      <c r="B4" s="34"/>
      <c r="C4" s="10">
        <v>2010</v>
      </c>
      <c r="D4" s="43">
        <v>2011</v>
      </c>
      <c r="E4" s="20" t="s">
        <v>4</v>
      </c>
      <c r="F4" s="10">
        <v>2010</v>
      </c>
      <c r="G4" s="43">
        <v>2011</v>
      </c>
      <c r="H4" s="20" t="s">
        <v>4</v>
      </c>
      <c r="I4" s="10">
        <v>2010</v>
      </c>
      <c r="J4" s="43">
        <v>2011</v>
      </c>
      <c r="K4" s="127" t="s">
        <v>1</v>
      </c>
      <c r="L4" s="127" t="s">
        <v>75</v>
      </c>
      <c r="M4" s="129" t="s">
        <v>76</v>
      </c>
      <c r="N4" s="135"/>
    </row>
    <row r="5" spans="1:14" ht="15">
      <c r="A5" s="30"/>
      <c r="B5" s="30"/>
      <c r="C5" s="29"/>
      <c r="D5" s="36"/>
      <c r="E5" s="12">
        <v>2010</v>
      </c>
      <c r="F5" s="29"/>
      <c r="G5" s="36"/>
      <c r="H5" s="12">
        <v>2010</v>
      </c>
      <c r="I5" s="36"/>
      <c r="J5" s="30"/>
      <c r="K5" s="128"/>
      <c r="L5" s="128"/>
      <c r="M5" s="129"/>
      <c r="N5" s="135"/>
    </row>
    <row r="6" spans="1:14" ht="18">
      <c r="A6" s="4">
        <v>1</v>
      </c>
      <c r="B6" s="23" t="s">
        <v>61</v>
      </c>
      <c r="C6" s="13"/>
      <c r="D6" s="4"/>
      <c r="E6" s="37"/>
      <c r="F6" s="4">
        <v>27</v>
      </c>
      <c r="G6" s="4">
        <v>25</v>
      </c>
      <c r="H6" s="95">
        <f aca="true" t="shared" si="0" ref="H6:H17">G6*100/F6</f>
        <v>92.5925925925926</v>
      </c>
      <c r="I6" s="37">
        <f>F6+(C6*0.2)+('численность 1'!M6*0.3)+'численность 1'!G6+(('численность 1'!C6-'численность 1'!G6)*0.6)</f>
        <v>315.6</v>
      </c>
      <c r="J6" s="37">
        <f>G6+(D6*0.2)+('численность 1'!N6*0.3)+'численность 1'!H6+(('численность 1'!D6-'численность 1'!H6)*0.6)</f>
        <v>305.8</v>
      </c>
      <c r="K6" s="4">
        <v>30</v>
      </c>
      <c r="L6" s="4">
        <v>30</v>
      </c>
      <c r="M6" s="37"/>
      <c r="N6" s="81"/>
    </row>
    <row r="7" spans="1:14" ht="18">
      <c r="A7" s="4">
        <v>2</v>
      </c>
      <c r="B7" s="23" t="s">
        <v>62</v>
      </c>
      <c r="C7" s="13"/>
      <c r="D7" s="4"/>
      <c r="E7" s="37"/>
      <c r="F7" s="4">
        <v>7</v>
      </c>
      <c r="G7" s="4">
        <v>5</v>
      </c>
      <c r="H7" s="95">
        <f t="shared" si="0"/>
        <v>71.42857142857143</v>
      </c>
      <c r="I7" s="37">
        <f>F7+(C7*0.2)+('численность 1'!M7*0.3)+'численность 1'!G7+(('численность 1'!C7-'численность 1'!G7)*0.6)</f>
        <v>169</v>
      </c>
      <c r="J7" s="37">
        <f>G7+(D7*0.2)+('численность 1'!N7*0.3)+'численность 1'!H7+(('численность 1'!D7-'численность 1'!H7)*0.6)</f>
        <v>189.8</v>
      </c>
      <c r="K7" s="4">
        <v>99</v>
      </c>
      <c r="L7" s="4">
        <v>99</v>
      </c>
      <c r="M7" s="37"/>
      <c r="N7" s="81"/>
    </row>
    <row r="8" spans="1:14" ht="18">
      <c r="A8" s="4">
        <v>3</v>
      </c>
      <c r="B8" s="23" t="s">
        <v>63</v>
      </c>
      <c r="C8" s="13"/>
      <c r="D8" s="4"/>
      <c r="E8" s="37"/>
      <c r="F8" s="4">
        <v>2</v>
      </c>
      <c r="G8" s="4">
        <v>1</v>
      </c>
      <c r="H8" s="95">
        <f t="shared" si="0"/>
        <v>50</v>
      </c>
      <c r="I8" s="37">
        <f>F8+(C8*0.2)+('численность 1'!M8*0.3)+'численность 1'!G8+(('численность 1'!C8-'численность 1'!G8)*0.6)</f>
        <v>84.2</v>
      </c>
      <c r="J8" s="37">
        <f>G8+(D8*0.2)+('численность 1'!N8*0.3)+'численность 1'!H8+(('численность 1'!D8-'численность 1'!H8)*0.6)</f>
        <v>100.6</v>
      </c>
      <c r="K8" s="4">
        <v>67</v>
      </c>
      <c r="L8" s="4">
        <v>30</v>
      </c>
      <c r="M8" s="37"/>
      <c r="N8" s="81"/>
    </row>
    <row r="9" spans="1:14" ht="18">
      <c r="A9" s="4">
        <v>4</v>
      </c>
      <c r="B9" s="23" t="s">
        <v>64</v>
      </c>
      <c r="C9" s="117"/>
      <c r="D9" s="4"/>
      <c r="E9" s="4"/>
      <c r="F9" s="4">
        <v>32</v>
      </c>
      <c r="G9" s="4">
        <v>25</v>
      </c>
      <c r="H9" s="95">
        <f t="shared" si="0"/>
        <v>78.125</v>
      </c>
      <c r="I9" s="37">
        <f>F9+(C9*0.2)+('численность 1'!M9*0.3)+'численность 1'!G9+(('численность 1'!C9-'численность 1'!G9)*0.6)</f>
        <v>802.8</v>
      </c>
      <c r="J9" s="37">
        <f>G9+(D9*0.2)+('численность 1'!N9*0.3)+'численность 1'!H9+(('численность 1'!D9-'численность 1'!H9)*0.6)</f>
        <v>760.8</v>
      </c>
      <c r="K9" s="94">
        <v>45</v>
      </c>
      <c r="L9" s="94">
        <v>45</v>
      </c>
      <c r="M9" s="95"/>
      <c r="N9" s="81"/>
    </row>
    <row r="10" spans="1:14" ht="15">
      <c r="A10" s="4">
        <v>5</v>
      </c>
      <c r="B10" s="23" t="s">
        <v>65</v>
      </c>
      <c r="C10" s="92">
        <v>157</v>
      </c>
      <c r="D10" s="4">
        <v>191</v>
      </c>
      <c r="E10" s="95">
        <f>D10*100/C10</f>
        <v>121.65605095541402</v>
      </c>
      <c r="F10" s="4">
        <v>56</v>
      </c>
      <c r="G10" s="4">
        <v>21</v>
      </c>
      <c r="H10" s="95">
        <f t="shared" si="0"/>
        <v>37.5</v>
      </c>
      <c r="I10" s="37">
        <f>F10+(C10*0.2)+('численность 1'!M10*0.3)+'численность 1'!G10+(('численность 1'!C10-'численность 1'!G10)*0.6)</f>
        <v>606.2</v>
      </c>
      <c r="J10" s="37">
        <f>G10+(D10*0.2)+('численность 1'!N10*0.3)+'численность 1'!H10+(('численность 1'!D10-'численность 1'!H10)*0.6)</f>
        <v>593.9</v>
      </c>
      <c r="K10" s="4">
        <v>50</v>
      </c>
      <c r="L10" s="4">
        <v>50</v>
      </c>
      <c r="M10" s="37"/>
      <c r="N10" s="81"/>
    </row>
    <row r="11" spans="1:14" ht="15">
      <c r="A11" s="4">
        <v>6</v>
      </c>
      <c r="B11" s="39" t="s">
        <v>81</v>
      </c>
      <c r="C11" s="94"/>
      <c r="D11" s="94"/>
      <c r="E11" s="95"/>
      <c r="F11" s="4">
        <v>15</v>
      </c>
      <c r="G11" s="4">
        <v>9</v>
      </c>
      <c r="H11" s="95">
        <f t="shared" si="0"/>
        <v>60</v>
      </c>
      <c r="I11" s="37">
        <f>F11+(C11*0.2)+('численность 1'!M11*0.3)+'численность 1'!G11+(('численность 1'!C11-'численность 1'!G11)*0.6)</f>
        <v>236.2</v>
      </c>
      <c r="J11" s="37">
        <f>G11+(D11*0.2)+('численность 1'!N11*0.3)+'численность 1'!H11+(('численность 1'!D11-'численность 1'!H11)*0.6)</f>
        <v>235.6</v>
      </c>
      <c r="K11" s="94">
        <v>718</v>
      </c>
      <c r="L11" s="94">
        <v>718</v>
      </c>
      <c r="M11" s="95"/>
      <c r="N11" s="81"/>
    </row>
    <row r="12" spans="1:14" ht="15">
      <c r="A12" s="4">
        <v>7</v>
      </c>
      <c r="B12" s="39" t="s">
        <v>66</v>
      </c>
      <c r="C12" s="94"/>
      <c r="D12" s="94"/>
      <c r="E12" s="95"/>
      <c r="F12" s="94">
        <v>4</v>
      </c>
      <c r="G12" s="94">
        <v>3</v>
      </c>
      <c r="H12" s="95">
        <f t="shared" si="0"/>
        <v>75</v>
      </c>
      <c r="I12" s="37">
        <f>F12+(C12*0.2)+('численность 1'!M12*0.3)+'численность 1'!G12+(('численность 1'!C12-'численность 1'!G12)*0.6)</f>
        <v>111.8</v>
      </c>
      <c r="J12" s="37">
        <f>G12+(D12*0.2)+('численность 1'!N12*0.3)+'численность 1'!H12+(('численность 1'!D12-'численность 1'!H12)*0.6)</f>
        <v>150.6</v>
      </c>
      <c r="K12" s="94"/>
      <c r="L12" s="94">
        <v>250</v>
      </c>
      <c r="M12" s="37"/>
      <c r="N12" s="81"/>
    </row>
    <row r="13" spans="1:14" ht="15">
      <c r="A13" s="4">
        <v>8</v>
      </c>
      <c r="B13" s="33" t="s">
        <v>80</v>
      </c>
      <c r="C13" s="94">
        <v>124</v>
      </c>
      <c r="D13" s="94">
        <v>168</v>
      </c>
      <c r="E13" s="95">
        <f>D13*100/C13</f>
        <v>135.48387096774192</v>
      </c>
      <c r="F13" s="4">
        <v>4</v>
      </c>
      <c r="G13" s="4">
        <v>5</v>
      </c>
      <c r="H13" s="95">
        <f t="shared" si="0"/>
        <v>125</v>
      </c>
      <c r="I13" s="37">
        <f>F13+(C13*0.2)+('численность 1'!M13*0.3)+'численность 1'!G13+(('численность 1'!C13-'численность 1'!G13)*0.6)</f>
        <v>170.39999999999998</v>
      </c>
      <c r="J13" s="37">
        <f>G13+(D13*0.2)+('численность 1'!N13*0.3)+'численность 1'!H13+(('численность 1'!D13-'численность 1'!H13)*0.6)</f>
        <v>212.6</v>
      </c>
      <c r="K13" s="94"/>
      <c r="L13" s="94">
        <v>25</v>
      </c>
      <c r="M13" s="37"/>
      <c r="N13" s="81"/>
    </row>
    <row r="14" spans="1:14" ht="15">
      <c r="A14" s="4">
        <v>9</v>
      </c>
      <c r="B14" s="39" t="s">
        <v>67</v>
      </c>
      <c r="C14" s="94"/>
      <c r="D14" s="94"/>
      <c r="E14" s="95"/>
      <c r="F14" s="4">
        <v>17</v>
      </c>
      <c r="G14" s="4">
        <v>3</v>
      </c>
      <c r="H14" s="95">
        <f t="shared" si="0"/>
        <v>17.647058823529413</v>
      </c>
      <c r="I14" s="37">
        <f>F14+(C14*0.2)+('численность 1'!M14*0.3)+'численность 1'!G14+(('численность 1'!C14-'численность 1'!G14)*0.6)</f>
        <v>185.39999999999998</v>
      </c>
      <c r="J14" s="37">
        <f>G14+(D14*0.2)+('численность 1'!N14*0.3)+'численность 1'!H14+(('численность 1'!D14-'численность 1'!H14)*0.6)</f>
        <v>193.6</v>
      </c>
      <c r="K14" s="94">
        <v>104</v>
      </c>
      <c r="L14" s="94">
        <v>84</v>
      </c>
      <c r="M14" s="37"/>
      <c r="N14" s="81"/>
    </row>
    <row r="15" spans="1:14" ht="15">
      <c r="A15" s="4">
        <v>10</v>
      </c>
      <c r="B15" s="39" t="s">
        <v>68</v>
      </c>
      <c r="C15" s="94"/>
      <c r="D15" s="94"/>
      <c r="E15" s="95"/>
      <c r="F15" s="4">
        <v>3</v>
      </c>
      <c r="G15" s="4">
        <v>1</v>
      </c>
      <c r="H15" s="95">
        <f t="shared" si="0"/>
        <v>33.333333333333336</v>
      </c>
      <c r="I15" s="37">
        <f>F15+(C15*0.2)+('численность 1'!M15*0.3)+'численность 1'!G15+(('численность 1'!C15-'численность 1'!G15)*0.6)</f>
        <v>69.4</v>
      </c>
      <c r="J15" s="37">
        <f>G15+(D15*0.2)+('численность 1'!N15*0.3)+'численность 1'!H15+(('численность 1'!D15-'численность 1'!H15)*0.6)</f>
        <v>73.6</v>
      </c>
      <c r="K15" s="94"/>
      <c r="L15" s="94">
        <v>12</v>
      </c>
      <c r="M15" s="37"/>
      <c r="N15" s="81"/>
    </row>
    <row r="16" spans="1:14" ht="15">
      <c r="A16" s="4">
        <v>11</v>
      </c>
      <c r="B16" s="39" t="s">
        <v>69</v>
      </c>
      <c r="C16" s="94"/>
      <c r="D16" s="94"/>
      <c r="E16" s="95"/>
      <c r="F16" s="4">
        <v>1</v>
      </c>
      <c r="G16" s="4">
        <v>1</v>
      </c>
      <c r="H16" s="95">
        <f t="shared" si="0"/>
        <v>100</v>
      </c>
      <c r="I16" s="37">
        <f>F16+(C16*0.2)+('численность 1'!M16*0.3)+'численность 1'!G16+(('численность 1'!C16-'численность 1'!G16)*0.6)</f>
        <v>2322.4</v>
      </c>
      <c r="J16" s="37">
        <f>G16+(D16*0.2)+('численность 1'!N16*0.3)+'численность 1'!H16+(('численность 1'!D16-'численность 1'!H16)*0.6)</f>
        <v>2794.9</v>
      </c>
      <c r="K16" s="94">
        <v>9030</v>
      </c>
      <c r="L16" s="94">
        <v>9030</v>
      </c>
      <c r="M16" s="95">
        <v>9030</v>
      </c>
      <c r="N16" s="81"/>
    </row>
    <row r="17" spans="1:14" ht="15">
      <c r="A17" s="4">
        <v>12</v>
      </c>
      <c r="B17" s="33" t="s">
        <v>78</v>
      </c>
      <c r="C17" s="94"/>
      <c r="D17" s="94"/>
      <c r="E17" s="95"/>
      <c r="F17" s="4">
        <v>66</v>
      </c>
      <c r="G17" s="4">
        <v>122</v>
      </c>
      <c r="H17" s="95">
        <f t="shared" si="0"/>
        <v>184.84848484848484</v>
      </c>
      <c r="I17" s="37">
        <f>F17+(C17*0.2)+('численность 1'!M17*0.3)+'численность 1'!G17+(('численность 1'!C17-'численность 1'!G17)*0.6)</f>
        <v>66</v>
      </c>
      <c r="J17" s="37">
        <f>G17+(D17*0.2)+('численность 1'!N17*0.3)+'численность 1'!H17+(('численность 1'!D17-'численность 1'!H17)*0.6)</f>
        <v>122</v>
      </c>
      <c r="K17" s="94">
        <v>863</v>
      </c>
      <c r="L17" s="94"/>
      <c r="M17" s="37"/>
      <c r="N17" s="81"/>
    </row>
    <row r="18" spans="1:14" ht="15">
      <c r="A18" s="4">
        <v>13</v>
      </c>
      <c r="B18" s="33" t="s">
        <v>91</v>
      </c>
      <c r="C18" s="94"/>
      <c r="D18" s="94"/>
      <c r="E18" s="95"/>
      <c r="F18" s="4"/>
      <c r="G18" s="4"/>
      <c r="H18" s="95"/>
      <c r="I18" s="37"/>
      <c r="J18" s="37">
        <f>G18+(D18*0.2)+('численность 1'!N18*0.3)+'численность 1'!H18+(('численность 1'!D18-'численность 1'!H18)*0.6)</f>
        <v>28.5</v>
      </c>
      <c r="K18" s="94">
        <v>6</v>
      </c>
      <c r="L18" s="94">
        <v>6</v>
      </c>
      <c r="M18" s="37">
        <v>6</v>
      </c>
      <c r="N18" s="81"/>
    </row>
    <row r="19" spans="1:14" ht="15">
      <c r="A19" s="23"/>
      <c r="B19" s="23" t="s">
        <v>11</v>
      </c>
      <c r="C19" s="4">
        <f>SUM(C6:C16)</f>
        <v>281</v>
      </c>
      <c r="D19" s="4">
        <f>SUM(D6:D16)</f>
        <v>359</v>
      </c>
      <c r="E19" s="37">
        <f>D19/C19*100</f>
        <v>127.75800711743773</v>
      </c>
      <c r="F19" s="4">
        <f>SUM(F6:F17)</f>
        <v>234</v>
      </c>
      <c r="G19" s="4">
        <f>SUM(G6:G17)</f>
        <v>221</v>
      </c>
      <c r="H19" s="95">
        <f>G19*100/F19</f>
        <v>94.44444444444444</v>
      </c>
      <c r="I19" s="37">
        <f>F19+(C19*0.2)+('численность 1'!M19*0.3)+'численность 1'!G19+(('численность 1'!C19-'численность 1'!G19)*0.6)</f>
        <v>5139.4</v>
      </c>
      <c r="J19" s="37">
        <f>G19+(D19*0.2)+('численность 1'!N19*0.3)+'численность 1'!H19+(('численность 1'!D19-'численность 1'!H19)*0.6)</f>
        <v>5762.300000000001</v>
      </c>
      <c r="K19" s="4">
        <f>SUM(K6:K18)</f>
        <v>11012</v>
      </c>
      <c r="L19" s="4">
        <f>SUM(L6:L18)</f>
        <v>10379</v>
      </c>
      <c r="M19" s="37">
        <f>SUM(M6:M18)</f>
        <v>9036</v>
      </c>
      <c r="N19" s="81"/>
    </row>
  </sheetData>
  <mergeCells count="6">
    <mergeCell ref="F3:H3"/>
    <mergeCell ref="N3:N5"/>
    <mergeCell ref="K3:M3"/>
    <mergeCell ref="K4:K5"/>
    <mergeCell ref="L4:L5"/>
    <mergeCell ref="M4:M5"/>
  </mergeCells>
  <printOptions/>
  <pageMargins left="0.75" right="0.75" top="1" bottom="1" header="0.5" footer="0.5"/>
  <pageSetup horizontalDpi="300" verticalDpi="3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19"/>
  <sheetViews>
    <sheetView view="pageBreakPreview" zoomScale="60" zoomScaleNormal="50" workbookViewId="0" topLeftCell="A1">
      <selection activeCell="C9" sqref="C9"/>
    </sheetView>
  </sheetViews>
  <sheetFormatPr defaultColWidth="9.00390625" defaultRowHeight="12.75"/>
  <cols>
    <col min="1" max="1" width="5.25390625" style="0" customWidth="1"/>
    <col min="2" max="2" width="34.125" style="0" customWidth="1"/>
    <col min="3" max="3" width="9.75390625" style="0" customWidth="1"/>
    <col min="4" max="4" width="9.875" style="0" customWidth="1"/>
    <col min="5" max="5" width="10.75390625" style="0" customWidth="1"/>
    <col min="6" max="6" width="11.75390625" style="0" customWidth="1"/>
    <col min="7" max="7" width="9.875" style="0" customWidth="1"/>
    <col min="8" max="8" width="9.75390625" style="0" customWidth="1"/>
    <col min="9" max="9" width="10.75390625" style="0" customWidth="1"/>
    <col min="10" max="10" width="9.75390625" style="0" customWidth="1"/>
    <col min="11" max="11" width="9.875" style="0" customWidth="1"/>
    <col min="12" max="12" width="10.75390625" style="0" customWidth="1"/>
    <col min="13" max="13" width="9.875" style="0" customWidth="1"/>
    <col min="14" max="14" width="9.75390625" style="0" customWidth="1"/>
    <col min="15" max="15" width="10.75390625" style="0" customWidth="1"/>
    <col min="16" max="17" width="9.75390625" style="0" customWidth="1"/>
    <col min="18" max="18" width="10.875" style="0" customWidth="1"/>
    <col min="19" max="20" width="9.75390625" style="0" customWidth="1"/>
    <col min="21" max="21" width="10.625" style="0" customWidth="1"/>
    <col min="22" max="22" width="7.00390625" style="0" customWidth="1"/>
    <col min="23" max="23" width="14.25390625" style="0" customWidth="1"/>
    <col min="24" max="24" width="6.375" style="0" customWidth="1"/>
    <col min="25" max="25" width="6.00390625" style="0" customWidth="1"/>
    <col min="26" max="26" width="6.875" style="0" customWidth="1"/>
    <col min="27" max="27" width="7.375" style="0" customWidth="1"/>
    <col min="28" max="28" width="7.125" style="0" customWidth="1"/>
    <col min="29" max="29" width="10.00390625" style="0" hidden="1" customWidth="1"/>
    <col min="30" max="31" width="8.25390625" style="0" customWidth="1"/>
    <col min="32" max="32" width="8.125" style="0" customWidth="1"/>
    <col min="33" max="33" width="8.625" style="0" customWidth="1"/>
    <col min="34" max="34" width="3.25390625" style="0" customWidth="1"/>
    <col min="35" max="35" width="22.375" style="0" customWidth="1"/>
    <col min="36" max="36" width="7.125" style="0" customWidth="1"/>
    <col min="37" max="38" width="6.625" style="0" customWidth="1"/>
    <col min="39" max="39" width="7.00390625" style="0" customWidth="1"/>
  </cols>
  <sheetData>
    <row r="1" spans="5:18" ht="20.25">
      <c r="E1" s="48" t="s">
        <v>108</v>
      </c>
      <c r="F1" s="48"/>
      <c r="G1" s="48"/>
      <c r="H1" s="47"/>
      <c r="I1" s="47"/>
      <c r="J1" s="47"/>
      <c r="K1" s="47"/>
      <c r="L1" s="47"/>
      <c r="M1" s="47"/>
      <c r="N1" s="47"/>
      <c r="O1" s="47"/>
      <c r="P1" s="15"/>
      <c r="Q1" s="44"/>
      <c r="R1" s="1"/>
    </row>
    <row r="2" spans="5:17" ht="20.25">
      <c r="E2" s="47"/>
      <c r="F2" s="47"/>
      <c r="G2" s="47"/>
      <c r="H2" s="49" t="s">
        <v>56</v>
      </c>
      <c r="I2" s="49"/>
      <c r="J2" s="49"/>
      <c r="K2" s="49"/>
      <c r="L2" s="49"/>
      <c r="M2" s="49"/>
      <c r="N2" s="47"/>
      <c r="O2" s="47"/>
      <c r="P2" s="15"/>
      <c r="Q2" s="15"/>
    </row>
    <row r="3" spans="1:21" s="21" customFormat="1" ht="44.25" customHeight="1">
      <c r="A3" s="24" t="s">
        <v>2</v>
      </c>
      <c r="B3" s="149" t="s">
        <v>3</v>
      </c>
      <c r="C3" s="140" t="s">
        <v>83</v>
      </c>
      <c r="D3" s="132"/>
      <c r="E3" s="158"/>
      <c r="F3" s="151" t="s">
        <v>82</v>
      </c>
      <c r="G3" s="140" t="s">
        <v>8</v>
      </c>
      <c r="H3" s="132"/>
      <c r="I3" s="158"/>
      <c r="J3" s="159" t="s">
        <v>73</v>
      </c>
      <c r="K3" s="160"/>
      <c r="L3" s="161"/>
      <c r="M3" s="140" t="s">
        <v>9</v>
      </c>
      <c r="N3" s="132"/>
      <c r="O3" s="132"/>
      <c r="P3" s="132"/>
      <c r="Q3" s="132"/>
      <c r="R3" s="132"/>
      <c r="S3" s="132"/>
      <c r="T3" s="132"/>
      <c r="U3" s="158"/>
    </row>
    <row r="4" spans="1:21" s="21" customFormat="1" ht="23.25" customHeight="1">
      <c r="A4" s="34"/>
      <c r="B4" s="131"/>
      <c r="C4" s="149">
        <v>2010</v>
      </c>
      <c r="D4" s="149">
        <v>2011</v>
      </c>
      <c r="E4" s="107" t="s">
        <v>4</v>
      </c>
      <c r="F4" s="152"/>
      <c r="G4" s="149">
        <v>2010</v>
      </c>
      <c r="H4" s="149">
        <v>2011</v>
      </c>
      <c r="I4" s="107" t="s">
        <v>4</v>
      </c>
      <c r="J4" s="149">
        <v>2010</v>
      </c>
      <c r="K4" s="149">
        <v>2011</v>
      </c>
      <c r="L4" s="151" t="s">
        <v>99</v>
      </c>
      <c r="M4" s="149">
        <v>2010</v>
      </c>
      <c r="N4" s="149">
        <v>2011</v>
      </c>
      <c r="O4" s="151" t="s">
        <v>99</v>
      </c>
      <c r="P4" s="104" t="s">
        <v>5</v>
      </c>
      <c r="Q4" s="108" t="s">
        <v>72</v>
      </c>
      <c r="R4" s="151" t="s">
        <v>99</v>
      </c>
      <c r="S4" s="104" t="s">
        <v>53</v>
      </c>
      <c r="T4" s="109"/>
      <c r="U4" s="151" t="s">
        <v>99</v>
      </c>
    </row>
    <row r="5" spans="1:21" s="21" customFormat="1" ht="23.25" customHeight="1">
      <c r="A5" s="30"/>
      <c r="B5" s="150"/>
      <c r="C5" s="130"/>
      <c r="D5" s="130"/>
      <c r="E5" s="110">
        <v>2010</v>
      </c>
      <c r="F5" s="153"/>
      <c r="G5" s="130"/>
      <c r="H5" s="130"/>
      <c r="I5" s="110">
        <v>2010</v>
      </c>
      <c r="J5" s="130"/>
      <c r="K5" s="130"/>
      <c r="L5" s="162"/>
      <c r="M5" s="130"/>
      <c r="N5" s="130"/>
      <c r="O5" s="162"/>
      <c r="P5" s="105">
        <v>2010</v>
      </c>
      <c r="Q5" s="105">
        <v>2011</v>
      </c>
      <c r="R5" s="162"/>
      <c r="S5" s="105">
        <v>2010</v>
      </c>
      <c r="T5" s="105">
        <v>2011</v>
      </c>
      <c r="U5" s="162"/>
    </row>
    <row r="6" spans="1:34" s="21" customFormat="1" ht="24.75" customHeight="1">
      <c r="A6" s="4">
        <v>1</v>
      </c>
      <c r="B6" s="23" t="s">
        <v>61</v>
      </c>
      <c r="C6" s="4">
        <v>361</v>
      </c>
      <c r="D6" s="4">
        <v>348</v>
      </c>
      <c r="E6" s="37">
        <f aca="true" t="shared" si="0" ref="E6:E15">D6*100/C6</f>
        <v>96.39889196675901</v>
      </c>
      <c r="F6" s="4">
        <v>10</v>
      </c>
      <c r="G6" s="4">
        <v>180</v>
      </c>
      <c r="H6" s="4">
        <v>180</v>
      </c>
      <c r="I6" s="37">
        <f aca="true" t="shared" si="1" ref="I6:I15">H6*100/G6</f>
        <v>100</v>
      </c>
      <c r="J6" s="101">
        <v>180</v>
      </c>
      <c r="K6" s="101">
        <v>180</v>
      </c>
      <c r="L6" s="37">
        <f aca="true" t="shared" si="2" ref="L6:L19">K6*100/J6</f>
        <v>100</v>
      </c>
      <c r="M6" s="70"/>
      <c r="N6" s="4"/>
      <c r="O6" s="37"/>
      <c r="P6" s="70"/>
      <c r="Q6" s="4"/>
      <c r="R6" s="37"/>
      <c r="S6" s="118"/>
      <c r="T6" s="37"/>
      <c r="U6" s="37"/>
      <c r="AH6" s="92"/>
    </row>
    <row r="7" spans="1:34" s="21" customFormat="1" ht="24.75" customHeight="1">
      <c r="A7" s="4">
        <v>2</v>
      </c>
      <c r="B7" s="23" t="s">
        <v>62</v>
      </c>
      <c r="C7" s="4">
        <v>200</v>
      </c>
      <c r="D7" s="4">
        <v>238</v>
      </c>
      <c r="E7" s="37">
        <f t="shared" si="0"/>
        <v>119</v>
      </c>
      <c r="F7" s="4">
        <v>25</v>
      </c>
      <c r="G7" s="4">
        <v>105</v>
      </c>
      <c r="H7" s="4">
        <v>105</v>
      </c>
      <c r="I7" s="37">
        <f t="shared" si="1"/>
        <v>100</v>
      </c>
      <c r="J7" s="101">
        <v>105</v>
      </c>
      <c r="K7" s="101">
        <v>105</v>
      </c>
      <c r="L7" s="37">
        <f t="shared" si="2"/>
        <v>100</v>
      </c>
      <c r="M7" s="70"/>
      <c r="N7" s="4"/>
      <c r="O7" s="37"/>
      <c r="P7" s="70"/>
      <c r="Q7" s="4"/>
      <c r="R7" s="37"/>
      <c r="S7" s="118"/>
      <c r="T7" s="37"/>
      <c r="U7" s="37"/>
      <c r="AH7" s="92"/>
    </row>
    <row r="8" spans="1:34" s="21" customFormat="1" ht="24.75" customHeight="1">
      <c r="A8" s="4">
        <v>3</v>
      </c>
      <c r="B8" s="23" t="s">
        <v>63</v>
      </c>
      <c r="C8" s="4">
        <v>101</v>
      </c>
      <c r="D8" s="4">
        <v>126</v>
      </c>
      <c r="E8" s="37">
        <f t="shared" si="0"/>
        <v>124.75247524752476</v>
      </c>
      <c r="F8" s="94"/>
      <c r="G8" s="4">
        <v>54</v>
      </c>
      <c r="H8" s="4">
        <v>60</v>
      </c>
      <c r="I8" s="37">
        <f t="shared" si="1"/>
        <v>111.11111111111111</v>
      </c>
      <c r="J8" s="101">
        <v>54</v>
      </c>
      <c r="K8" s="101">
        <v>60</v>
      </c>
      <c r="L8" s="37">
        <f t="shared" si="2"/>
        <v>111.11111111111111</v>
      </c>
      <c r="M8" s="70"/>
      <c r="N8" s="4"/>
      <c r="O8" s="106"/>
      <c r="P8" s="70"/>
      <c r="Q8" s="4"/>
      <c r="R8" s="37"/>
      <c r="S8" s="118"/>
      <c r="T8" s="37"/>
      <c r="U8" s="37"/>
      <c r="AH8" s="92"/>
    </row>
    <row r="9" spans="1:34" s="21" customFormat="1" ht="24.75" customHeight="1">
      <c r="A9" s="4">
        <v>4</v>
      </c>
      <c r="B9" s="23" t="s">
        <v>64</v>
      </c>
      <c r="C9" s="4">
        <v>866</v>
      </c>
      <c r="D9" s="4">
        <v>787</v>
      </c>
      <c r="E9" s="37">
        <f t="shared" si="0"/>
        <v>90.87759815242494</v>
      </c>
      <c r="F9" s="4">
        <v>48</v>
      </c>
      <c r="G9" s="4">
        <v>304</v>
      </c>
      <c r="H9" s="4">
        <v>308</v>
      </c>
      <c r="I9" s="37">
        <f t="shared" si="1"/>
        <v>101.3157894736842</v>
      </c>
      <c r="J9" s="101">
        <v>304</v>
      </c>
      <c r="K9" s="101">
        <v>308</v>
      </c>
      <c r="L9" s="37">
        <f t="shared" si="2"/>
        <v>101.3157894736842</v>
      </c>
      <c r="M9" s="4">
        <v>432</v>
      </c>
      <c r="N9" s="4">
        <v>468</v>
      </c>
      <c r="O9" s="37">
        <f>N9*100/M9</f>
        <v>108.33333333333333</v>
      </c>
      <c r="P9" s="4">
        <v>27</v>
      </c>
      <c r="Q9" s="4">
        <v>20</v>
      </c>
      <c r="R9" s="37">
        <f>Q9*100/P9</f>
        <v>74.07407407407408</v>
      </c>
      <c r="S9" s="4">
        <v>30</v>
      </c>
      <c r="T9" s="4">
        <v>25</v>
      </c>
      <c r="U9" s="37">
        <f>T9*100/S9</f>
        <v>83.33333333333333</v>
      </c>
      <c r="AH9" s="92"/>
    </row>
    <row r="10" spans="1:34" s="21" customFormat="1" ht="24.75" customHeight="1">
      <c r="A10" s="4">
        <v>5</v>
      </c>
      <c r="B10" s="23" t="s">
        <v>65</v>
      </c>
      <c r="C10" s="4">
        <v>505</v>
      </c>
      <c r="D10" s="4">
        <v>481</v>
      </c>
      <c r="E10" s="37">
        <f t="shared" si="0"/>
        <v>95.24752475247524</v>
      </c>
      <c r="F10" s="94">
        <v>4</v>
      </c>
      <c r="G10" s="4">
        <v>250</v>
      </c>
      <c r="H10" s="4">
        <v>280</v>
      </c>
      <c r="I10" s="37">
        <f t="shared" si="1"/>
        <v>112</v>
      </c>
      <c r="J10" s="101">
        <v>250</v>
      </c>
      <c r="K10" s="101">
        <v>280</v>
      </c>
      <c r="L10" s="37">
        <f t="shared" si="2"/>
        <v>112</v>
      </c>
      <c r="M10" s="4">
        <v>386</v>
      </c>
      <c r="N10" s="4">
        <v>447</v>
      </c>
      <c r="O10" s="37">
        <f>N10*100/M10</f>
        <v>115.80310880829016</v>
      </c>
      <c r="P10" s="4">
        <v>80</v>
      </c>
      <c r="Q10" s="4">
        <v>80</v>
      </c>
      <c r="R10" s="37">
        <f>Q10*100/P10</f>
        <v>100</v>
      </c>
      <c r="S10" s="4">
        <v>49</v>
      </c>
      <c r="T10" s="4">
        <v>22</v>
      </c>
      <c r="U10" s="37">
        <f>T10*100/S10</f>
        <v>44.89795918367347</v>
      </c>
      <c r="AH10" s="92"/>
    </row>
    <row r="11" spans="1:34" s="21" customFormat="1" ht="24.75" customHeight="1">
      <c r="A11" s="4">
        <v>6</v>
      </c>
      <c r="B11" s="39" t="s">
        <v>81</v>
      </c>
      <c r="C11" s="4">
        <v>312</v>
      </c>
      <c r="D11" s="4">
        <v>321</v>
      </c>
      <c r="E11" s="37">
        <f t="shared" si="0"/>
        <v>102.88461538461539</v>
      </c>
      <c r="F11" s="94">
        <v>26</v>
      </c>
      <c r="G11" s="4">
        <v>85</v>
      </c>
      <c r="H11" s="4">
        <v>85</v>
      </c>
      <c r="I11" s="37">
        <f t="shared" si="1"/>
        <v>100</v>
      </c>
      <c r="J11" s="101">
        <v>85</v>
      </c>
      <c r="K11" s="101">
        <v>85</v>
      </c>
      <c r="L11" s="37">
        <f t="shared" si="2"/>
        <v>100</v>
      </c>
      <c r="M11" s="4"/>
      <c r="N11" s="4"/>
      <c r="O11" s="37"/>
      <c r="P11" s="4"/>
      <c r="Q11" s="4"/>
      <c r="R11" s="37"/>
      <c r="S11" s="4"/>
      <c r="T11" s="4"/>
      <c r="U11" s="37"/>
      <c r="AH11" s="92"/>
    </row>
    <row r="12" spans="1:34" s="21" customFormat="1" ht="24.75" customHeight="1">
      <c r="A12" s="4">
        <v>7</v>
      </c>
      <c r="B12" s="23" t="s">
        <v>66</v>
      </c>
      <c r="C12" s="4">
        <v>145</v>
      </c>
      <c r="D12" s="4">
        <v>206</v>
      </c>
      <c r="E12" s="37">
        <f t="shared" si="0"/>
        <v>142.06896551724137</v>
      </c>
      <c r="F12" s="4">
        <v>16</v>
      </c>
      <c r="G12" s="4">
        <v>52</v>
      </c>
      <c r="H12" s="4">
        <v>60</v>
      </c>
      <c r="I12" s="37">
        <f t="shared" si="1"/>
        <v>115.38461538461539</v>
      </c>
      <c r="J12" s="101">
        <v>52</v>
      </c>
      <c r="K12" s="101">
        <v>60</v>
      </c>
      <c r="L12" s="37">
        <f t="shared" si="2"/>
        <v>115.38461538461539</v>
      </c>
      <c r="M12" s="4"/>
      <c r="N12" s="4"/>
      <c r="O12" s="37"/>
      <c r="P12" s="4"/>
      <c r="Q12" s="4"/>
      <c r="R12" s="37"/>
      <c r="S12" s="4"/>
      <c r="T12" s="4"/>
      <c r="U12" s="37"/>
      <c r="AH12" s="92"/>
    </row>
    <row r="13" spans="1:34" s="21" customFormat="1" ht="24.75" customHeight="1">
      <c r="A13" s="4">
        <v>8</v>
      </c>
      <c r="B13" s="33" t="s">
        <v>80</v>
      </c>
      <c r="C13" s="4">
        <v>196</v>
      </c>
      <c r="D13" s="4">
        <v>238</v>
      </c>
      <c r="E13" s="37">
        <f t="shared" si="0"/>
        <v>121.42857142857143</v>
      </c>
      <c r="F13" s="4">
        <v>13</v>
      </c>
      <c r="G13" s="4">
        <v>60</v>
      </c>
      <c r="H13" s="4">
        <v>78</v>
      </c>
      <c r="I13" s="37">
        <f t="shared" si="1"/>
        <v>130</v>
      </c>
      <c r="J13" s="101">
        <v>60</v>
      </c>
      <c r="K13" s="101">
        <v>78</v>
      </c>
      <c r="L13" s="37">
        <f t="shared" si="2"/>
        <v>130</v>
      </c>
      <c r="M13" s="4"/>
      <c r="N13" s="4"/>
      <c r="O13" s="37"/>
      <c r="P13" s="4"/>
      <c r="Q13" s="4"/>
      <c r="R13" s="37"/>
      <c r="S13" s="4"/>
      <c r="T13" s="4"/>
      <c r="U13" s="37"/>
      <c r="AH13" s="92"/>
    </row>
    <row r="14" spans="1:34" s="21" customFormat="1" ht="24.75" customHeight="1">
      <c r="A14" s="4">
        <v>9</v>
      </c>
      <c r="B14" s="23" t="s">
        <v>67</v>
      </c>
      <c r="C14" s="4">
        <v>214</v>
      </c>
      <c r="D14" s="4">
        <v>251</v>
      </c>
      <c r="E14" s="37">
        <f t="shared" si="0"/>
        <v>117.28971962616822</v>
      </c>
      <c r="F14" s="4">
        <v>16</v>
      </c>
      <c r="G14" s="4">
        <v>100</v>
      </c>
      <c r="H14" s="4">
        <v>100</v>
      </c>
      <c r="I14" s="37">
        <f t="shared" si="1"/>
        <v>100</v>
      </c>
      <c r="J14" s="101">
        <v>100</v>
      </c>
      <c r="K14" s="101">
        <v>100</v>
      </c>
      <c r="L14" s="37">
        <f t="shared" si="2"/>
        <v>100</v>
      </c>
      <c r="M14" s="4"/>
      <c r="N14" s="4"/>
      <c r="O14" s="37"/>
      <c r="P14" s="4"/>
      <c r="Q14" s="4"/>
      <c r="R14" s="37"/>
      <c r="S14" s="4"/>
      <c r="T14" s="4"/>
      <c r="U14" s="37"/>
      <c r="AH14" s="92"/>
    </row>
    <row r="15" spans="1:34" s="21" customFormat="1" ht="24.75" customHeight="1">
      <c r="A15" s="4">
        <v>10</v>
      </c>
      <c r="B15" s="23" t="s">
        <v>68</v>
      </c>
      <c r="C15" s="4">
        <v>84</v>
      </c>
      <c r="D15" s="4">
        <v>93</v>
      </c>
      <c r="E15" s="37">
        <f t="shared" si="0"/>
        <v>110.71428571428571</v>
      </c>
      <c r="F15" s="4">
        <v>7</v>
      </c>
      <c r="G15" s="4">
        <v>40</v>
      </c>
      <c r="H15" s="4">
        <v>42</v>
      </c>
      <c r="I15" s="37">
        <f t="shared" si="1"/>
        <v>105</v>
      </c>
      <c r="J15" s="101">
        <v>41.333333333333336</v>
      </c>
      <c r="K15" s="101">
        <v>42</v>
      </c>
      <c r="L15" s="37">
        <f t="shared" si="2"/>
        <v>101.61290322580645</v>
      </c>
      <c r="M15" s="4"/>
      <c r="N15" s="4"/>
      <c r="O15" s="37"/>
      <c r="P15" s="4"/>
      <c r="Q15" s="4"/>
      <c r="R15" s="37"/>
      <c r="S15" s="4"/>
      <c r="T15" s="4"/>
      <c r="U15" s="37"/>
      <c r="AH15" s="92"/>
    </row>
    <row r="16" spans="1:34" s="21" customFormat="1" ht="24.75" customHeight="1">
      <c r="A16" s="4">
        <v>11</v>
      </c>
      <c r="B16" s="23" t="s">
        <v>69</v>
      </c>
      <c r="C16" s="4"/>
      <c r="D16" s="4"/>
      <c r="E16" s="37"/>
      <c r="F16" s="4"/>
      <c r="G16" s="4"/>
      <c r="H16" s="4"/>
      <c r="I16" s="37"/>
      <c r="J16" s="4"/>
      <c r="K16" s="101"/>
      <c r="L16" s="37"/>
      <c r="M16" s="4">
        <v>7738</v>
      </c>
      <c r="N16" s="4">
        <v>9313</v>
      </c>
      <c r="O16" s="37">
        <f>N16*100/M16</f>
        <v>120.35409666580512</v>
      </c>
      <c r="P16" s="4">
        <v>220</v>
      </c>
      <c r="Q16" s="4">
        <v>240</v>
      </c>
      <c r="R16" s="37">
        <f>Q16*100/P16</f>
        <v>109.0909090909091</v>
      </c>
      <c r="S16" s="4">
        <v>503</v>
      </c>
      <c r="T16" s="4">
        <v>501</v>
      </c>
      <c r="U16" s="37">
        <f>T16*100/S16</f>
        <v>99.6023856858847</v>
      </c>
      <c r="AH16" s="92"/>
    </row>
    <row r="17" spans="1:34" s="21" customFormat="1" ht="24.75" customHeight="1">
      <c r="A17" s="4">
        <v>12</v>
      </c>
      <c r="B17" s="33" t="s">
        <v>78</v>
      </c>
      <c r="C17" s="4"/>
      <c r="D17" s="4"/>
      <c r="E17" s="37"/>
      <c r="F17" s="4"/>
      <c r="G17" s="4"/>
      <c r="H17" s="4"/>
      <c r="I17" s="37"/>
      <c r="J17" s="4"/>
      <c r="K17" s="4"/>
      <c r="L17" s="37"/>
      <c r="M17" s="4"/>
      <c r="N17" s="4"/>
      <c r="O17" s="37"/>
      <c r="P17" s="4"/>
      <c r="Q17" s="4"/>
      <c r="R17" s="37"/>
      <c r="S17" s="4"/>
      <c r="T17" s="4"/>
      <c r="U17" s="37"/>
      <c r="AH17" s="92"/>
    </row>
    <row r="18" spans="1:34" s="21" customFormat="1" ht="24.75" customHeight="1">
      <c r="A18" s="4">
        <v>13</v>
      </c>
      <c r="B18" s="33" t="s">
        <v>91</v>
      </c>
      <c r="C18" s="4"/>
      <c r="D18" s="4"/>
      <c r="E18" s="37"/>
      <c r="F18" s="4"/>
      <c r="G18" s="4"/>
      <c r="H18" s="4"/>
      <c r="I18" s="37"/>
      <c r="J18" s="4"/>
      <c r="K18" s="4"/>
      <c r="L18" s="37"/>
      <c r="M18" s="4"/>
      <c r="N18" s="4">
        <v>95</v>
      </c>
      <c r="O18" s="37"/>
      <c r="P18" s="4"/>
      <c r="Q18" s="4">
        <v>10</v>
      </c>
      <c r="R18" s="37"/>
      <c r="S18" s="4"/>
      <c r="T18" s="4">
        <v>2</v>
      </c>
      <c r="U18" s="37"/>
      <c r="AH18" s="92"/>
    </row>
    <row r="19" spans="1:21" s="21" customFormat="1" ht="21.75" customHeight="1">
      <c r="A19" s="23"/>
      <c r="B19" s="23" t="s">
        <v>11</v>
      </c>
      <c r="C19" s="4">
        <f>SUM(C6:C16)</f>
        <v>2984</v>
      </c>
      <c r="D19" s="4">
        <f>SUM(D6:D16)</f>
        <v>3089</v>
      </c>
      <c r="E19" s="37">
        <f>D19*100/C19</f>
        <v>103.51876675603218</v>
      </c>
      <c r="F19" s="4">
        <f>SUM(F6:F16)</f>
        <v>165</v>
      </c>
      <c r="G19" s="4">
        <f>SUM(G6:G16)</f>
        <v>1230</v>
      </c>
      <c r="H19" s="4">
        <f>SUM(H6:H16)</f>
        <v>1298</v>
      </c>
      <c r="I19" s="37">
        <f>H19*100/G19</f>
        <v>105.52845528455285</v>
      </c>
      <c r="J19" s="37">
        <f>SUM(J6:J18)</f>
        <v>1231.3333333333333</v>
      </c>
      <c r="K19" s="37">
        <f>SUM(K6:K18)</f>
        <v>1298</v>
      </c>
      <c r="L19" s="37">
        <f t="shared" si="2"/>
        <v>105.41418516513265</v>
      </c>
      <c r="M19" s="4">
        <f>SUM(M9:M16)</f>
        <v>8556</v>
      </c>
      <c r="N19" s="4">
        <f>SUM(N6:N18)</f>
        <v>10323</v>
      </c>
      <c r="O19" s="37">
        <f>N19*100/M19</f>
        <v>120.65217391304348</v>
      </c>
      <c r="P19" s="4">
        <f>SUM(P6:P16)</f>
        <v>327</v>
      </c>
      <c r="Q19" s="4">
        <f>SUM(Q6:Q18)</f>
        <v>350</v>
      </c>
      <c r="R19" s="37">
        <f>Q19*100/P19</f>
        <v>107.03363914373088</v>
      </c>
      <c r="S19" s="4">
        <f>SUM(S6:S16)</f>
        <v>582</v>
      </c>
      <c r="T19" s="37">
        <f>SUM(T6:T18)</f>
        <v>550</v>
      </c>
      <c r="U19" s="37">
        <f>T19*100/S19</f>
        <v>94.50171821305842</v>
      </c>
    </row>
  </sheetData>
  <mergeCells count="18">
    <mergeCell ref="J3:L3"/>
    <mergeCell ref="J4:J5"/>
    <mergeCell ref="K4:K5"/>
    <mergeCell ref="L4:L5"/>
    <mergeCell ref="M3:U3"/>
    <mergeCell ref="O4:O5"/>
    <mergeCell ref="N4:N5"/>
    <mergeCell ref="R4:R5"/>
    <mergeCell ref="U4:U5"/>
    <mergeCell ref="M4:M5"/>
    <mergeCell ref="B3:B5"/>
    <mergeCell ref="G4:G5"/>
    <mergeCell ref="H4:H5"/>
    <mergeCell ref="D4:D5"/>
    <mergeCell ref="C4:C5"/>
    <mergeCell ref="G3:I3"/>
    <mergeCell ref="F3:F5"/>
    <mergeCell ref="C3:E3"/>
  </mergeCells>
  <printOptions/>
  <pageMargins left="0.75" right="0.75" top="1" bottom="1" header="0.5" footer="0.5"/>
  <pageSetup horizontalDpi="300" verticalDpi="300" orientation="landscape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11"/>
  <sheetViews>
    <sheetView view="pageBreakPreview" zoomScale="75" zoomScaleNormal="75" zoomScaleSheetLayoutView="75" workbookViewId="0" topLeftCell="A1">
      <selection activeCell="F12" sqref="F12"/>
    </sheetView>
  </sheetViews>
  <sheetFormatPr defaultColWidth="9.00390625" defaultRowHeight="12.75"/>
  <cols>
    <col min="1" max="1" width="4.00390625" style="0" customWidth="1"/>
    <col min="2" max="2" width="32.00390625" style="0" customWidth="1"/>
    <col min="3" max="4" width="9.75390625" style="0" customWidth="1"/>
    <col min="5" max="5" width="11.125" style="0" customWidth="1"/>
    <col min="6" max="8" width="9.75390625" style="0" customWidth="1"/>
    <col min="9" max="9" width="9.625" style="0" customWidth="1"/>
    <col min="10" max="10" width="10.75390625" style="0" customWidth="1"/>
    <col min="11" max="11" width="10.125" style="0" customWidth="1"/>
    <col min="12" max="12" width="12.125" style="0" customWidth="1"/>
    <col min="13" max="13" width="9.375" style="0" customWidth="1"/>
    <col min="14" max="14" width="9.625" style="0" customWidth="1"/>
  </cols>
  <sheetData>
    <row r="2" spans="1:14" ht="15.75">
      <c r="A2" s="21"/>
      <c r="B2" s="21"/>
      <c r="C2" s="21"/>
      <c r="D2" s="1" t="s">
        <v>107</v>
      </c>
      <c r="E2" s="1"/>
      <c r="F2" s="1"/>
      <c r="G2" s="1"/>
      <c r="H2" s="1"/>
      <c r="I2" s="1"/>
      <c r="J2" s="1"/>
      <c r="K2" s="1"/>
      <c r="L2" s="21"/>
      <c r="M2" s="21"/>
      <c r="N2" s="21"/>
    </row>
    <row r="3" spans="1:14" ht="15">
      <c r="A3" s="163" t="s">
        <v>59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</row>
    <row r="4" spans="1:14" ht="12.75">
      <c r="A4" s="149" t="s">
        <v>2</v>
      </c>
      <c r="B4" s="151" t="s">
        <v>3</v>
      </c>
      <c r="C4" s="154" t="s">
        <v>87</v>
      </c>
      <c r="D4" s="172"/>
      <c r="E4" s="169"/>
      <c r="F4" s="164" t="s">
        <v>70</v>
      </c>
      <c r="G4" s="165"/>
      <c r="H4" s="164" t="s">
        <v>86</v>
      </c>
      <c r="I4" s="168"/>
      <c r="J4" s="169"/>
      <c r="K4" s="164" t="s">
        <v>84</v>
      </c>
      <c r="L4" s="165"/>
      <c r="M4" s="164" t="s">
        <v>85</v>
      </c>
      <c r="N4" s="165"/>
    </row>
    <row r="5" spans="1:14" ht="31.5" customHeight="1">
      <c r="A5" s="131"/>
      <c r="B5" s="152"/>
      <c r="C5" s="173"/>
      <c r="D5" s="174"/>
      <c r="E5" s="175"/>
      <c r="F5" s="166"/>
      <c r="G5" s="167"/>
      <c r="H5" s="166"/>
      <c r="I5" s="170"/>
      <c r="J5" s="171"/>
      <c r="K5" s="166"/>
      <c r="L5" s="167"/>
      <c r="M5" s="166"/>
      <c r="N5" s="167"/>
    </row>
    <row r="6" spans="1:14" ht="30">
      <c r="A6" s="150"/>
      <c r="B6" s="153"/>
      <c r="C6" s="4">
        <v>2010</v>
      </c>
      <c r="D6" s="20">
        <v>2011</v>
      </c>
      <c r="E6" s="102" t="s">
        <v>98</v>
      </c>
      <c r="F6" s="4">
        <v>2010</v>
      </c>
      <c r="G6" s="20">
        <v>2011</v>
      </c>
      <c r="H6" s="4">
        <v>2010</v>
      </c>
      <c r="I6" s="20">
        <v>2011</v>
      </c>
      <c r="J6" s="102" t="s">
        <v>98</v>
      </c>
      <c r="K6" s="23" t="s">
        <v>1</v>
      </c>
      <c r="L6" s="25" t="s">
        <v>35</v>
      </c>
      <c r="M6" s="39" t="s">
        <v>47</v>
      </c>
      <c r="N6" s="52" t="s">
        <v>48</v>
      </c>
    </row>
    <row r="7" spans="1:14" ht="16.5" customHeight="1">
      <c r="A7" s="32">
        <v>1</v>
      </c>
      <c r="B7" s="23" t="s">
        <v>64</v>
      </c>
      <c r="C7" s="32">
        <v>321</v>
      </c>
      <c r="D7" s="32">
        <v>327</v>
      </c>
      <c r="E7" s="32">
        <f>D7-C7</f>
        <v>6</v>
      </c>
      <c r="F7" s="32">
        <v>116</v>
      </c>
      <c r="G7" s="32">
        <v>187</v>
      </c>
      <c r="H7" s="79">
        <f>F7*100/27</f>
        <v>429.6296296296296</v>
      </c>
      <c r="I7" s="79">
        <f>G7*100/20</f>
        <v>935</v>
      </c>
      <c r="J7" s="78">
        <f>I7-H7</f>
        <v>505.3703703703704</v>
      </c>
      <c r="K7" s="32">
        <v>41</v>
      </c>
      <c r="L7" s="32">
        <v>21</v>
      </c>
      <c r="M7" s="100">
        <f>G7/L7</f>
        <v>8.904761904761905</v>
      </c>
      <c r="N7" s="100">
        <f>(D7-G7)/(K7-L7)</f>
        <v>7</v>
      </c>
    </row>
    <row r="8" spans="1:15" ht="16.5" customHeight="1">
      <c r="A8" s="32">
        <v>2</v>
      </c>
      <c r="B8" s="32" t="s">
        <v>65</v>
      </c>
      <c r="C8" s="32">
        <v>366</v>
      </c>
      <c r="D8" s="32">
        <v>210</v>
      </c>
      <c r="E8" s="32">
        <f>D8-C8</f>
        <v>-156</v>
      </c>
      <c r="F8" s="32">
        <v>313</v>
      </c>
      <c r="G8" s="32">
        <v>198</v>
      </c>
      <c r="H8" s="79">
        <f>F8*100/80</f>
        <v>391.25</v>
      </c>
      <c r="I8" s="79">
        <f>G8*100/80</f>
        <v>247.5</v>
      </c>
      <c r="J8" s="78">
        <f>I8-H8</f>
        <v>-143.75</v>
      </c>
      <c r="K8" s="33">
        <v>29</v>
      </c>
      <c r="L8" s="33">
        <v>27</v>
      </c>
      <c r="M8" s="100">
        <f>G8/L8</f>
        <v>7.333333333333333</v>
      </c>
      <c r="N8" s="100">
        <f>(D8-G8)/(K8-L8)</f>
        <v>6</v>
      </c>
      <c r="O8" s="16"/>
    </row>
    <row r="9" spans="1:14" ht="16.5" customHeight="1">
      <c r="A9" s="32">
        <v>3</v>
      </c>
      <c r="B9" s="33" t="s">
        <v>69</v>
      </c>
      <c r="C9" s="32">
        <v>3337</v>
      </c>
      <c r="D9" s="32">
        <v>4972</v>
      </c>
      <c r="E9" s="32">
        <f>D9-C9</f>
        <v>1635</v>
      </c>
      <c r="F9" s="32">
        <v>2376</v>
      </c>
      <c r="G9" s="32">
        <v>3057</v>
      </c>
      <c r="H9" s="79">
        <f>F9*100/200</f>
        <v>1188</v>
      </c>
      <c r="I9" s="79">
        <f>G9*100/226</f>
        <v>1352.654867256637</v>
      </c>
      <c r="J9" s="78">
        <f>I9-H9</f>
        <v>164.6548672566371</v>
      </c>
      <c r="K9" s="33">
        <v>570</v>
      </c>
      <c r="L9" s="33">
        <v>319</v>
      </c>
      <c r="M9" s="100">
        <f>G9/L9</f>
        <v>9.58307210031348</v>
      </c>
      <c r="N9" s="100">
        <f>(D9-G9)/(K9-L9)</f>
        <v>7.629482071713148</v>
      </c>
    </row>
    <row r="10" spans="1:14" ht="16.5" customHeight="1">
      <c r="A10" s="32">
        <v>4</v>
      </c>
      <c r="B10" s="33" t="s">
        <v>91</v>
      </c>
      <c r="C10" s="32"/>
      <c r="D10" s="32">
        <v>15</v>
      </c>
      <c r="E10" s="32"/>
      <c r="F10" s="32"/>
      <c r="G10" s="32">
        <v>15</v>
      </c>
      <c r="H10" s="79"/>
      <c r="I10" s="79">
        <f>G10*100/11</f>
        <v>136.36363636363637</v>
      </c>
      <c r="J10" s="78"/>
      <c r="K10" s="33">
        <v>2</v>
      </c>
      <c r="L10" s="33">
        <v>2</v>
      </c>
      <c r="M10" s="100">
        <f>G10/L10</f>
        <v>7.5</v>
      </c>
      <c r="N10" s="100"/>
    </row>
    <row r="11" spans="1:14" ht="15" customHeight="1">
      <c r="A11" s="21"/>
      <c r="B11" s="32" t="s">
        <v>11</v>
      </c>
      <c r="C11" s="32">
        <f>SUM(C7:C9)</f>
        <v>4024</v>
      </c>
      <c r="D11" s="32">
        <f>SUM(D7:D10)</f>
        <v>5524</v>
      </c>
      <c r="E11" s="32">
        <f>D11-C11</f>
        <v>1500</v>
      </c>
      <c r="F11" s="32">
        <f>SUM(F7:F9)</f>
        <v>2805</v>
      </c>
      <c r="G11" s="32">
        <f>SUM(G7:G10)</f>
        <v>3457</v>
      </c>
      <c r="H11" s="79">
        <f>F11*100/307</f>
        <v>913.6807817589577</v>
      </c>
      <c r="I11" s="79">
        <f>G11*100/337</f>
        <v>1025.8160237388724</v>
      </c>
      <c r="J11" s="78">
        <f>I11-H11</f>
        <v>112.13524197991478</v>
      </c>
      <c r="K11" s="78">
        <f>SUM(K7:K10)</f>
        <v>642</v>
      </c>
      <c r="L11" s="78">
        <f>SUM(L7:L10)</f>
        <v>369</v>
      </c>
      <c r="M11" s="100">
        <f>G11/L11</f>
        <v>9.368563685636856</v>
      </c>
      <c r="N11" s="100">
        <f>(D11-G11)/(K11-L11)</f>
        <v>7.571428571428571</v>
      </c>
    </row>
  </sheetData>
  <mergeCells count="8">
    <mergeCell ref="A3:N3"/>
    <mergeCell ref="F4:G5"/>
    <mergeCell ref="K4:L5"/>
    <mergeCell ref="M4:N5"/>
    <mergeCell ref="B4:B6"/>
    <mergeCell ref="A4:A6"/>
    <mergeCell ref="H4:J5"/>
    <mergeCell ref="C4:E5"/>
  </mergeCells>
  <printOptions/>
  <pageMargins left="0.75" right="0.75" top="1" bottom="1" header="0.5" footer="0.5"/>
  <pageSetup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7"/>
  <sheetViews>
    <sheetView view="pageBreakPreview" zoomScale="65" zoomScaleNormal="75" zoomScaleSheetLayoutView="65" workbookViewId="0" topLeftCell="A1">
      <selection activeCell="D9" sqref="D9"/>
    </sheetView>
  </sheetViews>
  <sheetFormatPr defaultColWidth="9.00390625" defaultRowHeight="12.75"/>
  <cols>
    <col min="1" max="1" width="4.125" style="0" customWidth="1"/>
    <col min="2" max="2" width="28.75390625" style="0" customWidth="1"/>
    <col min="3" max="3" width="10.625" style="0" customWidth="1"/>
    <col min="4" max="4" width="10.25390625" style="0" customWidth="1"/>
    <col min="5" max="5" width="12.125" style="0" customWidth="1"/>
    <col min="6" max="6" width="9.00390625" style="0" customWidth="1"/>
    <col min="7" max="7" width="10.125" style="0" customWidth="1"/>
    <col min="8" max="8" width="11.75390625" style="0" customWidth="1"/>
    <col min="9" max="9" width="10.125" style="0" customWidth="1"/>
    <col min="10" max="10" width="9.375" style="0" customWidth="1"/>
    <col min="11" max="11" width="11.375" style="0" customWidth="1"/>
    <col min="12" max="12" width="9.00390625" style="0" customWidth="1"/>
    <col min="13" max="13" width="10.00390625" style="0" customWidth="1"/>
    <col min="14" max="14" width="13.125" style="0" customWidth="1"/>
  </cols>
  <sheetData>
    <row r="1" spans="1:14" ht="15.75">
      <c r="A1" s="21"/>
      <c r="B1" s="21"/>
      <c r="C1" s="1" t="s">
        <v>106</v>
      </c>
      <c r="D1" s="1"/>
      <c r="E1" s="1"/>
      <c r="F1" s="21"/>
      <c r="G1" s="21"/>
      <c r="H1" s="21"/>
      <c r="I1" s="21"/>
      <c r="J1" s="21"/>
      <c r="K1" s="21"/>
      <c r="L1" s="21"/>
      <c r="M1" s="21"/>
      <c r="N1" s="21"/>
    </row>
    <row r="2" spans="1:14" ht="15">
      <c r="A2" s="149" t="s">
        <v>2</v>
      </c>
      <c r="B2" s="149" t="s">
        <v>3</v>
      </c>
      <c r="C2" s="25" t="s">
        <v>37</v>
      </c>
      <c r="D2" s="26"/>
      <c r="E2" s="28"/>
      <c r="F2" s="50" t="s">
        <v>38</v>
      </c>
      <c r="G2" s="26"/>
      <c r="H2" s="28"/>
      <c r="I2" s="25" t="s">
        <v>39</v>
      </c>
      <c r="J2" s="26"/>
      <c r="K2" s="28"/>
      <c r="L2" s="25" t="s">
        <v>40</v>
      </c>
      <c r="M2" s="26"/>
      <c r="N2" s="28"/>
    </row>
    <row r="3" spans="1:14" ht="15">
      <c r="A3" s="131"/>
      <c r="B3" s="131"/>
      <c r="C3" s="19">
        <v>2010</v>
      </c>
      <c r="D3" s="20">
        <v>2011</v>
      </c>
      <c r="E3" s="10" t="s">
        <v>36</v>
      </c>
      <c r="F3" s="19">
        <v>2010</v>
      </c>
      <c r="G3" s="20">
        <v>2011</v>
      </c>
      <c r="H3" s="10" t="s">
        <v>36</v>
      </c>
      <c r="I3" s="19">
        <v>2010</v>
      </c>
      <c r="J3" s="20">
        <v>2011</v>
      </c>
      <c r="K3" s="10" t="s">
        <v>36</v>
      </c>
      <c r="L3" s="19">
        <v>2010</v>
      </c>
      <c r="M3" s="20">
        <v>2011</v>
      </c>
      <c r="N3" s="10" t="s">
        <v>36</v>
      </c>
    </row>
    <row r="4" spans="1:14" ht="15">
      <c r="A4" s="150"/>
      <c r="B4" s="150"/>
      <c r="C4" s="30"/>
      <c r="D4" s="30"/>
      <c r="E4" s="46" t="s">
        <v>97</v>
      </c>
      <c r="F4" s="30"/>
      <c r="G4" s="30"/>
      <c r="H4" s="46" t="s">
        <v>97</v>
      </c>
      <c r="I4" s="30"/>
      <c r="J4" s="30"/>
      <c r="K4" s="46" t="s">
        <v>97</v>
      </c>
      <c r="L4" s="30"/>
      <c r="M4" s="30"/>
      <c r="N4" s="46" t="s">
        <v>97</v>
      </c>
    </row>
    <row r="5" spans="1:14" ht="16.5" customHeight="1">
      <c r="A5" s="32">
        <v>1</v>
      </c>
      <c r="B5" s="32" t="s">
        <v>61</v>
      </c>
      <c r="C5" s="13">
        <v>111</v>
      </c>
      <c r="D5" s="13">
        <v>98</v>
      </c>
      <c r="E5" s="17">
        <f aca="true" t="shared" si="0" ref="E5:E14">D5-C5</f>
        <v>-13</v>
      </c>
      <c r="F5" s="13">
        <v>20</v>
      </c>
      <c r="G5" s="13">
        <v>6</v>
      </c>
      <c r="H5" s="17">
        <f aca="true" t="shared" si="1" ref="H5:H14">G5-F5</f>
        <v>-14</v>
      </c>
      <c r="I5" s="123"/>
      <c r="J5" s="13"/>
      <c r="K5" s="13"/>
      <c r="L5" s="123"/>
      <c r="M5" s="13"/>
      <c r="N5" s="13"/>
    </row>
    <row r="6" spans="1:14" ht="16.5" customHeight="1">
      <c r="A6" s="32">
        <v>2</v>
      </c>
      <c r="B6" s="32" t="s">
        <v>62</v>
      </c>
      <c r="C6" s="13">
        <v>96</v>
      </c>
      <c r="D6" s="13">
        <v>90</v>
      </c>
      <c r="E6" s="17">
        <f t="shared" si="0"/>
        <v>-6</v>
      </c>
      <c r="F6" s="13"/>
      <c r="G6" s="13">
        <v>9</v>
      </c>
      <c r="H6" s="17">
        <f t="shared" si="1"/>
        <v>9</v>
      </c>
      <c r="I6" s="123"/>
      <c r="J6" s="13"/>
      <c r="K6" s="13"/>
      <c r="L6" s="123"/>
      <c r="M6" s="13"/>
      <c r="N6" s="13"/>
    </row>
    <row r="7" spans="1:14" ht="16.5" customHeight="1">
      <c r="A7" s="32">
        <v>3</v>
      </c>
      <c r="B7" s="32" t="s">
        <v>63</v>
      </c>
      <c r="C7" s="13">
        <v>23</v>
      </c>
      <c r="D7" s="13">
        <v>28</v>
      </c>
      <c r="E7" s="17">
        <f t="shared" si="0"/>
        <v>5</v>
      </c>
      <c r="F7" s="13">
        <v>2</v>
      </c>
      <c r="G7" s="13">
        <v>2</v>
      </c>
      <c r="H7" s="17">
        <f t="shared" si="1"/>
        <v>0</v>
      </c>
      <c r="I7" s="123"/>
      <c r="J7" s="13"/>
      <c r="K7" s="13"/>
      <c r="L7" s="123"/>
      <c r="M7" s="13"/>
      <c r="N7" s="13"/>
    </row>
    <row r="8" spans="1:14" ht="16.5" customHeight="1">
      <c r="A8" s="32">
        <v>4</v>
      </c>
      <c r="B8" s="23" t="s">
        <v>64</v>
      </c>
      <c r="C8" s="13">
        <v>174</v>
      </c>
      <c r="D8" s="13">
        <v>163</v>
      </c>
      <c r="E8" s="17">
        <f t="shared" si="0"/>
        <v>-11</v>
      </c>
      <c r="F8" s="13">
        <v>14</v>
      </c>
      <c r="G8" s="13">
        <v>12</v>
      </c>
      <c r="H8" s="17">
        <f t="shared" si="1"/>
        <v>-2</v>
      </c>
      <c r="I8" s="123"/>
      <c r="J8" s="13">
        <v>43</v>
      </c>
      <c r="K8" s="13">
        <f>J8-I8</f>
        <v>43</v>
      </c>
      <c r="L8" s="123"/>
      <c r="M8" s="13">
        <v>18</v>
      </c>
      <c r="N8" s="13">
        <f>M8-L8</f>
        <v>18</v>
      </c>
    </row>
    <row r="9" spans="1:14" ht="16.5" customHeight="1">
      <c r="A9" s="32">
        <v>5</v>
      </c>
      <c r="B9" s="32" t="s">
        <v>65</v>
      </c>
      <c r="C9" s="13">
        <v>165</v>
      </c>
      <c r="D9" s="13">
        <v>123</v>
      </c>
      <c r="E9" s="17">
        <f t="shared" si="0"/>
        <v>-42</v>
      </c>
      <c r="F9" s="13">
        <v>5</v>
      </c>
      <c r="G9" s="13"/>
      <c r="H9" s="17">
        <f t="shared" si="1"/>
        <v>-5</v>
      </c>
      <c r="I9" s="13">
        <v>126</v>
      </c>
      <c r="J9" s="13">
        <v>53</v>
      </c>
      <c r="K9" s="13">
        <f>J9-I9</f>
        <v>-73</v>
      </c>
      <c r="L9" s="13">
        <v>8</v>
      </c>
      <c r="M9" s="13">
        <v>3</v>
      </c>
      <c r="N9" s="13">
        <f>M9-L9</f>
        <v>-5</v>
      </c>
    </row>
    <row r="10" spans="1:14" ht="16.5" customHeight="1">
      <c r="A10" s="32">
        <v>6</v>
      </c>
      <c r="B10" s="33" t="s">
        <v>81</v>
      </c>
      <c r="C10" s="13">
        <v>53</v>
      </c>
      <c r="D10" s="13">
        <v>28</v>
      </c>
      <c r="E10" s="17">
        <f t="shared" si="0"/>
        <v>-25</v>
      </c>
      <c r="F10" s="13">
        <v>6</v>
      </c>
      <c r="G10" s="13">
        <v>2</v>
      </c>
      <c r="H10" s="17">
        <f t="shared" si="1"/>
        <v>-4</v>
      </c>
      <c r="I10" s="13"/>
      <c r="J10" s="13"/>
      <c r="K10" s="13"/>
      <c r="L10" s="13"/>
      <c r="M10" s="13"/>
      <c r="N10" s="13"/>
    </row>
    <row r="11" spans="1:14" ht="16.5" customHeight="1">
      <c r="A11" s="32">
        <v>7</v>
      </c>
      <c r="B11" s="33" t="s">
        <v>66</v>
      </c>
      <c r="C11" s="13">
        <v>32</v>
      </c>
      <c r="D11" s="13">
        <v>51</v>
      </c>
      <c r="E11" s="17">
        <f t="shared" si="0"/>
        <v>19</v>
      </c>
      <c r="F11" s="13"/>
      <c r="G11" s="13">
        <v>2</v>
      </c>
      <c r="H11" s="17">
        <f t="shared" si="1"/>
        <v>2</v>
      </c>
      <c r="I11" s="13"/>
      <c r="J11" s="13"/>
      <c r="K11" s="13"/>
      <c r="L11" s="13"/>
      <c r="M11" s="13"/>
      <c r="N11" s="13"/>
    </row>
    <row r="12" spans="1:14" ht="16.5" customHeight="1">
      <c r="A12" s="32">
        <v>8</v>
      </c>
      <c r="B12" s="33" t="s">
        <v>80</v>
      </c>
      <c r="C12" s="13">
        <v>81</v>
      </c>
      <c r="D12" s="13">
        <v>76</v>
      </c>
      <c r="E12" s="17">
        <f t="shared" si="0"/>
        <v>-5</v>
      </c>
      <c r="F12" s="13">
        <v>20</v>
      </c>
      <c r="G12" s="13">
        <v>3</v>
      </c>
      <c r="H12" s="17">
        <f t="shared" si="1"/>
        <v>-17</v>
      </c>
      <c r="I12" s="13"/>
      <c r="J12" s="13"/>
      <c r="K12" s="13"/>
      <c r="L12" s="13"/>
      <c r="M12" s="13"/>
      <c r="N12" s="13"/>
    </row>
    <row r="13" spans="1:14" ht="16.5" customHeight="1">
      <c r="A13" s="32">
        <v>9</v>
      </c>
      <c r="B13" s="33" t="s">
        <v>67</v>
      </c>
      <c r="C13" s="13">
        <v>62</v>
      </c>
      <c r="D13" s="13">
        <v>55</v>
      </c>
      <c r="E13" s="17">
        <f t="shared" si="0"/>
        <v>-7</v>
      </c>
      <c r="F13" s="13">
        <v>23</v>
      </c>
      <c r="G13" s="13">
        <v>15</v>
      </c>
      <c r="H13" s="17">
        <f t="shared" si="1"/>
        <v>-8</v>
      </c>
      <c r="I13" s="13"/>
      <c r="J13" s="13"/>
      <c r="K13" s="13"/>
      <c r="L13" s="13"/>
      <c r="M13" s="13"/>
      <c r="N13" s="13"/>
    </row>
    <row r="14" spans="1:14" ht="16.5" customHeight="1">
      <c r="A14" s="32">
        <v>10</v>
      </c>
      <c r="B14" s="33" t="s">
        <v>68</v>
      </c>
      <c r="C14" s="13">
        <v>30</v>
      </c>
      <c r="D14" s="13">
        <v>34</v>
      </c>
      <c r="E14" s="17">
        <f t="shared" si="0"/>
        <v>4</v>
      </c>
      <c r="F14" s="13"/>
      <c r="G14" s="13">
        <v>3</v>
      </c>
      <c r="H14" s="17">
        <f t="shared" si="1"/>
        <v>3</v>
      </c>
      <c r="I14" s="13"/>
      <c r="J14" s="13"/>
      <c r="K14" s="13"/>
      <c r="L14" s="13"/>
      <c r="M14" s="13"/>
      <c r="N14" s="13"/>
    </row>
    <row r="15" spans="1:14" ht="16.5" customHeight="1">
      <c r="A15" s="32">
        <v>11</v>
      </c>
      <c r="B15" s="33" t="s">
        <v>69</v>
      </c>
      <c r="C15" s="13"/>
      <c r="D15" s="17"/>
      <c r="E15" s="17"/>
      <c r="F15" s="17"/>
      <c r="G15" s="17"/>
      <c r="H15" s="17"/>
      <c r="I15" s="13">
        <v>945</v>
      </c>
      <c r="J15" s="13">
        <v>894</v>
      </c>
      <c r="K15" s="13">
        <f>J15-I15</f>
        <v>-51</v>
      </c>
      <c r="L15" s="13">
        <v>390</v>
      </c>
      <c r="M15" s="13">
        <v>353</v>
      </c>
      <c r="N15" s="13">
        <f>M15-L15</f>
        <v>-37</v>
      </c>
    </row>
    <row r="16" spans="1:14" ht="16.5" customHeight="1">
      <c r="A16" s="32">
        <v>12</v>
      </c>
      <c r="B16" s="33" t="s">
        <v>91</v>
      </c>
      <c r="C16" s="13"/>
      <c r="D16" s="17"/>
      <c r="E16" s="17"/>
      <c r="F16" s="17"/>
      <c r="G16" s="17"/>
      <c r="H16" s="17"/>
      <c r="I16" s="13"/>
      <c r="J16" s="13"/>
      <c r="K16" s="13"/>
      <c r="L16" s="13"/>
      <c r="M16" s="13"/>
      <c r="N16" s="13"/>
    </row>
    <row r="17" spans="1:14" ht="21" customHeight="1">
      <c r="A17" s="138" t="s">
        <v>11</v>
      </c>
      <c r="B17" s="139"/>
      <c r="C17" s="13">
        <f>SUM(C5:C14)</f>
        <v>827</v>
      </c>
      <c r="D17" s="13">
        <f>SUM(D5:D16)</f>
        <v>746</v>
      </c>
      <c r="E17" s="13">
        <f>D17-C17</f>
        <v>-81</v>
      </c>
      <c r="F17" s="13">
        <f>SUM(F5:F15)</f>
        <v>90</v>
      </c>
      <c r="G17" s="13">
        <f>SUM(G5:G16)</f>
        <v>54</v>
      </c>
      <c r="H17" s="13">
        <f>G17-F17</f>
        <v>-36</v>
      </c>
      <c r="I17" s="13">
        <f>SUM(I5:I15)</f>
        <v>1071</v>
      </c>
      <c r="J17" s="13">
        <f>SUM(J5:J16)</f>
        <v>990</v>
      </c>
      <c r="K17" s="13">
        <f>J17-I17</f>
        <v>-81</v>
      </c>
      <c r="L17" s="13">
        <f>SUM(L8:L15)</f>
        <v>398</v>
      </c>
      <c r="M17" s="13">
        <f>SUM(M5:M16)</f>
        <v>374</v>
      </c>
      <c r="N17" s="13">
        <f>M17-L17</f>
        <v>-24</v>
      </c>
    </row>
  </sheetData>
  <mergeCells count="3">
    <mergeCell ref="B2:B4"/>
    <mergeCell ref="A2:A4"/>
    <mergeCell ref="A17:B17"/>
  </mergeCells>
  <printOptions/>
  <pageMargins left="0.75" right="0.75" top="1" bottom="1" header="0.5" footer="0.5"/>
  <pageSetup horizontalDpi="300" verticalDpi="300"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7"/>
  <sheetViews>
    <sheetView view="pageBreakPreview" zoomScale="65" zoomScaleNormal="75" zoomScaleSheetLayoutView="65" workbookViewId="0" topLeftCell="A1">
      <selection activeCell="F12" sqref="F12"/>
    </sheetView>
  </sheetViews>
  <sheetFormatPr defaultColWidth="9.00390625" defaultRowHeight="12.75"/>
  <cols>
    <col min="1" max="1" width="4.25390625" style="0" customWidth="1"/>
    <col min="2" max="2" width="27.25390625" style="0" customWidth="1"/>
    <col min="3" max="3" width="8.875" style="0" customWidth="1"/>
    <col min="5" max="5" width="10.875" style="0" customWidth="1"/>
    <col min="6" max="6" width="9.25390625" style="0" customWidth="1"/>
    <col min="8" max="8" width="9.625" style="0" customWidth="1"/>
    <col min="9" max="9" width="9.375" style="0" customWidth="1"/>
    <col min="10" max="10" width="9.625" style="0" customWidth="1"/>
    <col min="11" max="11" width="10.125" style="0" customWidth="1"/>
    <col min="13" max="13" width="9.375" style="0" customWidth="1"/>
    <col min="14" max="14" width="10.375" style="0" customWidth="1"/>
  </cols>
  <sheetData>
    <row r="1" spans="1:14" ht="15.75">
      <c r="A1" s="176" t="s">
        <v>105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</row>
    <row r="2" spans="1:14" ht="15">
      <c r="A2" s="163" t="s">
        <v>88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</row>
    <row r="3" spans="1:14" ht="1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ht="15">
      <c r="A4" s="143" t="s">
        <v>2</v>
      </c>
      <c r="B4" s="143" t="s">
        <v>3</v>
      </c>
      <c r="C4" s="25" t="s">
        <v>27</v>
      </c>
      <c r="D4" s="26"/>
      <c r="E4" s="28"/>
      <c r="F4" s="6" t="s">
        <v>28</v>
      </c>
      <c r="G4" s="8"/>
      <c r="H4" s="24" t="s">
        <v>30</v>
      </c>
      <c r="I4" s="35" t="s">
        <v>31</v>
      </c>
      <c r="J4" s="22"/>
      <c r="K4" s="24" t="s">
        <v>30</v>
      </c>
      <c r="L4" s="51" t="s">
        <v>33</v>
      </c>
      <c r="M4" s="22"/>
      <c r="N4" s="24" t="s">
        <v>30</v>
      </c>
    </row>
    <row r="5" spans="1:14" ht="15">
      <c r="A5" s="178"/>
      <c r="B5" s="178"/>
      <c r="C5" s="19">
        <v>2010</v>
      </c>
      <c r="D5" s="20">
        <v>2011</v>
      </c>
      <c r="E5" s="20" t="s">
        <v>94</v>
      </c>
      <c r="F5" s="19">
        <v>2010</v>
      </c>
      <c r="G5" s="20">
        <v>2011</v>
      </c>
      <c r="H5" s="45" t="s">
        <v>29</v>
      </c>
      <c r="I5" s="31" t="s">
        <v>32</v>
      </c>
      <c r="J5" s="29"/>
      <c r="K5" s="45" t="s">
        <v>29</v>
      </c>
      <c r="L5" s="53" t="s">
        <v>34</v>
      </c>
      <c r="M5" s="29"/>
      <c r="N5" s="45" t="s">
        <v>29</v>
      </c>
    </row>
    <row r="6" spans="1:14" ht="15">
      <c r="A6" s="178"/>
      <c r="B6" s="178"/>
      <c r="C6" s="41"/>
      <c r="D6" s="12"/>
      <c r="E6" s="12" t="s">
        <v>95</v>
      </c>
      <c r="F6" s="30"/>
      <c r="G6" s="29"/>
      <c r="H6" s="30" t="s">
        <v>96</v>
      </c>
      <c r="I6" s="19">
        <v>2010</v>
      </c>
      <c r="J6" s="20">
        <v>2011</v>
      </c>
      <c r="K6" s="30" t="s">
        <v>96</v>
      </c>
      <c r="L6" s="19">
        <v>2010</v>
      </c>
      <c r="M6" s="20">
        <v>2011</v>
      </c>
      <c r="N6" s="30" t="s">
        <v>96</v>
      </c>
    </row>
    <row r="7" spans="1:14" ht="16.5" customHeight="1">
      <c r="A7" s="32">
        <v>1</v>
      </c>
      <c r="B7" s="32" t="s">
        <v>61</v>
      </c>
      <c r="C7" s="37">
        <v>99</v>
      </c>
      <c r="D7" s="37">
        <v>88</v>
      </c>
      <c r="E7" s="37">
        <f aca="true" t="shared" si="0" ref="E7:E17">D7*100/C7</f>
        <v>88.88888888888889</v>
      </c>
      <c r="F7" s="37">
        <v>99</v>
      </c>
      <c r="G7" s="37">
        <v>80</v>
      </c>
      <c r="H7" s="37">
        <f aca="true" t="shared" si="1" ref="H7:H17">G7-F7</f>
        <v>-19</v>
      </c>
      <c r="I7" s="37">
        <f>F7*100/180</f>
        <v>55</v>
      </c>
      <c r="J7" s="37">
        <f>G7*100/180</f>
        <v>44.44444444444444</v>
      </c>
      <c r="K7" s="37">
        <f aca="true" t="shared" si="2" ref="K7:K17">J7-I7</f>
        <v>-10.555555555555557</v>
      </c>
      <c r="L7" s="37">
        <f>(C7-F7)*100/180</f>
        <v>0</v>
      </c>
      <c r="M7" s="37">
        <f>(D7-G7)*100/180</f>
        <v>4.444444444444445</v>
      </c>
      <c r="N7" s="37">
        <f>M7-L7</f>
        <v>4.444444444444445</v>
      </c>
    </row>
    <row r="8" spans="1:14" ht="16.5" customHeight="1">
      <c r="A8" s="32">
        <v>2</v>
      </c>
      <c r="B8" s="32" t="s">
        <v>62</v>
      </c>
      <c r="C8" s="37">
        <v>57</v>
      </c>
      <c r="D8" s="37">
        <v>84</v>
      </c>
      <c r="E8" s="37">
        <f t="shared" si="0"/>
        <v>147.3684210526316</v>
      </c>
      <c r="F8" s="37">
        <v>56</v>
      </c>
      <c r="G8" s="37">
        <v>75</v>
      </c>
      <c r="H8" s="37">
        <f t="shared" si="1"/>
        <v>19</v>
      </c>
      <c r="I8" s="37">
        <f>F8*100/105</f>
        <v>53.333333333333336</v>
      </c>
      <c r="J8" s="37">
        <f>G8*100/105</f>
        <v>71.42857142857143</v>
      </c>
      <c r="K8" s="37">
        <f>J8-I8</f>
        <v>18.095238095238095</v>
      </c>
      <c r="L8" s="37">
        <f>(C8-F8)*100/105</f>
        <v>0.9523809523809523</v>
      </c>
      <c r="M8" s="37">
        <f>(D8-G8)*100/105</f>
        <v>8.571428571428571</v>
      </c>
      <c r="N8" s="37">
        <f>M8-L8</f>
        <v>7.619047619047619</v>
      </c>
    </row>
    <row r="9" spans="1:14" ht="16.5" customHeight="1">
      <c r="A9" s="32">
        <v>3</v>
      </c>
      <c r="B9" s="32" t="s">
        <v>63</v>
      </c>
      <c r="C9" s="37">
        <v>23</v>
      </c>
      <c r="D9" s="37">
        <v>29</v>
      </c>
      <c r="E9" s="37">
        <f t="shared" si="0"/>
        <v>126.08695652173913</v>
      </c>
      <c r="F9" s="37">
        <v>23</v>
      </c>
      <c r="G9" s="37">
        <v>29</v>
      </c>
      <c r="H9" s="37">
        <f t="shared" si="1"/>
        <v>6</v>
      </c>
      <c r="I9" s="37">
        <f>F9*100/54</f>
        <v>42.592592592592595</v>
      </c>
      <c r="J9" s="37">
        <f>G9*100/60</f>
        <v>48.333333333333336</v>
      </c>
      <c r="K9" s="37">
        <f>J9-I9</f>
        <v>5.7407407407407405</v>
      </c>
      <c r="L9" s="37">
        <f>(C9-F9)*100/54</f>
        <v>0</v>
      </c>
      <c r="M9" s="37">
        <f>(D9-G9)*100/60</f>
        <v>0</v>
      </c>
      <c r="N9" s="37">
        <f>M9-L9</f>
        <v>0</v>
      </c>
    </row>
    <row r="10" spans="1:14" ht="16.5" customHeight="1">
      <c r="A10" s="32">
        <v>4</v>
      </c>
      <c r="B10" s="23" t="s">
        <v>64</v>
      </c>
      <c r="C10" s="37">
        <v>56</v>
      </c>
      <c r="D10" s="37">
        <v>93</v>
      </c>
      <c r="E10" s="37">
        <f t="shared" si="0"/>
        <v>166.07142857142858</v>
      </c>
      <c r="F10" s="37">
        <v>52</v>
      </c>
      <c r="G10" s="37">
        <v>81</v>
      </c>
      <c r="H10" s="37">
        <f t="shared" si="1"/>
        <v>29</v>
      </c>
      <c r="I10" s="37">
        <f>F10*100/304</f>
        <v>17.105263157894736</v>
      </c>
      <c r="J10" s="37">
        <f>G10*100/308</f>
        <v>26.2987012987013</v>
      </c>
      <c r="K10" s="37">
        <f t="shared" si="2"/>
        <v>9.193438140806563</v>
      </c>
      <c r="L10" s="37">
        <f>(C10-F10)*100/304</f>
        <v>1.3157894736842106</v>
      </c>
      <c r="M10" s="37">
        <f>(D10-G10)*100/308</f>
        <v>3.896103896103896</v>
      </c>
      <c r="N10" s="37">
        <f aca="true" t="shared" si="3" ref="N10:N17">M10-L10</f>
        <v>2.5803144224196854</v>
      </c>
    </row>
    <row r="11" spans="1:14" ht="16.5" customHeight="1">
      <c r="A11" s="32">
        <v>5</v>
      </c>
      <c r="B11" s="32" t="s">
        <v>65</v>
      </c>
      <c r="C11" s="37">
        <v>89</v>
      </c>
      <c r="D11" s="37">
        <v>56</v>
      </c>
      <c r="E11" s="37">
        <f t="shared" si="0"/>
        <v>62.92134831460674</v>
      </c>
      <c r="F11" s="37">
        <v>77</v>
      </c>
      <c r="G11" s="37">
        <v>54</v>
      </c>
      <c r="H11" s="37">
        <f t="shared" si="1"/>
        <v>-23</v>
      </c>
      <c r="I11" s="37">
        <f>F11*100/250</f>
        <v>30.8</v>
      </c>
      <c r="J11" s="37">
        <f>G11*100/280</f>
        <v>19.285714285714285</v>
      </c>
      <c r="K11" s="37">
        <f t="shared" si="2"/>
        <v>-11.514285714285716</v>
      </c>
      <c r="L11" s="37">
        <f>(C11-F11)*100/250</f>
        <v>4.8</v>
      </c>
      <c r="M11" s="37">
        <f>(D11-G11)*100/280</f>
        <v>0.7142857142857143</v>
      </c>
      <c r="N11" s="37">
        <f t="shared" si="3"/>
        <v>-4.085714285714285</v>
      </c>
    </row>
    <row r="12" spans="1:14" ht="16.5" customHeight="1">
      <c r="A12" s="32">
        <v>6</v>
      </c>
      <c r="B12" s="33" t="s">
        <v>81</v>
      </c>
      <c r="C12" s="95">
        <v>63</v>
      </c>
      <c r="D12" s="95">
        <v>56</v>
      </c>
      <c r="E12" s="37">
        <f t="shared" si="0"/>
        <v>88.88888888888889</v>
      </c>
      <c r="F12" s="95">
        <v>60</v>
      </c>
      <c r="G12" s="95">
        <v>50</v>
      </c>
      <c r="H12" s="37">
        <f t="shared" si="1"/>
        <v>-10</v>
      </c>
      <c r="I12" s="95">
        <f>F12*100/85</f>
        <v>70.58823529411765</v>
      </c>
      <c r="J12" s="95">
        <f>G12*100/85</f>
        <v>58.8235294117647</v>
      </c>
      <c r="K12" s="37">
        <f t="shared" si="2"/>
        <v>-11.76470588235295</v>
      </c>
      <c r="L12" s="37">
        <f>(C12-F12)*100/85</f>
        <v>3.5294117647058822</v>
      </c>
      <c r="M12" s="37">
        <f>(D12-G12)*100/85</f>
        <v>7.0588235294117645</v>
      </c>
      <c r="N12" s="95">
        <f t="shared" si="3"/>
        <v>3.5294117647058822</v>
      </c>
    </row>
    <row r="13" spans="1:14" ht="16.5" customHeight="1">
      <c r="A13" s="32">
        <v>7</v>
      </c>
      <c r="B13" s="33" t="s">
        <v>66</v>
      </c>
      <c r="C13" s="95">
        <v>39</v>
      </c>
      <c r="D13" s="95">
        <v>62</v>
      </c>
      <c r="E13" s="37">
        <f t="shared" si="0"/>
        <v>158.97435897435898</v>
      </c>
      <c r="F13" s="95">
        <v>31</v>
      </c>
      <c r="G13" s="95">
        <v>56</v>
      </c>
      <c r="H13" s="37">
        <f t="shared" si="1"/>
        <v>25</v>
      </c>
      <c r="I13" s="95">
        <f>F13*100/52</f>
        <v>59.61538461538461</v>
      </c>
      <c r="J13" s="95">
        <f>G13*100/60</f>
        <v>93.33333333333333</v>
      </c>
      <c r="K13" s="37">
        <f t="shared" si="2"/>
        <v>33.717948717948715</v>
      </c>
      <c r="L13" s="37">
        <f>(C13-F13)*100/52</f>
        <v>15.384615384615385</v>
      </c>
      <c r="M13" s="37">
        <f>(D13-G13)*100/60</f>
        <v>10</v>
      </c>
      <c r="N13" s="95">
        <f t="shared" si="3"/>
        <v>-5.384615384615385</v>
      </c>
    </row>
    <row r="14" spans="1:14" ht="16.5" customHeight="1">
      <c r="A14" s="32">
        <v>8</v>
      </c>
      <c r="B14" s="33" t="s">
        <v>80</v>
      </c>
      <c r="C14" s="95">
        <v>56</v>
      </c>
      <c r="D14" s="95">
        <v>67</v>
      </c>
      <c r="E14" s="37">
        <f t="shared" si="0"/>
        <v>119.64285714285714</v>
      </c>
      <c r="F14" s="95">
        <v>49</v>
      </c>
      <c r="G14" s="95">
        <v>57</v>
      </c>
      <c r="H14" s="37">
        <f t="shared" si="1"/>
        <v>8</v>
      </c>
      <c r="I14" s="95">
        <f>F14*100/60</f>
        <v>81.66666666666667</v>
      </c>
      <c r="J14" s="95">
        <f>G14*100/78</f>
        <v>73.07692307692308</v>
      </c>
      <c r="K14" s="37">
        <f t="shared" si="2"/>
        <v>-8.589743589743591</v>
      </c>
      <c r="L14" s="37">
        <f>(C14-F14)*100/60</f>
        <v>11.666666666666666</v>
      </c>
      <c r="M14" s="37">
        <f>(D14-G14)*100/78</f>
        <v>12.820512820512821</v>
      </c>
      <c r="N14" s="95">
        <f t="shared" si="3"/>
        <v>1.153846153846155</v>
      </c>
    </row>
    <row r="15" spans="1:14" ht="16.5" customHeight="1">
      <c r="A15" s="32">
        <v>9</v>
      </c>
      <c r="B15" s="33" t="s">
        <v>67</v>
      </c>
      <c r="C15" s="95">
        <v>56</v>
      </c>
      <c r="D15" s="95">
        <v>42</v>
      </c>
      <c r="E15" s="37">
        <f t="shared" si="0"/>
        <v>75</v>
      </c>
      <c r="F15" s="95">
        <v>42</v>
      </c>
      <c r="G15" s="95">
        <v>39</v>
      </c>
      <c r="H15" s="37">
        <f t="shared" si="1"/>
        <v>-3</v>
      </c>
      <c r="I15" s="95">
        <f>F15*100/100</f>
        <v>42</v>
      </c>
      <c r="J15" s="95">
        <f>G15*100/100</f>
        <v>39</v>
      </c>
      <c r="K15" s="37">
        <f t="shared" si="2"/>
        <v>-3</v>
      </c>
      <c r="L15" s="37">
        <f>(C15-F15)*100/100</f>
        <v>14</v>
      </c>
      <c r="M15" s="37">
        <f>(D15-G15)*100/100</f>
        <v>3</v>
      </c>
      <c r="N15" s="95">
        <f t="shared" si="3"/>
        <v>-11</v>
      </c>
    </row>
    <row r="16" spans="1:14" ht="16.5" customHeight="1">
      <c r="A16" s="32">
        <v>10</v>
      </c>
      <c r="B16" s="33" t="s">
        <v>68</v>
      </c>
      <c r="C16" s="95">
        <v>25</v>
      </c>
      <c r="D16" s="95">
        <v>27</v>
      </c>
      <c r="E16" s="37">
        <f t="shared" si="0"/>
        <v>108</v>
      </c>
      <c r="F16" s="95">
        <v>25</v>
      </c>
      <c r="G16" s="95">
        <v>27</v>
      </c>
      <c r="H16" s="37">
        <f t="shared" si="1"/>
        <v>2</v>
      </c>
      <c r="I16" s="95">
        <f>F16*100/42</f>
        <v>59.523809523809526</v>
      </c>
      <c r="J16" s="95">
        <f>G16*100/42</f>
        <v>64.28571428571429</v>
      </c>
      <c r="K16" s="37">
        <f t="shared" si="2"/>
        <v>4.761904761904766</v>
      </c>
      <c r="L16" s="37">
        <f>(C16-F16)*100/42</f>
        <v>0</v>
      </c>
      <c r="M16" s="37">
        <f>(D16-G16)*100/42</f>
        <v>0</v>
      </c>
      <c r="N16" s="95">
        <f t="shared" si="3"/>
        <v>0</v>
      </c>
    </row>
    <row r="17" spans="1:14" ht="16.5" customHeight="1">
      <c r="A17" s="138" t="s">
        <v>79</v>
      </c>
      <c r="B17" s="177"/>
      <c r="C17" s="37">
        <f>SUM(C7:C16)</f>
        <v>563</v>
      </c>
      <c r="D17" s="4">
        <f>SUM(D7:D16)</f>
        <v>604</v>
      </c>
      <c r="E17" s="37">
        <f t="shared" si="0"/>
        <v>107.28241563055062</v>
      </c>
      <c r="F17" s="4">
        <f>SUM(F7:F16)</f>
        <v>514</v>
      </c>
      <c r="G17" s="4">
        <f>SUM(G7:G16)</f>
        <v>548</v>
      </c>
      <c r="H17" s="37">
        <f t="shared" si="1"/>
        <v>34</v>
      </c>
      <c r="I17" s="37">
        <f>F17*100/1232</f>
        <v>41.72077922077922</v>
      </c>
      <c r="J17" s="37">
        <f>G17*100/1298</f>
        <v>42.21879815100154</v>
      </c>
      <c r="K17" s="37">
        <f t="shared" si="2"/>
        <v>0.49801893022232235</v>
      </c>
      <c r="L17" s="37">
        <f>(C17-F17)*100/1232</f>
        <v>3.977272727272727</v>
      </c>
      <c r="M17" s="37">
        <f>(D17-G17)*100/1298</f>
        <v>4.314329738058552</v>
      </c>
      <c r="N17" s="37">
        <f t="shared" si="3"/>
        <v>0.33705701078582484</v>
      </c>
    </row>
  </sheetData>
  <mergeCells count="5">
    <mergeCell ref="A2:N2"/>
    <mergeCell ref="A1:N1"/>
    <mergeCell ref="A17:B17"/>
    <mergeCell ref="B4:B6"/>
    <mergeCell ref="A4:A6"/>
  </mergeCells>
  <printOptions/>
  <pageMargins left="0.75" right="0.75" top="1" bottom="1" header="0.5" footer="0.5"/>
  <pageSetup horizontalDpi="300" verticalDpi="3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6"/>
  <sheetViews>
    <sheetView view="pageBreakPreview" zoomScale="70" zoomScaleNormal="75" zoomScaleSheetLayoutView="70" workbookViewId="0" topLeftCell="A1">
      <selection activeCell="D6" sqref="D6"/>
    </sheetView>
  </sheetViews>
  <sheetFormatPr defaultColWidth="9.00390625" defaultRowHeight="12.75"/>
  <cols>
    <col min="1" max="1" width="3.75390625" style="21" customWidth="1"/>
    <col min="2" max="2" width="29.75390625" style="21" customWidth="1"/>
    <col min="3" max="3" width="12.125" style="21" customWidth="1"/>
    <col min="4" max="4" width="14.625" style="21" customWidth="1"/>
    <col min="5" max="5" width="13.00390625" style="21" customWidth="1"/>
    <col min="6" max="6" width="13.25390625" style="21" customWidth="1"/>
    <col min="7" max="16384" width="9.125" style="21" customWidth="1"/>
  </cols>
  <sheetData>
    <row r="1" spans="1:9" ht="15.75" customHeight="1">
      <c r="A1" s="163" t="s">
        <v>12</v>
      </c>
      <c r="B1" s="163"/>
      <c r="C1" s="163"/>
      <c r="D1" s="163"/>
      <c r="E1" s="163"/>
      <c r="F1" s="163"/>
      <c r="G1" s="80"/>
      <c r="H1" s="80"/>
      <c r="I1" s="80"/>
    </row>
    <row r="2" spans="1:9" ht="15.75">
      <c r="A2" s="179" t="s">
        <v>104</v>
      </c>
      <c r="B2" s="179"/>
      <c r="C2" s="179"/>
      <c r="D2" s="179"/>
      <c r="E2" s="179"/>
      <c r="F2" s="179"/>
      <c r="G2" s="80"/>
      <c r="H2" s="80"/>
      <c r="I2" s="80"/>
    </row>
    <row r="3" spans="1:9" ht="15">
      <c r="A3" s="5" t="s">
        <v>2</v>
      </c>
      <c r="B3" s="5" t="s">
        <v>3</v>
      </c>
      <c r="C3" s="6" t="s">
        <v>45</v>
      </c>
      <c r="D3" s="7"/>
      <c r="E3" s="6" t="s">
        <v>46</v>
      </c>
      <c r="F3" s="8"/>
      <c r="G3" s="80"/>
      <c r="H3" s="80"/>
      <c r="I3" s="80"/>
    </row>
    <row r="4" spans="1:9" ht="15">
      <c r="A4" s="9"/>
      <c r="B4" s="9"/>
      <c r="C4" s="19">
        <v>2010</v>
      </c>
      <c r="D4" s="20">
        <v>2011</v>
      </c>
      <c r="E4" s="19">
        <v>2010</v>
      </c>
      <c r="F4" s="20">
        <v>2011</v>
      </c>
      <c r="G4" s="80"/>
      <c r="H4" s="80"/>
      <c r="I4" s="80"/>
    </row>
    <row r="5" spans="1:9" ht="15">
      <c r="A5" s="4">
        <v>1</v>
      </c>
      <c r="B5" s="23" t="s">
        <v>61</v>
      </c>
      <c r="C5" s="37">
        <f>(молоко!C6*1000)/1875</f>
        <v>92.26666666666667</v>
      </c>
      <c r="D5" s="37">
        <f>(молоко!D6*1000)/1875</f>
        <v>90.88</v>
      </c>
      <c r="E5" s="37">
        <f>(мясо!C7*1000)/1875</f>
        <v>6.56</v>
      </c>
      <c r="F5" s="37">
        <f>(мясо!D7*1000)/1875</f>
        <v>10.56</v>
      </c>
      <c r="H5" s="80"/>
      <c r="I5" s="80"/>
    </row>
    <row r="6" spans="1:9" ht="15">
      <c r="A6" s="4">
        <v>2</v>
      </c>
      <c r="B6" s="23" t="s">
        <v>62</v>
      </c>
      <c r="C6" s="37">
        <f>(молоко!C7*1000)/799</f>
        <v>170.2127659574468</v>
      </c>
      <c r="D6" s="37">
        <f>(молоко!D7*1000)/799</f>
        <v>130.16270337922404</v>
      </c>
      <c r="E6" s="37">
        <f>(мясо!C8*1000)/799</f>
        <v>2.5031289111389237</v>
      </c>
      <c r="F6" s="37">
        <f>(мясо!D8*1000)/799</f>
        <v>10.012515644555695</v>
      </c>
      <c r="H6" s="80"/>
      <c r="I6" s="80"/>
    </row>
    <row r="7" spans="1:9" ht="15">
      <c r="A7" s="4">
        <v>3</v>
      </c>
      <c r="B7" s="23" t="s">
        <v>63</v>
      </c>
      <c r="C7" s="37">
        <f>(молоко!C8*1000)/2025</f>
        <v>38.02469135802469</v>
      </c>
      <c r="D7" s="37">
        <f>(молоко!D8*1000)/2025</f>
        <v>42.96296296296296</v>
      </c>
      <c r="E7" s="37">
        <f>(мясо!C9*1000)/2025</f>
        <v>0.5432098765432098</v>
      </c>
      <c r="F7" s="37">
        <f>(мясо!D9*1000)/2025</f>
        <v>1.4814814814814814</v>
      </c>
      <c r="H7" s="80"/>
      <c r="I7" s="80"/>
    </row>
    <row r="8" spans="1:9" ht="15">
      <c r="A8" s="4">
        <v>4</v>
      </c>
      <c r="B8" s="39" t="s">
        <v>64</v>
      </c>
      <c r="C8" s="37">
        <f>(молоко!C9*1000)/2478</f>
        <v>168.92655367231637</v>
      </c>
      <c r="D8" s="37">
        <f>(молоко!D9*1000)/2478</f>
        <v>130.22598870056498</v>
      </c>
      <c r="E8" s="37">
        <f>(мясо!C10*1000)/2478</f>
        <v>13.27683615819209</v>
      </c>
      <c r="F8" s="37">
        <f>(мясо!D10*1000)/2478</f>
        <v>27.360774818401936</v>
      </c>
      <c r="H8" s="80"/>
      <c r="I8" s="80"/>
    </row>
    <row r="9" spans="1:9" ht="15">
      <c r="A9" s="4">
        <v>5</v>
      </c>
      <c r="B9" s="23" t="s">
        <v>65</v>
      </c>
      <c r="C9" s="37">
        <f>(молоко!C10*1000)/2157</f>
        <v>122.39221140472878</v>
      </c>
      <c r="D9" s="37">
        <f>(молоко!D10*1000)/2157</f>
        <v>80.20398701900788</v>
      </c>
      <c r="E9" s="37">
        <f>(мясо!C11*1000)/2157</f>
        <v>11.86833565136764</v>
      </c>
      <c r="F9" s="37">
        <f>(мясо!D11*1000)/2157</f>
        <v>11.126564673157162</v>
      </c>
      <c r="H9" s="80"/>
      <c r="I9" s="80"/>
    </row>
    <row r="10" spans="1:9" ht="15">
      <c r="A10" s="4">
        <v>6</v>
      </c>
      <c r="B10" s="39" t="s">
        <v>81</v>
      </c>
      <c r="C10" s="37">
        <f>(молоко!C11*1000)/859</f>
        <v>179.51105937136205</v>
      </c>
      <c r="D10" s="37">
        <f>(молоко!D11*1000)/859</f>
        <v>176.9499417927823</v>
      </c>
      <c r="E10" s="37">
        <f>(мясо!C12*1000)/859</f>
        <v>13.853317811408616</v>
      </c>
      <c r="F10" s="37">
        <f>(мясо!D12*1000)/859</f>
        <v>11.525029103608848</v>
      </c>
      <c r="H10" s="80"/>
      <c r="I10" s="80"/>
    </row>
    <row r="11" spans="1:9" ht="15">
      <c r="A11" s="4">
        <v>7</v>
      </c>
      <c r="B11" s="39" t="s">
        <v>66</v>
      </c>
      <c r="C11" s="37">
        <f>(молоко!C12*1000)/1482</f>
        <v>38.8663967611336</v>
      </c>
      <c r="D11" s="37">
        <f>(молоко!D12*1000)/1482</f>
        <v>67.94871794871794</v>
      </c>
      <c r="E11" s="37">
        <f>(мясо!C13*1000)/1482</f>
        <v>5.330634278002699</v>
      </c>
      <c r="F11" s="37">
        <f>(мясо!D13*1000)/1482</f>
        <v>0</v>
      </c>
      <c r="H11" s="80"/>
      <c r="I11" s="80"/>
    </row>
    <row r="12" spans="1:9" ht="15.75" customHeight="1">
      <c r="A12" s="4">
        <v>8</v>
      </c>
      <c r="B12" s="33" t="s">
        <v>80</v>
      </c>
      <c r="C12" s="37">
        <f>(молоко!C13*1000)/1077</f>
        <v>137.51160631383473</v>
      </c>
      <c r="D12" s="37">
        <f>(молоко!D13*1000)/1077</f>
        <v>170.1021355617456</v>
      </c>
      <c r="E12" s="37">
        <f>(мясо!C14*1000)/1077</f>
        <v>5.199628597957289</v>
      </c>
      <c r="F12" s="37">
        <f>(мясо!D14*1000)/1077</f>
        <v>9.656453110492107</v>
      </c>
      <c r="H12" s="80"/>
      <c r="I12" s="80"/>
    </row>
    <row r="13" spans="1:9" ht="15">
      <c r="A13" s="4">
        <v>9</v>
      </c>
      <c r="B13" s="39" t="s">
        <v>67</v>
      </c>
      <c r="C13" s="37">
        <f>(молоко!C14*1000)/1084</f>
        <v>67.80442804428044</v>
      </c>
      <c r="D13" s="37">
        <f>(молоко!D14*1000)/1084</f>
        <v>99.2619926199262</v>
      </c>
      <c r="E13" s="37">
        <f>(мясо!C15*1000)/1084</f>
        <v>8.210332103321033</v>
      </c>
      <c r="F13" s="37">
        <f>(мясо!D15*1000)/1084</f>
        <v>6.549815498154982</v>
      </c>
      <c r="H13" s="80"/>
      <c r="I13" s="80"/>
    </row>
    <row r="14" spans="1:9" ht="15">
      <c r="A14" s="4">
        <v>10</v>
      </c>
      <c r="B14" s="39" t="s">
        <v>68</v>
      </c>
      <c r="C14" s="37">
        <f>(молоко!C15*1000)/674</f>
        <v>95.99406528189911</v>
      </c>
      <c r="D14" s="37">
        <f>(молоко!D15*1000)/674</f>
        <v>93.026706231454</v>
      </c>
      <c r="E14" s="37">
        <f>(мясо!C16*1000)/674</f>
        <v>5.489614243323442</v>
      </c>
      <c r="F14" s="37">
        <f>(мясо!D16*1000)/674</f>
        <v>7.270029673590504</v>
      </c>
      <c r="H14" s="80"/>
      <c r="I14" s="80"/>
    </row>
    <row r="15" spans="1:9" ht="15">
      <c r="A15" s="4">
        <v>11</v>
      </c>
      <c r="B15" s="39" t="s">
        <v>69</v>
      </c>
      <c r="C15" s="37"/>
      <c r="D15" s="37"/>
      <c r="E15" s="37">
        <f>(мясо!C17*1000)/983</f>
        <v>280.7731434384537</v>
      </c>
      <c r="F15" s="37">
        <f>(мясо!D17*1000)/983</f>
        <v>357.0701932858596</v>
      </c>
      <c r="H15" s="80"/>
      <c r="I15" s="80"/>
    </row>
    <row r="16" spans="1:6" ht="15">
      <c r="A16" s="138" t="s">
        <v>11</v>
      </c>
      <c r="B16" s="139"/>
      <c r="C16" s="37">
        <f>(молоко!C16*1000)/22877</f>
        <v>68.48362984657078</v>
      </c>
      <c r="D16" s="37">
        <f>(молоко!D16*1000)/22877</f>
        <v>63.963806443152514</v>
      </c>
      <c r="E16" s="37">
        <f>(мясо!C19*1000)/22877</f>
        <v>16.955894566595273</v>
      </c>
      <c r="F16" s="37">
        <f>(мясо!D19*1000)/22877</f>
        <v>22.20133758797045</v>
      </c>
    </row>
  </sheetData>
  <mergeCells count="3">
    <mergeCell ref="A1:F1"/>
    <mergeCell ref="A2:F2"/>
    <mergeCell ref="A16:B16"/>
  </mergeCells>
  <printOptions/>
  <pageMargins left="0.75" right="0.75" top="1" bottom="1" header="0.5" footer="0.5"/>
  <pageSetup horizontalDpi="300" verticalDpi="300" orientation="portrait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6"/>
  <sheetViews>
    <sheetView view="pageBreakPreview" zoomScale="70" zoomScaleNormal="75" zoomScaleSheetLayoutView="70" workbookViewId="0" topLeftCell="A1">
      <selection activeCell="D4" sqref="D4"/>
    </sheetView>
  </sheetViews>
  <sheetFormatPr defaultColWidth="9.00390625" defaultRowHeight="12.75"/>
  <cols>
    <col min="1" max="1" width="3.375" style="0" customWidth="1"/>
    <col min="2" max="2" width="32.25390625" style="0" customWidth="1"/>
    <col min="3" max="3" width="10.375" style="0" customWidth="1"/>
    <col min="4" max="4" width="11.375" style="0" customWidth="1"/>
    <col min="5" max="5" width="14.25390625" style="0" customWidth="1"/>
    <col min="6" max="6" width="13.875" style="0" customWidth="1"/>
    <col min="7" max="7" width="12.25390625" style="0" customWidth="1"/>
    <col min="8" max="8" width="10.375" style="0" customWidth="1"/>
    <col min="9" max="9" width="10.625" style="0" customWidth="1"/>
    <col min="10" max="10" width="14.75390625" style="0" customWidth="1"/>
    <col min="11" max="11" width="13.625" style="0" customWidth="1"/>
    <col min="12" max="12" width="7.75390625" style="0" customWidth="1"/>
    <col min="13" max="13" width="7.875" style="0" customWidth="1"/>
  </cols>
  <sheetData>
    <row r="1" spans="1:11" ht="18">
      <c r="A1" s="21"/>
      <c r="B1" s="15"/>
      <c r="C1" s="44" t="s">
        <v>103</v>
      </c>
      <c r="D1" s="44"/>
      <c r="E1" s="44"/>
      <c r="F1" s="15"/>
      <c r="G1" s="15"/>
      <c r="H1" s="15"/>
      <c r="I1" s="15"/>
      <c r="J1" s="15"/>
      <c r="K1" s="15"/>
    </row>
    <row r="2" spans="1:11" ht="18">
      <c r="A2" s="21"/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8">
      <c r="A3" s="149" t="s">
        <v>2</v>
      </c>
      <c r="B3" s="180" t="s">
        <v>3</v>
      </c>
      <c r="C3" s="55" t="s">
        <v>13</v>
      </c>
      <c r="D3" s="56"/>
      <c r="E3" s="57"/>
      <c r="F3" s="58" t="s">
        <v>14</v>
      </c>
      <c r="G3" s="59" t="s">
        <v>17</v>
      </c>
      <c r="H3" s="60" t="s">
        <v>19</v>
      </c>
      <c r="I3" s="61"/>
      <c r="J3" s="54"/>
      <c r="K3" s="54" t="s">
        <v>20</v>
      </c>
    </row>
    <row r="4" spans="1:11" ht="18">
      <c r="A4" s="131"/>
      <c r="B4" s="131"/>
      <c r="C4" s="62">
        <v>2010</v>
      </c>
      <c r="D4" s="58">
        <v>2011</v>
      </c>
      <c r="E4" s="58" t="s">
        <v>94</v>
      </c>
      <c r="F4" s="63" t="s">
        <v>15</v>
      </c>
      <c r="G4" s="64" t="s">
        <v>18</v>
      </c>
      <c r="H4" s="62">
        <v>2010</v>
      </c>
      <c r="I4" s="58">
        <v>2011</v>
      </c>
      <c r="J4" s="58" t="s">
        <v>94</v>
      </c>
      <c r="K4" s="65" t="s">
        <v>21</v>
      </c>
    </row>
    <row r="5" spans="1:11" ht="18">
      <c r="A5" s="150"/>
      <c r="B5" s="150"/>
      <c r="C5" s="66"/>
      <c r="D5" s="67"/>
      <c r="E5" s="67" t="s">
        <v>95</v>
      </c>
      <c r="F5" s="67" t="s">
        <v>16</v>
      </c>
      <c r="G5" s="68"/>
      <c r="H5" s="66"/>
      <c r="I5" s="67"/>
      <c r="J5" s="67" t="s">
        <v>95</v>
      </c>
      <c r="K5" s="69" t="s">
        <v>0</v>
      </c>
    </row>
    <row r="6" spans="1:11" ht="16.5" customHeight="1">
      <c r="A6" s="32">
        <v>1</v>
      </c>
      <c r="B6" s="70" t="s">
        <v>61</v>
      </c>
      <c r="C6" s="13">
        <v>173</v>
      </c>
      <c r="D6" s="13">
        <v>170.4</v>
      </c>
      <c r="E6" s="14">
        <f aca="true" t="shared" si="0" ref="E6:E15">D6/C6*100</f>
        <v>98.49710982658961</v>
      </c>
      <c r="F6" s="13">
        <v>126.3</v>
      </c>
      <c r="G6" s="14">
        <f aca="true" t="shared" si="1" ref="G6:G15">F6/D6*100</f>
        <v>74.11971830985915</v>
      </c>
      <c r="H6" s="18">
        <f>C6/'численность 1'!J6*1000</f>
        <v>961.1111111111111</v>
      </c>
      <c r="I6" s="18">
        <f>D6/'численность 1'!K6*1000</f>
        <v>946.6666666666666</v>
      </c>
      <c r="J6" s="14">
        <f aca="true" t="shared" si="2" ref="J6:J16">I6/H6*100</f>
        <v>98.4971098265896</v>
      </c>
      <c r="K6" s="13">
        <v>257.4</v>
      </c>
    </row>
    <row r="7" spans="1:11" ht="16.5" customHeight="1">
      <c r="A7" s="32">
        <v>2</v>
      </c>
      <c r="B7" s="70" t="s">
        <v>62</v>
      </c>
      <c r="C7" s="13">
        <v>136</v>
      </c>
      <c r="D7" s="13">
        <v>104</v>
      </c>
      <c r="E7" s="14">
        <f t="shared" si="0"/>
        <v>76.47058823529412</v>
      </c>
      <c r="F7" s="13">
        <v>77</v>
      </c>
      <c r="G7" s="14">
        <f t="shared" si="1"/>
        <v>74.03846153846155</v>
      </c>
      <c r="H7" s="18">
        <f>C7/'численность 1'!J7*1000</f>
        <v>1295.2380952380954</v>
      </c>
      <c r="I7" s="14">
        <f>D7/'численность 1'!K7*1000</f>
        <v>990.4761904761905</v>
      </c>
      <c r="J7" s="14">
        <f t="shared" si="2"/>
        <v>76.47058823529412</v>
      </c>
      <c r="K7" s="13"/>
    </row>
    <row r="8" spans="1:11" ht="16.5" customHeight="1">
      <c r="A8" s="32">
        <v>3</v>
      </c>
      <c r="B8" s="70" t="s">
        <v>63</v>
      </c>
      <c r="C8" s="13">
        <v>77</v>
      </c>
      <c r="D8" s="13">
        <v>87</v>
      </c>
      <c r="E8" s="14">
        <f t="shared" si="0"/>
        <v>112.98701298701299</v>
      </c>
      <c r="F8" s="13">
        <v>57</v>
      </c>
      <c r="G8" s="14">
        <f t="shared" si="1"/>
        <v>65.51724137931035</v>
      </c>
      <c r="H8" s="18">
        <f>C8/'численность 1'!J8*1000</f>
        <v>1425.9259259259259</v>
      </c>
      <c r="I8" s="14">
        <f>D8/'численность 1'!K8*1000</f>
        <v>1450</v>
      </c>
      <c r="J8" s="14">
        <f t="shared" si="2"/>
        <v>101.6883116883117</v>
      </c>
      <c r="K8" s="13"/>
    </row>
    <row r="9" spans="1:11" ht="16.5" customHeight="1">
      <c r="A9" s="32">
        <v>4</v>
      </c>
      <c r="B9" s="70" t="s">
        <v>64</v>
      </c>
      <c r="C9" s="13">
        <v>418.6</v>
      </c>
      <c r="D9" s="13">
        <v>322.7</v>
      </c>
      <c r="E9" s="14">
        <f t="shared" si="0"/>
        <v>77.09030100334448</v>
      </c>
      <c r="F9" s="13">
        <v>294.1</v>
      </c>
      <c r="G9" s="14">
        <f t="shared" si="1"/>
        <v>91.13727920669353</v>
      </c>
      <c r="H9" s="18">
        <f>C9/'численность 1'!J9*1000</f>
        <v>1376.9736842105265</v>
      </c>
      <c r="I9" s="14">
        <f>D9/'численность 1'!K9*1000</f>
        <v>1047.7272727272725</v>
      </c>
      <c r="J9" s="14">
        <f t="shared" si="2"/>
        <v>76.08912826304129</v>
      </c>
      <c r="K9" s="13"/>
    </row>
    <row r="10" spans="1:11" ht="16.5" customHeight="1">
      <c r="A10" s="32">
        <v>5</v>
      </c>
      <c r="B10" s="71" t="s">
        <v>65</v>
      </c>
      <c r="C10" s="13">
        <v>264</v>
      </c>
      <c r="D10" s="13">
        <v>173</v>
      </c>
      <c r="E10" s="14">
        <f t="shared" si="0"/>
        <v>65.53030303030303</v>
      </c>
      <c r="F10" s="13">
        <v>144</v>
      </c>
      <c r="G10" s="14">
        <f t="shared" si="1"/>
        <v>83.23699421965318</v>
      </c>
      <c r="H10" s="18">
        <f>C10/'численность 1'!J10*1000</f>
        <v>1056</v>
      </c>
      <c r="I10" s="14">
        <f>D10/'численность 1'!K10*1000</f>
        <v>617.8571428571429</v>
      </c>
      <c r="J10" s="14">
        <f t="shared" si="2"/>
        <v>58.50919913419914</v>
      </c>
      <c r="K10" s="13"/>
    </row>
    <row r="11" spans="1:11" ht="16.5" customHeight="1">
      <c r="A11" s="32">
        <v>6</v>
      </c>
      <c r="B11" s="71" t="s">
        <v>81</v>
      </c>
      <c r="C11" s="17">
        <v>154.2</v>
      </c>
      <c r="D11" s="17">
        <v>152</v>
      </c>
      <c r="E11" s="14">
        <f t="shared" si="0"/>
        <v>98.57328145265889</v>
      </c>
      <c r="F11" s="17">
        <v>115</v>
      </c>
      <c r="G11" s="18">
        <f t="shared" si="1"/>
        <v>75.6578947368421</v>
      </c>
      <c r="H11" s="18">
        <f>C11/'численность 1'!J11*1000</f>
        <v>1814.1176470588234</v>
      </c>
      <c r="I11" s="14">
        <f>D11/'численность 1'!K11*1000</f>
        <v>1788.235294117647</v>
      </c>
      <c r="J11" s="14">
        <f t="shared" si="2"/>
        <v>98.57328145265889</v>
      </c>
      <c r="K11" s="17">
        <v>117</v>
      </c>
    </row>
    <row r="12" spans="1:11" ht="16.5" customHeight="1">
      <c r="A12" s="32">
        <v>7</v>
      </c>
      <c r="B12" s="71" t="s">
        <v>66</v>
      </c>
      <c r="C12" s="17">
        <v>57.6</v>
      </c>
      <c r="D12" s="17">
        <v>100.7</v>
      </c>
      <c r="E12" s="14">
        <f t="shared" si="0"/>
        <v>174.82638888888889</v>
      </c>
      <c r="F12" s="17">
        <v>81.4</v>
      </c>
      <c r="G12" s="18">
        <f t="shared" si="1"/>
        <v>80.83416087388282</v>
      </c>
      <c r="H12" s="18">
        <f>C12/'численность 1'!J12*1000</f>
        <v>1107.6923076923078</v>
      </c>
      <c r="I12" s="14">
        <f>D12/'численность 1'!K12*1000</f>
        <v>1678.3333333333335</v>
      </c>
      <c r="J12" s="14">
        <f t="shared" si="2"/>
        <v>151.5162037037037</v>
      </c>
      <c r="K12" s="17">
        <v>32.6</v>
      </c>
    </row>
    <row r="13" spans="1:11" ht="16.5" customHeight="1">
      <c r="A13" s="32">
        <v>8</v>
      </c>
      <c r="B13" s="71" t="s">
        <v>80</v>
      </c>
      <c r="C13" s="17">
        <v>148.1</v>
      </c>
      <c r="D13" s="17">
        <v>183.2</v>
      </c>
      <c r="E13" s="14">
        <f t="shared" si="0"/>
        <v>123.70020256583389</v>
      </c>
      <c r="F13" s="17">
        <v>165.3</v>
      </c>
      <c r="G13" s="18">
        <f t="shared" si="1"/>
        <v>90.22925764192141</v>
      </c>
      <c r="H13" s="18">
        <f>C13/'численность 1'!J13*1000</f>
        <v>2468.3333333333335</v>
      </c>
      <c r="I13" s="14">
        <f>D13/'численность 1'!K13*1000</f>
        <v>2348.7179487179483</v>
      </c>
      <c r="J13" s="14">
        <f t="shared" si="2"/>
        <v>95.15400197371837</v>
      </c>
      <c r="K13" s="17"/>
    </row>
    <row r="14" spans="1:11" ht="16.5" customHeight="1">
      <c r="A14" s="32">
        <v>9</v>
      </c>
      <c r="B14" s="71" t="s">
        <v>67</v>
      </c>
      <c r="C14" s="17">
        <v>73.5</v>
      </c>
      <c r="D14" s="17">
        <v>107.6</v>
      </c>
      <c r="E14" s="14">
        <f t="shared" si="0"/>
        <v>146.39455782312925</v>
      </c>
      <c r="F14" s="17">
        <v>78.8</v>
      </c>
      <c r="G14" s="18">
        <f t="shared" si="1"/>
        <v>73.23420074349443</v>
      </c>
      <c r="H14" s="18">
        <f>C14/'численность 1'!J14*1000</f>
        <v>735</v>
      </c>
      <c r="I14" s="14">
        <f>D14/'численность 1'!K14*1000</f>
        <v>1075.9999999999998</v>
      </c>
      <c r="J14" s="14">
        <f t="shared" si="2"/>
        <v>146.39455782312922</v>
      </c>
      <c r="K14" s="17"/>
    </row>
    <row r="15" spans="1:11" ht="16.5" customHeight="1">
      <c r="A15" s="32">
        <v>10</v>
      </c>
      <c r="B15" s="71" t="s">
        <v>68</v>
      </c>
      <c r="C15" s="17">
        <v>64.7</v>
      </c>
      <c r="D15" s="17">
        <v>62.7</v>
      </c>
      <c r="E15" s="14">
        <f t="shared" si="0"/>
        <v>96.90880989180835</v>
      </c>
      <c r="F15" s="17">
        <v>39.4</v>
      </c>
      <c r="G15" s="18">
        <f t="shared" si="1"/>
        <v>62.83891547049441</v>
      </c>
      <c r="H15" s="18">
        <f>C15/'численность 1'!J15*1000</f>
        <v>1565.3225806451612</v>
      </c>
      <c r="I15" s="14">
        <f>D15/'численность 1'!K15*1000</f>
        <v>1492.857142857143</v>
      </c>
      <c r="J15" s="14">
        <f t="shared" si="2"/>
        <v>95.3705748141606</v>
      </c>
      <c r="K15" s="17"/>
    </row>
    <row r="16" spans="1:11" ht="18">
      <c r="A16" s="181" t="s">
        <v>11</v>
      </c>
      <c r="B16" s="158"/>
      <c r="C16" s="17">
        <f>SUM(C6:C15)</f>
        <v>1566.6999999999998</v>
      </c>
      <c r="D16" s="72">
        <f>SUM(D6:D15)</f>
        <v>1463.3</v>
      </c>
      <c r="E16" s="14">
        <f>D16/C16*100</f>
        <v>93.40014042254421</v>
      </c>
      <c r="F16" s="72">
        <f>SUM(F6:F15)</f>
        <v>1178.3000000000002</v>
      </c>
      <c r="G16" s="14">
        <f>F16/D16*100</f>
        <v>80.52347433882322</v>
      </c>
      <c r="H16" s="14">
        <f>C16/'численность 1'!J19*1000</f>
        <v>1272.360584731998</v>
      </c>
      <c r="I16" s="14">
        <f>D16/'численность 1'!K19*1000</f>
        <v>1127.3497688751925</v>
      </c>
      <c r="J16" s="14">
        <f t="shared" si="2"/>
        <v>88.60300943011768</v>
      </c>
      <c r="K16" s="72">
        <f>SUM(K6:K15)</f>
        <v>407</v>
      </c>
    </row>
  </sheetData>
  <mergeCells count="3">
    <mergeCell ref="A3:A5"/>
    <mergeCell ref="B3:B5"/>
    <mergeCell ref="A16:B16"/>
  </mergeCells>
  <printOptions/>
  <pageMargins left="0.75" right="0.75" top="1" bottom="1" header="0.5" footer="0.5"/>
  <pageSetup horizontalDpi="300" verticalDpi="3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1</cp:lastModifiedBy>
  <cp:lastPrinted>2011-06-02T12:09:08Z</cp:lastPrinted>
  <dcterms:created xsi:type="dcterms:W3CDTF">2002-11-05T10:10:22Z</dcterms:created>
  <dcterms:modified xsi:type="dcterms:W3CDTF">2011-08-31T09:30:12Z</dcterms:modified>
  <cp:category/>
  <cp:version/>
  <cp:contentType/>
  <cp:contentStatus/>
</cp:coreProperties>
</file>