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7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'молоко'!$A$1:$K$21</definedName>
    <definedName name="_xlnm.Print_Area" localSheetId="9">'мясо'!$A$1:$K$23</definedName>
    <definedName name="_xlnm.Print_Area" localSheetId="7">'на 100 га'!$A$1:$F$17</definedName>
    <definedName name="_xlnm.Print_Area" localSheetId="0">'пало1'!$A$1:$V$23</definedName>
    <definedName name="_xlnm.Print_Area" localSheetId="1">'привес'!$A$1:$T$23</definedName>
    <definedName name="_xlnm.Print_Area" localSheetId="4">'приплод 2'!$A$1:$N$13</definedName>
    <definedName name="_xlnm.Print_Area" localSheetId="3">'численность 1'!$A$1:$U$23</definedName>
    <definedName name="_xlnm.Print_Area" localSheetId="2">'численность 2'!$A$1:$J$23</definedName>
  </definedNames>
  <calcPr fullCalcOnLoad="1"/>
</workbook>
</file>

<file path=xl/sharedStrings.xml><?xml version="1.0" encoding="utf-8"?>
<sst xmlns="http://schemas.openxmlformats.org/spreadsheetml/2006/main" count="303" uniqueCount="118">
  <si>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</si>
  <si>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</si>
  <si>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</si>
  <si>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</si>
  <si>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</si>
  <si>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</si>
  <si>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</si>
  <si>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</si>
  <si>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</si>
  <si>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</si>
  <si>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</si>
  <si>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</si>
  <si>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</si>
  <si>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</si>
  <si>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</si>
  <si>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</si>
  <si>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</si>
  <si>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</si>
  <si>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</si>
  <si>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</si>
  <si>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</si>
  <si>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</si>
  <si>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</si>
  <si>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</si>
  <si>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</si>
  <si>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</si>
  <si>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</si>
  <si>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</si>
  <si>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</si>
  <si>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</si>
  <si>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</si>
  <si>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</si>
  <si>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</si>
  <si>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</si>
  <si>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</si>
  <si>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</si>
  <si>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</si>
  <si>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</si>
  <si>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</si>
  <si>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</si>
  <si>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</si>
  <si>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</si>
  <si>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</si>
  <si>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</si>
  <si>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</si>
  <si>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</si>
  <si>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</si>
  <si>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</si>
  <si>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</si>
  <si>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</si>
  <si>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</si>
  <si>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</si>
  <si>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</si>
  <si>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</si>
  <si>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</si>
  <si>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</si>
  <si>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</si>
  <si>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</si>
  <si>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</si>
  <si>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</si>
  <si>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</si>
  <si>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</si>
  <si>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</si>
  <si>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</si>
  <si>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</si>
  <si>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</si>
  <si>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</si>
  <si>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</si>
  <si>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п/п</t>
  </si>
  <si>
    <t>ООО "Агропромкомплект"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</si>
  <si>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</si>
  <si>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</si>
  <si>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</si>
  <si>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</si>
  <si>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</si>
  <si>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</si>
  <si>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</si>
  <si>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</si>
  <si>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лошади</t>
  </si>
  <si>
    <t>овцы и козы</t>
  </si>
  <si>
    <t>КФХ Ярчеев П.И.</t>
  </si>
  <si>
    <t>КРС</t>
  </si>
  <si>
    <t>свиней</t>
  </si>
  <si>
    <t>2011 к 2010 г. %</t>
  </si>
  <si>
    <t xml:space="preserve">КРС </t>
  </si>
  <si>
    <t>ООО "А-ф "Трудовик"</t>
  </si>
  <si>
    <t>КФХ Васильев О.И.</t>
  </si>
  <si>
    <t xml:space="preserve">Итого по сельскохозяйственным организациям </t>
  </si>
  <si>
    <t>Итого по К(Ф)Х</t>
  </si>
  <si>
    <t>Итого по Ибресинскому району</t>
  </si>
  <si>
    <t xml:space="preserve"> производство  молока, т</t>
  </si>
  <si>
    <t>Коровье молоко</t>
  </si>
  <si>
    <t>Козье молоко</t>
  </si>
  <si>
    <t>*</t>
  </si>
  <si>
    <t>Итого в сельскохозяйственных организациях по Ибресинскому району</t>
  </si>
  <si>
    <t>2012 в %</t>
  </si>
  <si>
    <t>к 2011 г.</t>
  </si>
  <si>
    <t>2011 г.</t>
  </si>
  <si>
    <t>Итого в сельскохозяйственных организациях района</t>
  </si>
  <si>
    <t>Итого по сельскохозяйственным оргаизациям по району</t>
  </si>
  <si>
    <t>в % к 2011 г.</t>
  </si>
  <si>
    <t>Итого по сельскохозяйственным организациям района</t>
  </si>
  <si>
    <t>2012 к 2011 г. %</t>
  </si>
  <si>
    <t>с 2011 г.</t>
  </si>
  <si>
    <t xml:space="preserve">                      </t>
  </si>
  <si>
    <t>с 20110 г.</t>
  </si>
  <si>
    <t xml:space="preserve">    Производство мяса и молока на 100 га с/х угодий</t>
  </si>
  <si>
    <t>разница с 2011 г.</t>
  </si>
  <si>
    <t xml:space="preserve">   Производство мяса за январь- май 2012 года по Ибресинскому району </t>
  </si>
  <si>
    <t>Производство молока за  январь-май 2012 года по Ибресинскому району</t>
  </si>
  <si>
    <t xml:space="preserve">по Ибресинскому району за январь-май 2012 год </t>
  </si>
  <si>
    <t>Поступление приплода (телят) за январь-май 2012 года по Ибресинскому  району</t>
  </si>
  <si>
    <t>Случено и осеменено за январь-май 2012 года по Ибресинскому району</t>
  </si>
  <si>
    <t>Поступление приплода (поросят) за январь-май 2012 года по Ибресинкому  району</t>
  </si>
  <si>
    <t xml:space="preserve"> Численность скота по Ибресинскому району на 01.06.2012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</si>
  <si>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01.06.2012 г., (голов)</t>
    </r>
  </si>
  <si>
    <t>Показатели получения привесов за январь-май 2012 года по Ибресинскому району</t>
  </si>
  <si>
    <t>Пало, погибло, куплено и продано  сельскохозяйственных животных за январь-май 2012 год по Ибресинскому.р-ну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</si>
</sst>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50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43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7" fillId="0" borderId="22" xfId="0" applyFont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25" sqref="R25"/>
    </sheetView>
  </sheetViews>
  <sheetFormatPr defaultColWidth="9.00390625" defaultRowHeight="12.75"/>
  <cols>
    <col min="1" max="1" width="4.00390625" style="70" customWidth="1"/>
    <col min="2" max="2" width="28.625" style="70" customWidth="1"/>
    <col min="3" max="4" width="8.75390625" style="70" customWidth="1"/>
    <col min="5" max="5" width="8.875" style="70" customWidth="1"/>
    <col min="6" max="7" width="8.75390625" style="70" customWidth="1"/>
    <col min="8" max="8" width="8.875" style="70" customWidth="1"/>
    <col min="9" max="14" width="8.75390625" style="70" customWidth="1"/>
    <col min="15" max="15" width="8.875" style="70" customWidth="1"/>
    <col min="16" max="18" width="8.75390625" style="70" customWidth="1"/>
    <col min="19" max="19" width="8.875" style="70" customWidth="1"/>
    <col min="20" max="20" width="8.75390625" style="70" customWidth="1"/>
    <col min="21" max="16384" width="9.125" style="70" customWidth="1"/>
  </cols>
  <sheetData>
    <row r="1" spans="3:18" ht="15.75">
      <c r="C1" s="146" t="s">
        <v>117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3:10" ht="15">
      <c r="C2" s="71"/>
      <c r="D2" s="71"/>
      <c r="E2" s="71"/>
      <c r="F2" s="71"/>
      <c r="G2" s="71"/>
      <c r="H2" s="71"/>
      <c r="I2" s="71"/>
      <c r="J2" s="71"/>
    </row>
    <row r="3" spans="1:22" s="20" customFormat="1" ht="18.75" customHeight="1">
      <c r="A3" s="34" t="s">
        <v>2</v>
      </c>
      <c r="B3" s="23" t="s">
        <v>3</v>
      </c>
      <c r="C3" s="147" t="s">
        <v>38</v>
      </c>
      <c r="D3" s="148"/>
      <c r="E3" s="149"/>
      <c r="F3" s="147" t="s">
        <v>52</v>
      </c>
      <c r="G3" s="148"/>
      <c r="H3" s="149"/>
      <c r="I3" s="97"/>
      <c r="J3" s="102" t="s">
        <v>40</v>
      </c>
      <c r="K3" s="102"/>
      <c r="L3" s="102"/>
      <c r="M3" s="104"/>
      <c r="N3" s="104"/>
      <c r="O3" s="104"/>
      <c r="P3" s="104"/>
      <c r="Q3" s="150" t="s">
        <v>41</v>
      </c>
      <c r="R3" s="150"/>
      <c r="S3" s="150"/>
      <c r="T3" s="150"/>
      <c r="U3" s="150"/>
      <c r="V3" s="150"/>
    </row>
    <row r="4" spans="1:22" s="20" customFormat="1" ht="18.75" customHeight="1">
      <c r="A4" s="39"/>
      <c r="B4" s="33"/>
      <c r="C4" s="136">
        <v>2011</v>
      </c>
      <c r="D4" s="136">
        <v>2012</v>
      </c>
      <c r="E4" s="106" t="s">
        <v>39</v>
      </c>
      <c r="F4" s="136">
        <v>2011</v>
      </c>
      <c r="G4" s="136">
        <v>2012</v>
      </c>
      <c r="H4" s="106" t="s">
        <v>39</v>
      </c>
      <c r="I4" s="138" t="s">
        <v>84</v>
      </c>
      <c r="J4" s="139"/>
      <c r="K4" s="138" t="s">
        <v>82</v>
      </c>
      <c r="L4" s="139"/>
      <c r="M4" s="138" t="s">
        <v>78</v>
      </c>
      <c r="N4" s="139"/>
      <c r="O4" s="138" t="s">
        <v>79</v>
      </c>
      <c r="P4" s="139"/>
      <c r="Q4" s="138" t="s">
        <v>81</v>
      </c>
      <c r="R4" s="139"/>
      <c r="S4" s="138" t="s">
        <v>82</v>
      </c>
      <c r="T4" s="139"/>
      <c r="U4" s="151" t="s">
        <v>51</v>
      </c>
      <c r="V4" s="152"/>
    </row>
    <row r="5" spans="1:22" s="20" customFormat="1" ht="18.75" customHeight="1">
      <c r="A5" s="30"/>
      <c r="B5" s="29"/>
      <c r="C5" s="137"/>
      <c r="D5" s="137"/>
      <c r="E5" s="107" t="s">
        <v>103</v>
      </c>
      <c r="F5" s="137"/>
      <c r="G5" s="137"/>
      <c r="H5" s="107" t="s">
        <v>103</v>
      </c>
      <c r="I5" s="108">
        <v>2011</v>
      </c>
      <c r="J5" s="109">
        <v>2012</v>
      </c>
      <c r="K5" s="108">
        <v>2011</v>
      </c>
      <c r="L5" s="109">
        <v>2012</v>
      </c>
      <c r="M5" s="108">
        <v>2011</v>
      </c>
      <c r="N5" s="109">
        <v>2012</v>
      </c>
      <c r="O5" s="108">
        <v>2011</v>
      </c>
      <c r="P5" s="109">
        <v>2012</v>
      </c>
      <c r="Q5" s="108">
        <v>2011</v>
      </c>
      <c r="R5" s="109">
        <v>2012</v>
      </c>
      <c r="S5" s="108">
        <v>2011</v>
      </c>
      <c r="T5" s="109">
        <v>2012</v>
      </c>
      <c r="U5" s="108">
        <v>2011</v>
      </c>
      <c r="V5" s="109">
        <v>2012</v>
      </c>
    </row>
    <row r="6" spans="1:22" s="20" customFormat="1" ht="15" customHeight="1">
      <c r="A6" s="31">
        <v>1</v>
      </c>
      <c r="B6" s="31" t="s">
        <v>55</v>
      </c>
      <c r="C6" s="3"/>
      <c r="D6" s="3"/>
      <c r="E6" s="11">
        <f aca="true" t="shared" si="0" ref="E6:E22">D6-C6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20" customFormat="1" ht="13.5" customHeight="1">
      <c r="A7" s="31">
        <v>2</v>
      </c>
      <c r="B7" s="31" t="s">
        <v>56</v>
      </c>
      <c r="C7" s="3">
        <v>3</v>
      </c>
      <c r="D7" s="3"/>
      <c r="E7" s="11">
        <f t="shared" si="0"/>
        <v>-3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28</v>
      </c>
      <c r="R7" s="3">
        <v>26</v>
      </c>
      <c r="S7" s="3"/>
      <c r="T7" s="3"/>
      <c r="U7" s="3"/>
      <c r="V7" s="3"/>
    </row>
    <row r="8" spans="1:22" s="20" customFormat="1" ht="13.5" customHeight="1">
      <c r="A8" s="31">
        <v>3</v>
      </c>
      <c r="B8" s="31" t="s">
        <v>57</v>
      </c>
      <c r="C8" s="3"/>
      <c r="D8" s="3"/>
      <c r="E8" s="11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7</v>
      </c>
      <c r="R8" s="3">
        <v>19</v>
      </c>
      <c r="S8" s="3"/>
      <c r="T8" s="3"/>
      <c r="U8" s="3"/>
      <c r="V8" s="3"/>
    </row>
    <row r="9" spans="1:22" s="20" customFormat="1" ht="12.75" customHeight="1">
      <c r="A9" s="31">
        <v>4</v>
      </c>
      <c r="B9" s="22" t="s">
        <v>58</v>
      </c>
      <c r="C9" s="3">
        <v>3</v>
      </c>
      <c r="D9" s="3">
        <v>5</v>
      </c>
      <c r="E9" s="11">
        <f t="shared" si="0"/>
        <v>2</v>
      </c>
      <c r="F9" s="3"/>
      <c r="G9" s="3"/>
      <c r="H9" s="3"/>
      <c r="I9" s="3"/>
      <c r="J9" s="3"/>
      <c r="K9" s="3">
        <v>2</v>
      </c>
      <c r="L9" s="3"/>
      <c r="M9" s="3"/>
      <c r="N9" s="3"/>
      <c r="O9" s="3"/>
      <c r="P9" s="3"/>
      <c r="Q9" s="3"/>
      <c r="R9" s="3"/>
      <c r="S9" s="3">
        <v>242</v>
      </c>
      <c r="T9" s="3">
        <v>368</v>
      </c>
      <c r="U9" s="3"/>
      <c r="V9" s="3"/>
    </row>
    <row r="10" spans="1:22" s="20" customFormat="1" ht="13.5" customHeight="1">
      <c r="A10" s="31">
        <v>5</v>
      </c>
      <c r="B10" s="92" t="s">
        <v>59</v>
      </c>
      <c r="C10" s="3"/>
      <c r="D10" s="3">
        <v>3</v>
      </c>
      <c r="E10" s="11">
        <f t="shared" si="0"/>
        <v>3</v>
      </c>
      <c r="F10" s="3">
        <v>18</v>
      </c>
      <c r="G10" s="3"/>
      <c r="H10" s="3">
        <f>G10-F10</f>
        <v>-18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>
        <v>104</v>
      </c>
      <c r="T10" s="3">
        <v>35</v>
      </c>
      <c r="U10" s="3"/>
      <c r="V10" s="3"/>
    </row>
    <row r="11" spans="1:22" s="20" customFormat="1" ht="12.75" customHeight="1">
      <c r="A11" s="31">
        <v>6</v>
      </c>
      <c r="B11" s="32" t="s">
        <v>71</v>
      </c>
      <c r="C11" s="3">
        <v>1</v>
      </c>
      <c r="D11" s="3">
        <v>2</v>
      </c>
      <c r="E11" s="11">
        <f t="shared" si="0"/>
        <v>1</v>
      </c>
      <c r="F11" s="3"/>
      <c r="G11" s="3"/>
      <c r="H11" s="3"/>
      <c r="I11" s="88"/>
      <c r="J11" s="88"/>
      <c r="K11" s="88"/>
      <c r="L11" s="88"/>
      <c r="M11" s="88"/>
      <c r="N11" s="88"/>
      <c r="O11" s="88"/>
      <c r="P11" s="88"/>
      <c r="Q11" s="88"/>
      <c r="R11" s="88">
        <v>20</v>
      </c>
      <c r="S11" s="88"/>
      <c r="T11" s="88"/>
      <c r="U11" s="3"/>
      <c r="V11" s="3"/>
    </row>
    <row r="12" spans="1:22" s="20" customFormat="1" ht="12.75" customHeight="1">
      <c r="A12" s="31">
        <v>7</v>
      </c>
      <c r="B12" s="31" t="s">
        <v>60</v>
      </c>
      <c r="C12" s="3"/>
      <c r="D12" s="3"/>
      <c r="E12" s="11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20" customFormat="1" ht="12.75" customHeight="1">
      <c r="A13" s="31">
        <v>8</v>
      </c>
      <c r="B13" s="32" t="s">
        <v>85</v>
      </c>
      <c r="C13" s="3"/>
      <c r="D13" s="3"/>
      <c r="E13" s="11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s="20" customFormat="1" ht="13.5" customHeight="1">
      <c r="A14" s="31">
        <v>9</v>
      </c>
      <c r="B14" s="32" t="s">
        <v>70</v>
      </c>
      <c r="C14" s="3"/>
      <c r="D14" s="3"/>
      <c r="E14" s="11">
        <f t="shared" si="0"/>
        <v>0</v>
      </c>
      <c r="F14" s="3"/>
      <c r="G14" s="3"/>
      <c r="H14" s="3"/>
      <c r="I14" s="3">
        <v>30</v>
      </c>
      <c r="J14" s="3"/>
      <c r="K14" s="3"/>
      <c r="L14" s="3"/>
      <c r="M14" s="3"/>
      <c r="N14" s="3"/>
      <c r="O14" s="3"/>
      <c r="P14" s="3"/>
      <c r="Q14" s="3"/>
      <c r="R14" s="3">
        <v>1</v>
      </c>
      <c r="S14" s="3"/>
      <c r="T14" s="3"/>
      <c r="U14" s="3">
        <v>12</v>
      </c>
      <c r="V14" s="3">
        <v>58</v>
      </c>
    </row>
    <row r="15" spans="1:22" s="20" customFormat="1" ht="12.75" customHeight="1">
      <c r="A15" s="31">
        <v>10</v>
      </c>
      <c r="B15" s="31" t="s">
        <v>61</v>
      </c>
      <c r="C15" s="3"/>
      <c r="D15" s="3"/>
      <c r="E15" s="11">
        <f t="shared" si="0"/>
        <v>0</v>
      </c>
      <c r="F15" s="3"/>
      <c r="G15" s="3"/>
      <c r="H15" s="3"/>
      <c r="I15" s="3"/>
      <c r="J15" s="3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s="20" customFormat="1" ht="12.75" customHeight="1">
      <c r="A16" s="31">
        <v>11</v>
      </c>
      <c r="B16" s="31" t="s">
        <v>62</v>
      </c>
      <c r="C16" s="3"/>
      <c r="D16" s="3"/>
      <c r="E16" s="11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s="20" customFormat="1" ht="12.75" customHeight="1">
      <c r="A17" s="31">
        <v>12</v>
      </c>
      <c r="B17" s="31" t="s">
        <v>63</v>
      </c>
      <c r="C17" s="3"/>
      <c r="D17" s="3"/>
      <c r="E17" s="11"/>
      <c r="F17" s="3">
        <v>356</v>
      </c>
      <c r="G17" s="3">
        <v>219</v>
      </c>
      <c r="H17" s="3">
        <f aca="true" t="shared" si="1" ref="H17:H23">G17-F17</f>
        <v>-137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v>433</v>
      </c>
      <c r="T17" s="3">
        <v>1112</v>
      </c>
      <c r="U17" s="3"/>
      <c r="V17" s="3"/>
    </row>
    <row r="18" spans="1:22" s="20" customFormat="1" ht="12.75" customHeight="1">
      <c r="A18" s="31">
        <v>13</v>
      </c>
      <c r="B18" s="32" t="s">
        <v>69</v>
      </c>
      <c r="C18" s="3"/>
      <c r="D18" s="3"/>
      <c r="E18" s="11"/>
      <c r="F18" s="3"/>
      <c r="G18" s="3"/>
      <c r="H18" s="3">
        <f t="shared" si="1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s="20" customFormat="1" ht="44.25" customHeight="1">
      <c r="A19" s="142" t="s">
        <v>101</v>
      </c>
      <c r="B19" s="143"/>
      <c r="C19" s="3">
        <f>SUM(C6:C18)</f>
        <v>7</v>
      </c>
      <c r="D19" s="3">
        <f>SUM(D6:D18)</f>
        <v>10</v>
      </c>
      <c r="E19" s="11">
        <f t="shared" si="0"/>
        <v>3</v>
      </c>
      <c r="F19" s="3">
        <f>SUM(F10:F18)</f>
        <v>374</v>
      </c>
      <c r="G19" s="3">
        <f>SUM(G10:G18)</f>
        <v>219</v>
      </c>
      <c r="H19" s="3">
        <f t="shared" si="1"/>
        <v>-155</v>
      </c>
      <c r="I19" s="3">
        <f>SUM(I6:I18)</f>
        <v>30</v>
      </c>
      <c r="J19" s="3">
        <f aca="true" t="shared" si="2" ref="J19:V19">SUM(J6:J18)</f>
        <v>1</v>
      </c>
      <c r="K19" s="3">
        <f t="shared" si="2"/>
        <v>2</v>
      </c>
      <c r="L19" s="3">
        <f t="shared" si="2"/>
        <v>0</v>
      </c>
      <c r="M19" s="3">
        <f t="shared" si="2"/>
        <v>0</v>
      </c>
      <c r="N19" s="3">
        <f t="shared" si="2"/>
        <v>0</v>
      </c>
      <c r="O19" s="3">
        <f t="shared" si="2"/>
        <v>0</v>
      </c>
      <c r="P19" s="3">
        <f t="shared" si="2"/>
        <v>0</v>
      </c>
      <c r="Q19" s="3">
        <f t="shared" si="2"/>
        <v>35</v>
      </c>
      <c r="R19" s="3">
        <f t="shared" si="2"/>
        <v>66</v>
      </c>
      <c r="S19" s="3">
        <f t="shared" si="2"/>
        <v>779</v>
      </c>
      <c r="T19" s="3">
        <f t="shared" si="2"/>
        <v>1515</v>
      </c>
      <c r="U19" s="3">
        <f t="shared" si="2"/>
        <v>12</v>
      </c>
      <c r="V19" s="3">
        <f t="shared" si="2"/>
        <v>58</v>
      </c>
    </row>
    <row r="20" spans="1:22" s="20" customFormat="1" ht="12.75" customHeight="1">
      <c r="A20" s="31">
        <v>1</v>
      </c>
      <c r="B20" s="32" t="s">
        <v>80</v>
      </c>
      <c r="C20" s="3"/>
      <c r="D20" s="3"/>
      <c r="E20" s="11">
        <f t="shared" si="0"/>
        <v>0</v>
      </c>
      <c r="F20" s="3"/>
      <c r="G20" s="3"/>
      <c r="H20" s="3">
        <f t="shared" si="1"/>
        <v>0</v>
      </c>
      <c r="I20" s="3"/>
      <c r="J20" s="3"/>
      <c r="K20" s="3"/>
      <c r="L20" s="3"/>
      <c r="M20" s="88"/>
      <c r="N20" s="3"/>
      <c r="O20" s="3"/>
      <c r="P20" s="3"/>
      <c r="Q20" s="3"/>
      <c r="R20" s="3"/>
      <c r="S20" s="111"/>
      <c r="T20" s="22"/>
      <c r="U20" s="22"/>
      <c r="V20" s="22"/>
    </row>
    <row r="21" spans="1:22" s="20" customFormat="1" ht="12.75" customHeight="1">
      <c r="A21" s="31">
        <v>2</v>
      </c>
      <c r="B21" s="32" t="s">
        <v>86</v>
      </c>
      <c r="C21" s="3"/>
      <c r="D21" s="3"/>
      <c r="E21" s="11">
        <f t="shared" si="0"/>
        <v>0</v>
      </c>
      <c r="F21" s="3"/>
      <c r="G21" s="3"/>
      <c r="H21" s="3">
        <f t="shared" si="1"/>
        <v>0</v>
      </c>
      <c r="I21" s="3"/>
      <c r="J21" s="3"/>
      <c r="K21" s="3"/>
      <c r="L21" s="3"/>
      <c r="M21" s="88"/>
      <c r="N21" s="3"/>
      <c r="O21" s="3"/>
      <c r="P21" s="3"/>
      <c r="Q21" s="3"/>
      <c r="R21" s="3"/>
      <c r="S21" s="111"/>
      <c r="T21" s="22"/>
      <c r="U21" s="22"/>
      <c r="V21" s="22"/>
    </row>
    <row r="22" spans="1:22" s="20" customFormat="1" ht="30" customHeight="1">
      <c r="A22" s="144" t="s">
        <v>88</v>
      </c>
      <c r="B22" s="145"/>
      <c r="C22" s="3">
        <f>SUM(C20:C21)</f>
        <v>0</v>
      </c>
      <c r="D22" s="3">
        <f>SUM(D20:D21)</f>
        <v>0</v>
      </c>
      <c r="E22" s="11">
        <f t="shared" si="0"/>
        <v>0</v>
      </c>
      <c r="F22" s="3">
        <f aca="true" t="shared" si="3" ref="F22:V22">SUM(F20:F21)</f>
        <v>0</v>
      </c>
      <c r="G22" s="3">
        <f t="shared" si="3"/>
        <v>0</v>
      </c>
      <c r="H22" s="3">
        <f t="shared" si="1"/>
        <v>0</v>
      </c>
      <c r="I22" s="3">
        <f t="shared" si="3"/>
        <v>0</v>
      </c>
      <c r="J22" s="3">
        <f t="shared" si="3"/>
        <v>0</v>
      </c>
      <c r="K22" s="3">
        <f t="shared" si="3"/>
        <v>0</v>
      </c>
      <c r="L22" s="3">
        <f t="shared" si="3"/>
        <v>0</v>
      </c>
      <c r="M22" s="3">
        <f t="shared" si="3"/>
        <v>0</v>
      </c>
      <c r="N22" s="3">
        <f t="shared" si="3"/>
        <v>0</v>
      </c>
      <c r="O22" s="3">
        <f t="shared" si="3"/>
        <v>0</v>
      </c>
      <c r="P22" s="3">
        <f t="shared" si="3"/>
        <v>0</v>
      </c>
      <c r="Q22" s="3">
        <f t="shared" si="3"/>
        <v>0</v>
      </c>
      <c r="R22" s="3">
        <f t="shared" si="3"/>
        <v>0</v>
      </c>
      <c r="S22" s="3">
        <f t="shared" si="3"/>
        <v>0</v>
      </c>
      <c r="T22" s="3">
        <f t="shared" si="3"/>
        <v>0</v>
      </c>
      <c r="U22" s="3">
        <f t="shared" si="3"/>
        <v>0</v>
      </c>
      <c r="V22" s="3">
        <f t="shared" si="3"/>
        <v>0</v>
      </c>
    </row>
    <row r="23" spans="1:22" s="20" customFormat="1" ht="37.5" customHeight="1">
      <c r="A23" s="140" t="s">
        <v>89</v>
      </c>
      <c r="B23" s="141"/>
      <c r="C23" s="3">
        <f>C22+C19</f>
        <v>7</v>
      </c>
      <c r="D23" s="3">
        <f>D22+D19</f>
        <v>10</v>
      </c>
      <c r="E23" s="11">
        <f>D23-C23</f>
        <v>3</v>
      </c>
      <c r="F23" s="3">
        <f>F22+F19</f>
        <v>374</v>
      </c>
      <c r="G23" s="3">
        <f>G22+G19</f>
        <v>219</v>
      </c>
      <c r="H23" s="3">
        <f t="shared" si="1"/>
        <v>-155</v>
      </c>
      <c r="I23" s="3">
        <f aca="true" t="shared" si="4" ref="I23:V23">I22+I19</f>
        <v>30</v>
      </c>
      <c r="J23" s="3">
        <f t="shared" si="4"/>
        <v>1</v>
      </c>
      <c r="K23" s="3">
        <f t="shared" si="4"/>
        <v>2</v>
      </c>
      <c r="L23" s="3">
        <f t="shared" si="4"/>
        <v>0</v>
      </c>
      <c r="M23" s="3">
        <f t="shared" si="4"/>
        <v>0</v>
      </c>
      <c r="N23" s="3">
        <f t="shared" si="4"/>
        <v>0</v>
      </c>
      <c r="O23" s="3">
        <f t="shared" si="4"/>
        <v>0</v>
      </c>
      <c r="P23" s="3">
        <f t="shared" si="4"/>
        <v>0</v>
      </c>
      <c r="Q23" s="3">
        <f t="shared" si="4"/>
        <v>35</v>
      </c>
      <c r="R23" s="3">
        <f t="shared" si="4"/>
        <v>66</v>
      </c>
      <c r="S23" s="3">
        <f t="shared" si="4"/>
        <v>779</v>
      </c>
      <c r="T23" s="3">
        <f t="shared" si="4"/>
        <v>1515</v>
      </c>
      <c r="U23" s="3">
        <f t="shared" si="4"/>
        <v>12</v>
      </c>
      <c r="V23" s="3">
        <f t="shared" si="4"/>
        <v>58</v>
      </c>
    </row>
    <row r="24" ht="14.25">
      <c r="B24" s="73"/>
    </row>
  </sheetData>
  <sheetProtection/>
  <mergeCells count="18">
    <mergeCell ref="A23:B23"/>
    <mergeCell ref="A19:B19"/>
    <mergeCell ref="A22:B22"/>
    <mergeCell ref="C1:R1"/>
    <mergeCell ref="F3:H3"/>
    <mergeCell ref="C3:E3"/>
    <mergeCell ref="Q3:V3"/>
    <mergeCell ref="U4:V4"/>
    <mergeCell ref="Q4:R4"/>
    <mergeCell ref="S4:T4"/>
    <mergeCell ref="C4:C5"/>
    <mergeCell ref="D4:D5"/>
    <mergeCell ref="F4:F5"/>
    <mergeCell ref="G4:G5"/>
    <mergeCell ref="M4:N4"/>
    <mergeCell ref="O4:P4"/>
    <mergeCell ref="I4:J4"/>
    <mergeCell ref="K4:L4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75" zoomScaleNormal="65" zoomScaleSheetLayoutView="75" zoomScalePageLayoutView="0" workbookViewId="0" topLeftCell="A1">
      <selection activeCell="O18" sqref="O18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94" t="s">
        <v>108</v>
      </c>
      <c r="D1" s="94"/>
      <c r="E1" s="94"/>
      <c r="F1" s="94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211" t="s">
        <v>2</v>
      </c>
      <c r="B3" s="211" t="s">
        <v>3</v>
      </c>
      <c r="C3" s="24" t="s">
        <v>19</v>
      </c>
      <c r="D3" s="25"/>
      <c r="E3" s="27"/>
      <c r="F3" s="24"/>
      <c r="G3" s="25"/>
      <c r="H3" s="25" t="s">
        <v>20</v>
      </c>
      <c r="I3" s="25"/>
      <c r="J3" s="25"/>
      <c r="K3" s="27"/>
      <c r="L3" s="20"/>
      <c r="M3" s="20"/>
    </row>
    <row r="4" spans="1:13" ht="15">
      <c r="A4" s="212"/>
      <c r="B4" s="212"/>
      <c r="C4" s="18">
        <v>2011</v>
      </c>
      <c r="D4" s="19">
        <v>2012</v>
      </c>
      <c r="E4" s="19" t="s">
        <v>95</v>
      </c>
      <c r="F4" s="24" t="s">
        <v>23</v>
      </c>
      <c r="G4" s="27"/>
      <c r="H4" s="24" t="s">
        <v>21</v>
      </c>
      <c r="I4" s="27"/>
      <c r="J4" s="24" t="s">
        <v>22</v>
      </c>
      <c r="K4" s="27"/>
      <c r="L4" s="20"/>
      <c r="M4" s="20"/>
    </row>
    <row r="5" spans="1:13" ht="15">
      <c r="A5" s="213"/>
      <c r="B5" s="213"/>
      <c r="C5" s="40"/>
      <c r="D5" s="11"/>
      <c r="E5" s="11" t="s">
        <v>96</v>
      </c>
      <c r="F5" s="18">
        <v>2011</v>
      </c>
      <c r="G5" s="19">
        <v>2012</v>
      </c>
      <c r="H5" s="18">
        <v>2011</v>
      </c>
      <c r="I5" s="19">
        <v>2012</v>
      </c>
      <c r="J5" s="18">
        <v>2011</v>
      </c>
      <c r="K5" s="19">
        <v>2012</v>
      </c>
      <c r="L5" s="20"/>
      <c r="M5" s="20"/>
    </row>
    <row r="6" spans="1:13" ht="16.5">
      <c r="A6" s="31">
        <v>1</v>
      </c>
      <c r="B6" s="31" t="s">
        <v>55</v>
      </c>
      <c r="C6" s="83">
        <v>19.8</v>
      </c>
      <c r="D6" s="83">
        <v>15.3</v>
      </c>
      <c r="E6" s="82">
        <f aca="true" t="shared" si="0" ref="E6:E23">D6*100/C6</f>
        <v>77.27272727272727</v>
      </c>
      <c r="F6" s="83">
        <v>19.1</v>
      </c>
      <c r="G6" s="83">
        <v>15.3</v>
      </c>
      <c r="H6" s="83"/>
      <c r="I6" s="83"/>
      <c r="J6" s="83">
        <v>0.7</v>
      </c>
      <c r="K6" s="83"/>
      <c r="L6" s="20"/>
      <c r="M6" s="20"/>
    </row>
    <row r="7" spans="1:13" ht="16.5">
      <c r="A7" s="31">
        <v>2</v>
      </c>
      <c r="B7" s="31" t="s">
        <v>56</v>
      </c>
      <c r="C7" s="83">
        <v>8</v>
      </c>
      <c r="D7" s="83">
        <v>3.6</v>
      </c>
      <c r="E7" s="82">
        <f t="shared" si="0"/>
        <v>45</v>
      </c>
      <c r="F7" s="83">
        <v>8</v>
      </c>
      <c r="G7" s="83">
        <v>3.6</v>
      </c>
      <c r="H7" s="83"/>
      <c r="I7" s="83"/>
      <c r="J7" s="83"/>
      <c r="K7" s="83"/>
      <c r="L7" s="20"/>
      <c r="M7" s="20"/>
    </row>
    <row r="8" spans="1:13" ht="16.5">
      <c r="A8" s="31">
        <v>3</v>
      </c>
      <c r="B8" s="31" t="s">
        <v>57</v>
      </c>
      <c r="C8" s="83">
        <v>3</v>
      </c>
      <c r="D8" s="83">
        <v>3.1</v>
      </c>
      <c r="E8" s="82">
        <f t="shared" si="0"/>
        <v>103.33333333333333</v>
      </c>
      <c r="F8" s="83">
        <v>3</v>
      </c>
      <c r="G8" s="83">
        <v>3.1</v>
      </c>
      <c r="H8" s="83"/>
      <c r="I8" s="83"/>
      <c r="J8" s="83"/>
      <c r="K8" s="83"/>
      <c r="L8" s="20"/>
      <c r="M8" s="20"/>
    </row>
    <row r="9" spans="1:13" ht="16.5">
      <c r="A9" s="31">
        <v>4</v>
      </c>
      <c r="B9" s="41" t="s">
        <v>58</v>
      </c>
      <c r="C9" s="83">
        <v>67.8</v>
      </c>
      <c r="D9" s="83">
        <v>22</v>
      </c>
      <c r="E9" s="82">
        <f t="shared" si="0"/>
        <v>32.448377581120944</v>
      </c>
      <c r="F9" s="83">
        <v>62.3</v>
      </c>
      <c r="G9" s="83">
        <v>20.5</v>
      </c>
      <c r="H9" s="83">
        <v>4.7</v>
      </c>
      <c r="I9" s="83">
        <v>1.5</v>
      </c>
      <c r="J9" s="83">
        <v>0.8</v>
      </c>
      <c r="K9" s="83"/>
      <c r="L9" s="20"/>
      <c r="M9" s="20"/>
    </row>
    <row r="10" spans="1:13" ht="16.5">
      <c r="A10" s="31">
        <v>5</v>
      </c>
      <c r="B10" s="31" t="s">
        <v>59</v>
      </c>
      <c r="C10" s="83">
        <v>24</v>
      </c>
      <c r="D10" s="83">
        <v>38.54</v>
      </c>
      <c r="E10" s="82">
        <f t="shared" si="0"/>
        <v>160.58333333333334</v>
      </c>
      <c r="F10" s="83">
        <v>16</v>
      </c>
      <c r="G10" s="83">
        <v>30.17</v>
      </c>
      <c r="H10" s="83">
        <v>5</v>
      </c>
      <c r="I10" s="83">
        <v>6.57</v>
      </c>
      <c r="J10" s="83">
        <v>3</v>
      </c>
      <c r="K10" s="83">
        <v>1.8</v>
      </c>
      <c r="L10" s="20"/>
      <c r="M10" s="20"/>
    </row>
    <row r="11" spans="1:13" ht="16.5">
      <c r="A11" s="31">
        <v>6</v>
      </c>
      <c r="B11" s="32" t="s">
        <v>71</v>
      </c>
      <c r="C11" s="83">
        <v>9.9</v>
      </c>
      <c r="D11" s="119">
        <v>9.42</v>
      </c>
      <c r="E11" s="82">
        <f t="shared" si="0"/>
        <v>95.15151515151514</v>
      </c>
      <c r="F11" s="84">
        <v>8.8</v>
      </c>
      <c r="G11" s="84">
        <v>9.12</v>
      </c>
      <c r="H11" s="84"/>
      <c r="I11" s="84"/>
      <c r="J11" s="84">
        <v>1.1</v>
      </c>
      <c r="K11" s="84">
        <v>0.3</v>
      </c>
      <c r="L11" s="20"/>
      <c r="M11" s="20"/>
    </row>
    <row r="12" spans="1:13" ht="16.5">
      <c r="A12" s="31">
        <v>7</v>
      </c>
      <c r="B12" s="32" t="s">
        <v>60</v>
      </c>
      <c r="C12" s="83"/>
      <c r="D12" s="83"/>
      <c r="E12" s="82"/>
      <c r="F12" s="84"/>
      <c r="G12" s="84"/>
      <c r="H12" s="84"/>
      <c r="I12" s="84"/>
      <c r="J12" s="84"/>
      <c r="K12" s="84"/>
      <c r="L12" s="20"/>
      <c r="M12" s="20"/>
    </row>
    <row r="13" spans="1:13" ht="16.5">
      <c r="A13" s="31">
        <v>8</v>
      </c>
      <c r="B13" s="32" t="s">
        <v>85</v>
      </c>
      <c r="C13" s="83"/>
      <c r="D13" s="83">
        <v>13.718</v>
      </c>
      <c r="E13" s="82"/>
      <c r="F13" s="84"/>
      <c r="G13" s="84">
        <v>13.718</v>
      </c>
      <c r="H13" s="84"/>
      <c r="I13" s="84"/>
      <c r="J13" s="84"/>
      <c r="K13" s="84"/>
      <c r="L13" s="20"/>
      <c r="M13" s="20"/>
    </row>
    <row r="14" spans="1:13" ht="16.5">
      <c r="A14" s="31">
        <v>9</v>
      </c>
      <c r="B14" s="32" t="s">
        <v>70</v>
      </c>
      <c r="C14" s="83">
        <v>10.4</v>
      </c>
      <c r="D14" s="83">
        <v>8.22</v>
      </c>
      <c r="E14" s="82">
        <f t="shared" si="0"/>
        <v>79.03846153846155</v>
      </c>
      <c r="F14" s="84">
        <v>10.3</v>
      </c>
      <c r="G14" s="84">
        <v>7.04</v>
      </c>
      <c r="H14" s="84">
        <v>0.1</v>
      </c>
      <c r="I14" s="84"/>
      <c r="J14" s="84"/>
      <c r="K14" s="84">
        <v>1.18</v>
      </c>
      <c r="L14" s="20"/>
      <c r="M14" s="20"/>
    </row>
    <row r="15" spans="1:13" ht="16.5">
      <c r="A15" s="31">
        <v>10</v>
      </c>
      <c r="B15" s="32" t="s">
        <v>61</v>
      </c>
      <c r="C15" s="83">
        <v>7.1</v>
      </c>
      <c r="D15" s="83">
        <v>12.5</v>
      </c>
      <c r="E15" s="82">
        <f t="shared" si="0"/>
        <v>176.05633802816902</v>
      </c>
      <c r="F15" s="84">
        <v>7.1</v>
      </c>
      <c r="G15" s="84">
        <v>12.2</v>
      </c>
      <c r="H15" s="84"/>
      <c r="I15" s="84"/>
      <c r="J15" s="84"/>
      <c r="K15" s="84">
        <v>0.3</v>
      </c>
      <c r="L15" s="20"/>
      <c r="M15" s="20"/>
    </row>
    <row r="16" spans="1:13" ht="16.5">
      <c r="A16" s="31">
        <v>11</v>
      </c>
      <c r="B16" s="32" t="s">
        <v>62</v>
      </c>
      <c r="C16" s="83">
        <v>4.9</v>
      </c>
      <c r="D16" s="83">
        <v>4.1</v>
      </c>
      <c r="E16" s="82">
        <f t="shared" si="0"/>
        <v>83.67346938775509</v>
      </c>
      <c r="F16" s="84">
        <v>4.5</v>
      </c>
      <c r="G16" s="84">
        <v>4.1</v>
      </c>
      <c r="H16" s="84"/>
      <c r="I16" s="84"/>
      <c r="J16" s="84">
        <v>0.4</v>
      </c>
      <c r="K16" s="84"/>
      <c r="L16" s="20"/>
      <c r="M16" s="20"/>
    </row>
    <row r="17" spans="1:13" ht="16.5">
      <c r="A17" s="31">
        <v>12</v>
      </c>
      <c r="B17" s="32" t="s">
        <v>63</v>
      </c>
      <c r="C17" s="83">
        <v>351</v>
      </c>
      <c r="D17" s="83">
        <v>439</v>
      </c>
      <c r="E17" s="82">
        <f t="shared" si="0"/>
        <v>125.07122507122507</v>
      </c>
      <c r="F17" s="84"/>
      <c r="G17" s="84"/>
      <c r="H17" s="84">
        <v>351</v>
      </c>
      <c r="I17" s="84">
        <v>439</v>
      </c>
      <c r="J17" s="84"/>
      <c r="K17" s="84"/>
      <c r="L17" s="20"/>
      <c r="M17" s="20"/>
    </row>
    <row r="18" spans="1:13" ht="16.5">
      <c r="A18" s="31">
        <v>13</v>
      </c>
      <c r="B18" s="32" t="s">
        <v>69</v>
      </c>
      <c r="C18" s="83">
        <v>2</v>
      </c>
      <c r="D18" s="83">
        <v>1</v>
      </c>
      <c r="E18" s="82">
        <f t="shared" si="0"/>
        <v>50</v>
      </c>
      <c r="F18" s="84"/>
      <c r="G18" s="84"/>
      <c r="H18" s="84"/>
      <c r="I18" s="84"/>
      <c r="J18" s="84">
        <v>2</v>
      </c>
      <c r="K18" s="84">
        <v>1</v>
      </c>
      <c r="L18" s="20"/>
      <c r="M18" s="20"/>
    </row>
    <row r="19" spans="1:13" ht="46.5" customHeight="1">
      <c r="A19" s="214" t="s">
        <v>87</v>
      </c>
      <c r="B19" s="215"/>
      <c r="C19" s="83">
        <f>SUM(C6:C18)</f>
        <v>507.9</v>
      </c>
      <c r="D19" s="83">
        <f>SUM(D6:D18)</f>
        <v>570.498</v>
      </c>
      <c r="E19" s="82">
        <f t="shared" si="0"/>
        <v>112.32486709982281</v>
      </c>
      <c r="F19" s="84">
        <f aca="true" t="shared" si="1" ref="F19:K19">SUM(F6:F18)</f>
        <v>139.1</v>
      </c>
      <c r="G19" s="84">
        <f t="shared" si="1"/>
        <v>118.84800000000001</v>
      </c>
      <c r="H19" s="84">
        <f t="shared" si="1"/>
        <v>360.8</v>
      </c>
      <c r="I19" s="84">
        <f t="shared" si="1"/>
        <v>447.07</v>
      </c>
      <c r="J19" s="84">
        <f t="shared" si="1"/>
        <v>8</v>
      </c>
      <c r="K19" s="84">
        <f t="shared" si="1"/>
        <v>4.58</v>
      </c>
      <c r="L19" s="20"/>
      <c r="M19" s="20"/>
    </row>
    <row r="20" spans="1:13" ht="16.5">
      <c r="A20" s="31">
        <v>1</v>
      </c>
      <c r="B20" s="32" t="s">
        <v>80</v>
      </c>
      <c r="C20" s="83"/>
      <c r="D20" s="83"/>
      <c r="E20" s="82"/>
      <c r="F20" s="84"/>
      <c r="G20" s="84"/>
      <c r="H20" s="84"/>
      <c r="I20" s="84"/>
      <c r="J20" s="84"/>
      <c r="K20" s="84"/>
      <c r="L20" s="20"/>
      <c r="M20" s="20"/>
    </row>
    <row r="21" spans="1:13" ht="18">
      <c r="A21" s="31">
        <v>2</v>
      </c>
      <c r="B21" s="32" t="s">
        <v>86</v>
      </c>
      <c r="C21" s="83"/>
      <c r="D21" s="83"/>
      <c r="E21" s="82"/>
      <c r="F21" s="16"/>
      <c r="G21" s="84"/>
      <c r="H21" s="16"/>
      <c r="I21" s="84"/>
      <c r="J21" s="84"/>
      <c r="K21" s="84"/>
      <c r="L21" s="20"/>
      <c r="M21" s="20"/>
    </row>
    <row r="22" spans="1:13" ht="18">
      <c r="A22" s="216" t="s">
        <v>88</v>
      </c>
      <c r="B22" s="217"/>
      <c r="C22" s="83">
        <f>SUM(C20:C21)</f>
        <v>0</v>
      </c>
      <c r="D22" s="83">
        <f>SUM(D20:D21)</f>
        <v>0</v>
      </c>
      <c r="E22" s="82"/>
      <c r="F22" s="16">
        <f aca="true" t="shared" si="2" ref="F22:K22">SUM(F20:F21)</f>
        <v>0</v>
      </c>
      <c r="G22" s="84">
        <f t="shared" si="2"/>
        <v>0</v>
      </c>
      <c r="H22" s="16">
        <f t="shared" si="2"/>
        <v>0</v>
      </c>
      <c r="I22" s="84">
        <f t="shared" si="2"/>
        <v>0</v>
      </c>
      <c r="J22" s="84">
        <f t="shared" si="2"/>
        <v>0</v>
      </c>
      <c r="K22" s="84">
        <f t="shared" si="2"/>
        <v>0</v>
      </c>
      <c r="L22" s="20"/>
      <c r="M22" s="20"/>
    </row>
    <row r="23" spans="1:13" ht="16.5">
      <c r="A23" s="209" t="s">
        <v>89</v>
      </c>
      <c r="B23" s="210"/>
      <c r="C23" s="85">
        <f>C19+C22</f>
        <v>507.9</v>
      </c>
      <c r="D23" s="85">
        <f>D19+D22</f>
        <v>570.498</v>
      </c>
      <c r="E23" s="82">
        <f t="shared" si="0"/>
        <v>112.32486709982281</v>
      </c>
      <c r="F23" s="85">
        <f aca="true" t="shared" si="3" ref="F23:K23">F19+F22</f>
        <v>139.1</v>
      </c>
      <c r="G23" s="85">
        <f t="shared" si="3"/>
        <v>118.84800000000001</v>
      </c>
      <c r="H23" s="85">
        <f t="shared" si="3"/>
        <v>360.8</v>
      </c>
      <c r="I23" s="85">
        <f t="shared" si="3"/>
        <v>447.07</v>
      </c>
      <c r="J23" s="85">
        <f t="shared" si="3"/>
        <v>8</v>
      </c>
      <c r="K23" s="85">
        <f t="shared" si="3"/>
        <v>4.58</v>
      </c>
      <c r="L23" s="20"/>
      <c r="M23" s="20"/>
    </row>
  </sheetData>
  <sheetProtection/>
  <mergeCells count="5">
    <mergeCell ref="A23:B23"/>
    <mergeCell ref="A3:A5"/>
    <mergeCell ref="B3:B5"/>
    <mergeCell ref="A19:B19"/>
    <mergeCell ref="A22:B22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V22" sqref="V22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7.875" style="0" customWidth="1"/>
    <col min="4" max="4" width="9.375" style="0" customWidth="1"/>
    <col min="5" max="5" width="8.25390625" style="0" customWidth="1"/>
    <col min="6" max="7" width="7.125" style="0" customWidth="1"/>
    <col min="8" max="8" width="8.7539062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8.62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116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78"/>
      <c r="B4" s="23" t="s">
        <v>3</v>
      </c>
      <c r="C4" s="26" t="s">
        <v>65</v>
      </c>
      <c r="D4" s="104"/>
      <c r="E4" s="104"/>
      <c r="F4" s="102"/>
      <c r="G4" s="102"/>
      <c r="H4" s="105"/>
      <c r="I4" s="97" t="s">
        <v>46</v>
      </c>
      <c r="J4" s="102"/>
      <c r="K4" s="104"/>
      <c r="L4" s="102"/>
      <c r="M4" s="102"/>
      <c r="N4" s="105"/>
      <c r="O4" s="97" t="s">
        <v>47</v>
      </c>
      <c r="P4" s="102"/>
      <c r="Q4" s="104"/>
      <c r="R4" s="102"/>
      <c r="S4" s="102"/>
      <c r="T4" s="105"/>
    </row>
    <row r="5" spans="1:20" ht="15" customHeight="1">
      <c r="A5" s="79" t="s">
        <v>2</v>
      </c>
      <c r="B5" s="33"/>
      <c r="C5" s="25" t="s">
        <v>48</v>
      </c>
      <c r="D5" s="102"/>
      <c r="E5" s="155" t="s">
        <v>102</v>
      </c>
      <c r="F5" s="97" t="s">
        <v>49</v>
      </c>
      <c r="G5" s="101"/>
      <c r="H5" s="155" t="s">
        <v>102</v>
      </c>
      <c r="I5" s="150" t="s">
        <v>48</v>
      </c>
      <c r="J5" s="150"/>
      <c r="K5" s="155" t="s">
        <v>102</v>
      </c>
      <c r="L5" s="150" t="s">
        <v>49</v>
      </c>
      <c r="M5" s="150"/>
      <c r="N5" s="155" t="s">
        <v>102</v>
      </c>
      <c r="O5" s="102" t="s">
        <v>48</v>
      </c>
      <c r="P5" s="102"/>
      <c r="Q5" s="155" t="s">
        <v>83</v>
      </c>
      <c r="R5" s="158" t="s">
        <v>49</v>
      </c>
      <c r="S5" s="159"/>
      <c r="T5" s="155" t="s">
        <v>102</v>
      </c>
    </row>
    <row r="6" spans="1:20" ht="15">
      <c r="A6" s="79" t="s">
        <v>68</v>
      </c>
      <c r="B6" s="33"/>
      <c r="C6" s="153">
        <v>2011</v>
      </c>
      <c r="D6" s="153">
        <v>2012</v>
      </c>
      <c r="E6" s="156"/>
      <c r="F6" s="153">
        <v>2011</v>
      </c>
      <c r="G6" s="153">
        <v>2012</v>
      </c>
      <c r="H6" s="156"/>
      <c r="I6" s="153">
        <v>2011</v>
      </c>
      <c r="J6" s="153">
        <v>2012</v>
      </c>
      <c r="K6" s="156"/>
      <c r="L6" s="153">
        <v>2011</v>
      </c>
      <c r="M6" s="153">
        <v>2012</v>
      </c>
      <c r="N6" s="156"/>
      <c r="O6" s="153">
        <v>2011</v>
      </c>
      <c r="P6" s="153">
        <v>2012</v>
      </c>
      <c r="Q6" s="156"/>
      <c r="R6" s="153">
        <v>2011</v>
      </c>
      <c r="S6" s="153">
        <v>2012</v>
      </c>
      <c r="T6" s="156"/>
    </row>
    <row r="7" spans="1:20" ht="15">
      <c r="A7" s="80"/>
      <c r="B7" s="29"/>
      <c r="C7" s="154"/>
      <c r="D7" s="154"/>
      <c r="E7" s="157"/>
      <c r="F7" s="154"/>
      <c r="G7" s="154"/>
      <c r="H7" s="157"/>
      <c r="I7" s="154"/>
      <c r="J7" s="154"/>
      <c r="K7" s="157"/>
      <c r="L7" s="154"/>
      <c r="M7" s="154"/>
      <c r="N7" s="157"/>
      <c r="O7" s="154"/>
      <c r="P7" s="154"/>
      <c r="Q7" s="157"/>
      <c r="R7" s="154"/>
      <c r="S7" s="154"/>
      <c r="T7" s="157"/>
    </row>
    <row r="8" spans="1:20" ht="15">
      <c r="A8" s="2">
        <v>1</v>
      </c>
      <c r="B8" s="22" t="s">
        <v>55</v>
      </c>
      <c r="C8" s="124">
        <v>128</v>
      </c>
      <c r="D8" s="3">
        <v>105</v>
      </c>
      <c r="E8" s="36">
        <f aca="true" t="shared" si="0" ref="E8:E18">D8/C8*100</f>
        <v>82.03125</v>
      </c>
      <c r="F8" s="3"/>
      <c r="G8" s="3"/>
      <c r="H8" s="36"/>
      <c r="I8" s="3">
        <v>27898</v>
      </c>
      <c r="J8" s="3">
        <v>20044</v>
      </c>
      <c r="K8" s="36">
        <f>J8*100/I8</f>
        <v>71.84744426123737</v>
      </c>
      <c r="L8" s="3"/>
      <c r="M8" s="3"/>
      <c r="N8" s="36"/>
      <c r="O8" s="36">
        <f aca="true" t="shared" si="1" ref="O8:O18">C8/I8*100000</f>
        <v>458.8142519177002</v>
      </c>
      <c r="P8" s="36">
        <f aca="true" t="shared" si="2" ref="P8:P17">D8/J8*100000</f>
        <v>523.8475354220715</v>
      </c>
      <c r="Q8" s="36">
        <f aca="true" t="shared" si="3" ref="Q8:Q18">P8/O8*100</f>
        <v>114.17420736878867</v>
      </c>
      <c r="R8" s="36"/>
      <c r="S8" s="36"/>
      <c r="T8" s="36"/>
    </row>
    <row r="9" spans="1:20" ht="15">
      <c r="A9" s="2">
        <v>2</v>
      </c>
      <c r="B9" s="22" t="s">
        <v>56</v>
      </c>
      <c r="C9" s="124">
        <v>61.6</v>
      </c>
      <c r="D9" s="3">
        <v>61.88</v>
      </c>
      <c r="E9" s="36">
        <f t="shared" si="0"/>
        <v>100.45454545454547</v>
      </c>
      <c r="F9" s="3"/>
      <c r="G9" s="3"/>
      <c r="H9" s="36"/>
      <c r="I9" s="3">
        <v>24458</v>
      </c>
      <c r="J9" s="3">
        <v>18903</v>
      </c>
      <c r="K9" s="36">
        <f aca="true" t="shared" si="4" ref="K9:K23">J9*100/I9</f>
        <v>77.28759506092076</v>
      </c>
      <c r="L9" s="3"/>
      <c r="M9" s="3"/>
      <c r="N9" s="36"/>
      <c r="O9" s="36">
        <f t="shared" si="1"/>
        <v>251.86033199771038</v>
      </c>
      <c r="P9" s="36">
        <f t="shared" si="2"/>
        <v>327.3554462254669</v>
      </c>
      <c r="Q9" s="36">
        <f t="shared" si="3"/>
        <v>129.9749919445206</v>
      </c>
      <c r="R9" s="36"/>
      <c r="S9" s="36"/>
      <c r="T9" s="36"/>
    </row>
    <row r="10" spans="1:20" ht="15">
      <c r="A10" s="2">
        <v>3</v>
      </c>
      <c r="B10" s="37" t="s">
        <v>57</v>
      </c>
      <c r="C10" s="125">
        <v>46</v>
      </c>
      <c r="D10" s="19">
        <v>39</v>
      </c>
      <c r="E10" s="36">
        <f t="shared" si="0"/>
        <v>84.78260869565217</v>
      </c>
      <c r="F10" s="19"/>
      <c r="G10" s="19"/>
      <c r="H10" s="36"/>
      <c r="I10" s="3">
        <v>7435</v>
      </c>
      <c r="J10" s="3">
        <v>5675</v>
      </c>
      <c r="K10" s="36">
        <f t="shared" si="4"/>
        <v>76.32817753866846</v>
      </c>
      <c r="L10" s="19"/>
      <c r="M10" s="19"/>
      <c r="N10" s="87"/>
      <c r="O10" s="36">
        <f t="shared" si="1"/>
        <v>618.6953597848017</v>
      </c>
      <c r="P10" s="36">
        <f t="shared" si="2"/>
        <v>687.2246696035243</v>
      </c>
      <c r="Q10" s="36">
        <f t="shared" si="3"/>
        <v>111.07642214135223</v>
      </c>
      <c r="R10" s="87"/>
      <c r="S10" s="87"/>
      <c r="T10" s="87"/>
    </row>
    <row r="11" spans="1:20" ht="15">
      <c r="A11" s="2">
        <v>4</v>
      </c>
      <c r="B11" s="22" t="s">
        <v>58</v>
      </c>
      <c r="C11" s="124">
        <v>283</v>
      </c>
      <c r="D11" s="3">
        <v>226.9</v>
      </c>
      <c r="E11" s="36">
        <f t="shared" si="0"/>
        <v>80.17667844522968</v>
      </c>
      <c r="F11" s="3">
        <v>128.7</v>
      </c>
      <c r="G11" s="3">
        <v>123</v>
      </c>
      <c r="H11" s="36">
        <f>G11/F11*100</f>
        <v>95.57109557109558</v>
      </c>
      <c r="I11" s="3">
        <v>70616</v>
      </c>
      <c r="J11" s="3">
        <v>63882</v>
      </c>
      <c r="K11" s="36">
        <f t="shared" si="4"/>
        <v>90.4639175257732</v>
      </c>
      <c r="L11" s="3">
        <v>31293</v>
      </c>
      <c r="M11" s="3">
        <v>30107</v>
      </c>
      <c r="N11" s="36">
        <f>M11/L11*100</f>
        <v>96.2100150193334</v>
      </c>
      <c r="O11" s="36">
        <f t="shared" si="1"/>
        <v>400.7590347796533</v>
      </c>
      <c r="P11" s="36">
        <f t="shared" si="2"/>
        <v>355.1861244168937</v>
      </c>
      <c r="Q11" s="36">
        <f t="shared" si="3"/>
        <v>88.62835110184936</v>
      </c>
      <c r="R11" s="36">
        <f>F11/L11*100000</f>
        <v>411.2740868564855</v>
      </c>
      <c r="S11" s="36">
        <f>G11/M11*100000</f>
        <v>408.54286378583055</v>
      </c>
      <c r="T11" s="36">
        <f>S11/R11*100</f>
        <v>99.33591170512817</v>
      </c>
    </row>
    <row r="12" spans="1:20" ht="15">
      <c r="A12" s="2">
        <v>5</v>
      </c>
      <c r="B12" s="22" t="s">
        <v>59</v>
      </c>
      <c r="C12" s="126">
        <v>83</v>
      </c>
      <c r="D12" s="88">
        <v>105</v>
      </c>
      <c r="E12" s="89">
        <f t="shared" si="0"/>
        <v>126.50602409638554</v>
      </c>
      <c r="F12" s="88">
        <v>91</v>
      </c>
      <c r="G12" s="88">
        <v>10.73</v>
      </c>
      <c r="H12" s="36">
        <f>G12/F12*100</f>
        <v>11.791208791208792</v>
      </c>
      <c r="I12" s="3">
        <v>18154</v>
      </c>
      <c r="J12" s="3">
        <v>24461</v>
      </c>
      <c r="K12" s="36">
        <f t="shared" si="4"/>
        <v>134.74165473173957</v>
      </c>
      <c r="L12" s="3">
        <v>24292</v>
      </c>
      <c r="M12" s="3">
        <v>10633</v>
      </c>
      <c r="N12" s="36">
        <f>M12/L12*100</f>
        <v>43.7716120533509</v>
      </c>
      <c r="O12" s="36">
        <f t="shared" si="1"/>
        <v>457.19951525834523</v>
      </c>
      <c r="P12" s="36">
        <f t="shared" si="2"/>
        <v>429.254732022403</v>
      </c>
      <c r="Q12" s="36">
        <f t="shared" si="3"/>
        <v>93.88783620644222</v>
      </c>
      <c r="R12" s="36">
        <f>F12/L12*100000</f>
        <v>374.6089247488885</v>
      </c>
      <c r="S12" s="36">
        <f>G12/M12*100000</f>
        <v>100.91225430264271</v>
      </c>
      <c r="T12" s="36">
        <f>S12/R12*100</f>
        <v>26.938027269448316</v>
      </c>
    </row>
    <row r="13" spans="1:20" ht="15">
      <c r="A13" s="2">
        <v>6</v>
      </c>
      <c r="B13" s="38" t="s">
        <v>71</v>
      </c>
      <c r="C13" s="126">
        <v>55</v>
      </c>
      <c r="D13" s="88">
        <v>125.56</v>
      </c>
      <c r="E13" s="89">
        <f t="shared" si="0"/>
        <v>228.2909090909091</v>
      </c>
      <c r="F13" s="88"/>
      <c r="G13" s="88"/>
      <c r="H13" s="89"/>
      <c r="I13" s="88">
        <v>19978</v>
      </c>
      <c r="J13" s="88">
        <v>21431</v>
      </c>
      <c r="K13" s="36">
        <f t="shared" si="4"/>
        <v>107.27300030033037</v>
      </c>
      <c r="L13" s="88"/>
      <c r="M13" s="88"/>
      <c r="N13" s="89"/>
      <c r="O13" s="36">
        <f t="shared" si="1"/>
        <v>275.3028331164281</v>
      </c>
      <c r="P13" s="36">
        <f t="shared" si="2"/>
        <v>585.8802669030844</v>
      </c>
      <c r="Q13" s="36">
        <f t="shared" si="3"/>
        <v>212.81301767617853</v>
      </c>
      <c r="R13" s="36"/>
      <c r="S13" s="36"/>
      <c r="T13" s="89"/>
    </row>
    <row r="14" spans="1:20" ht="15">
      <c r="A14" s="2">
        <v>7</v>
      </c>
      <c r="B14" s="38" t="s">
        <v>60</v>
      </c>
      <c r="C14" s="126">
        <v>42.6</v>
      </c>
      <c r="D14" s="88"/>
      <c r="E14" s="89">
        <f t="shared" si="0"/>
        <v>0</v>
      </c>
      <c r="F14" s="88"/>
      <c r="G14" s="88"/>
      <c r="H14" s="89"/>
      <c r="I14" s="88">
        <v>17981</v>
      </c>
      <c r="J14" s="88"/>
      <c r="K14" s="36">
        <f t="shared" si="4"/>
        <v>0</v>
      </c>
      <c r="L14" s="88"/>
      <c r="M14" s="88"/>
      <c r="N14" s="89"/>
      <c r="O14" s="36">
        <f t="shared" si="1"/>
        <v>236.9167454535343</v>
      </c>
      <c r="P14" s="36"/>
      <c r="Q14" s="89"/>
      <c r="R14" s="36"/>
      <c r="S14" s="3"/>
      <c r="T14" s="89"/>
    </row>
    <row r="15" spans="1:20" ht="15">
      <c r="A15" s="2">
        <v>8</v>
      </c>
      <c r="B15" s="32" t="s">
        <v>85</v>
      </c>
      <c r="C15" s="126"/>
      <c r="D15" s="88">
        <v>88.11</v>
      </c>
      <c r="E15" s="89"/>
      <c r="F15" s="88"/>
      <c r="G15" s="88"/>
      <c r="H15" s="89"/>
      <c r="I15" s="88"/>
      <c r="J15" s="88">
        <v>24626</v>
      </c>
      <c r="K15" s="36"/>
      <c r="L15" s="88"/>
      <c r="M15" s="88"/>
      <c r="N15" s="89"/>
      <c r="O15" s="36"/>
      <c r="P15" s="36">
        <f t="shared" si="2"/>
        <v>357.7925769511898</v>
      </c>
      <c r="Q15" s="89"/>
      <c r="R15" s="36"/>
      <c r="S15" s="3"/>
      <c r="T15" s="89"/>
    </row>
    <row r="16" spans="1:20" s="69" customFormat="1" ht="15">
      <c r="A16" s="2">
        <v>9</v>
      </c>
      <c r="B16" s="32" t="s">
        <v>70</v>
      </c>
      <c r="C16" s="127">
        <v>57.16</v>
      </c>
      <c r="D16" s="90">
        <v>119.07</v>
      </c>
      <c r="E16" s="91">
        <f t="shared" si="0"/>
        <v>208.31000699790062</v>
      </c>
      <c r="F16" s="90"/>
      <c r="G16" s="90"/>
      <c r="H16" s="91"/>
      <c r="I16" s="90">
        <v>14851</v>
      </c>
      <c r="J16" s="90">
        <v>23402</v>
      </c>
      <c r="K16" s="36">
        <f t="shared" si="4"/>
        <v>157.57861423473167</v>
      </c>
      <c r="L16" s="90"/>
      <c r="M16" s="90"/>
      <c r="N16" s="91"/>
      <c r="O16" s="36">
        <f t="shared" si="1"/>
        <v>384.8899064036092</v>
      </c>
      <c r="P16" s="36">
        <f t="shared" si="2"/>
        <v>508.8026664387659</v>
      </c>
      <c r="Q16" s="91">
        <f t="shared" si="3"/>
        <v>132.1943386858312</v>
      </c>
      <c r="R16" s="36"/>
      <c r="S16" s="36"/>
      <c r="T16" s="36"/>
    </row>
    <row r="17" spans="1:20" ht="15">
      <c r="A17" s="2">
        <v>10</v>
      </c>
      <c r="B17" s="38" t="s">
        <v>61</v>
      </c>
      <c r="C17" s="126">
        <v>47</v>
      </c>
      <c r="D17" s="88">
        <v>94</v>
      </c>
      <c r="E17" s="89">
        <f t="shared" si="0"/>
        <v>200</v>
      </c>
      <c r="F17" s="88"/>
      <c r="G17" s="88"/>
      <c r="H17" s="89"/>
      <c r="I17" s="88">
        <v>21754</v>
      </c>
      <c r="J17" s="88">
        <v>24277</v>
      </c>
      <c r="K17" s="36">
        <f t="shared" si="4"/>
        <v>111.5978670589317</v>
      </c>
      <c r="L17" s="88"/>
      <c r="M17" s="88"/>
      <c r="N17" s="89"/>
      <c r="O17" s="36">
        <f t="shared" si="1"/>
        <v>216.05222028132755</v>
      </c>
      <c r="P17" s="36">
        <f t="shared" si="2"/>
        <v>387.1977591959468</v>
      </c>
      <c r="Q17" s="89">
        <f t="shared" si="3"/>
        <v>179.21489475635377</v>
      </c>
      <c r="R17" s="36"/>
      <c r="S17" s="36"/>
      <c r="T17" s="89"/>
    </row>
    <row r="18" spans="1:20" ht="15">
      <c r="A18" s="2">
        <v>11</v>
      </c>
      <c r="B18" s="38" t="s">
        <v>62</v>
      </c>
      <c r="C18" s="126">
        <v>32.6</v>
      </c>
      <c r="D18" s="88">
        <v>18.1</v>
      </c>
      <c r="E18" s="89">
        <f t="shared" si="0"/>
        <v>55.52147239263804</v>
      </c>
      <c r="F18" s="88"/>
      <c r="G18" s="88"/>
      <c r="H18" s="89"/>
      <c r="I18" s="88">
        <v>7986</v>
      </c>
      <c r="J18" s="88">
        <v>2520</v>
      </c>
      <c r="K18" s="36">
        <f t="shared" si="4"/>
        <v>31.555221637866264</v>
      </c>
      <c r="L18" s="88"/>
      <c r="M18" s="88"/>
      <c r="N18" s="89"/>
      <c r="O18" s="36">
        <f t="shared" si="1"/>
        <v>408.21437515652394</v>
      </c>
      <c r="P18" s="36">
        <f>D18/J18*100000</f>
        <v>718.2539682539683</v>
      </c>
      <c r="Q18" s="89">
        <f t="shared" si="3"/>
        <v>175.95018989190768</v>
      </c>
      <c r="R18" s="36"/>
      <c r="S18" s="36"/>
      <c r="T18" s="89"/>
    </row>
    <row r="19" spans="1:20" ht="15">
      <c r="A19" s="2">
        <v>12</v>
      </c>
      <c r="B19" s="81" t="s">
        <v>63</v>
      </c>
      <c r="C19" s="126"/>
      <c r="D19" s="88"/>
      <c r="E19" s="89"/>
      <c r="F19" s="88">
        <v>3712</v>
      </c>
      <c r="G19" s="88">
        <v>4614</v>
      </c>
      <c r="H19" s="89">
        <f>G19/F19*100</f>
        <v>124.29956896551724</v>
      </c>
      <c r="I19" s="3"/>
      <c r="J19" s="88"/>
      <c r="K19" s="36"/>
      <c r="L19" s="88">
        <v>962148</v>
      </c>
      <c r="M19" s="88">
        <v>1120648</v>
      </c>
      <c r="N19" s="89">
        <f>M19/L19*100</f>
        <v>116.47355708269413</v>
      </c>
      <c r="O19" s="36"/>
      <c r="P19" s="36"/>
      <c r="Q19" s="89"/>
      <c r="R19" s="36">
        <f aca="true" t="shared" si="5" ref="R19:S21">F19/L19*100000</f>
        <v>385.80343148871066</v>
      </c>
      <c r="S19" s="36">
        <f t="shared" si="5"/>
        <v>411.7260727721818</v>
      </c>
      <c r="T19" s="89">
        <f>S19/R19*100</f>
        <v>106.71913186034729</v>
      </c>
    </row>
    <row r="20" spans="1:20" ht="43.5" customHeight="1">
      <c r="A20" s="142" t="s">
        <v>101</v>
      </c>
      <c r="B20" s="143"/>
      <c r="C20" s="128">
        <f>SUM(C8:C19)</f>
        <v>835.96</v>
      </c>
      <c r="D20" s="3">
        <f>SUM(D8:D19)</f>
        <v>982.62</v>
      </c>
      <c r="E20" s="36">
        <f>D20/C20*100</f>
        <v>117.54390162208716</v>
      </c>
      <c r="F20" s="36">
        <f>SUM(F11:F19)</f>
        <v>3931.7</v>
      </c>
      <c r="G20" s="3">
        <f>SUM(G11:G19)</f>
        <v>4747.73</v>
      </c>
      <c r="H20" s="36">
        <f>G20/F20*100</f>
        <v>120.75514408525574</v>
      </c>
      <c r="I20" s="3">
        <f>SUM(I8:I19)</f>
        <v>231111</v>
      </c>
      <c r="J20" s="3">
        <f>SUM(J8:J19)</f>
        <v>229221</v>
      </c>
      <c r="K20" s="36">
        <f t="shared" si="4"/>
        <v>99.18221114529382</v>
      </c>
      <c r="L20" s="3">
        <f>SUM(L11:L19)</f>
        <v>1017733</v>
      </c>
      <c r="M20" s="3">
        <f>SUM(M11:M19)</f>
        <v>1161388</v>
      </c>
      <c r="N20" s="36">
        <f>M20/L20*100</f>
        <v>114.11519524276012</v>
      </c>
      <c r="O20" s="36">
        <f aca="true" t="shared" si="6" ref="O20:P23">C20/I20*100000</f>
        <v>361.71363543924787</v>
      </c>
      <c r="P20" s="36">
        <f t="shared" si="6"/>
        <v>428.67800070674156</v>
      </c>
      <c r="Q20" s="36">
        <f>P20/O20*100</f>
        <v>118.51308845080595</v>
      </c>
      <c r="R20" s="36">
        <f t="shared" si="5"/>
        <v>386.3193981132576</v>
      </c>
      <c r="S20" s="36">
        <f t="shared" si="5"/>
        <v>408.7979211081912</v>
      </c>
      <c r="T20" s="36">
        <f>S20/R20*100</f>
        <v>105.8186368856227</v>
      </c>
    </row>
    <row r="21" spans="1:20" ht="15">
      <c r="A21" s="2">
        <v>13</v>
      </c>
      <c r="B21" s="32" t="s">
        <v>80</v>
      </c>
      <c r="C21" s="96"/>
      <c r="D21" s="88"/>
      <c r="E21" s="36"/>
      <c r="F21" s="88">
        <v>15</v>
      </c>
      <c r="G21" s="88">
        <v>23</v>
      </c>
      <c r="H21" s="36"/>
      <c r="I21" s="3"/>
      <c r="J21" s="88"/>
      <c r="K21" s="36"/>
      <c r="L21" s="88">
        <v>13654</v>
      </c>
      <c r="M21" s="88">
        <v>11735</v>
      </c>
      <c r="N21" s="89">
        <f>M21/L21*100</f>
        <v>85.94551047312143</v>
      </c>
      <c r="O21" s="36"/>
      <c r="P21" s="36"/>
      <c r="Q21" s="36"/>
      <c r="R21" s="36">
        <f t="shared" si="5"/>
        <v>109.8579170938919</v>
      </c>
      <c r="S21" s="36">
        <f t="shared" si="5"/>
        <v>195.994887089902</v>
      </c>
      <c r="T21" s="36"/>
    </row>
    <row r="22" spans="1:20" ht="18" customHeight="1">
      <c r="A22" s="144" t="s">
        <v>88</v>
      </c>
      <c r="B22" s="145"/>
      <c r="C22" s="88"/>
      <c r="D22" s="88"/>
      <c r="E22" s="36"/>
      <c r="F22" s="88">
        <f>SUM(F21)</f>
        <v>15</v>
      </c>
      <c r="G22" s="88">
        <f>SUM(G21)</f>
        <v>23</v>
      </c>
      <c r="H22" s="36"/>
      <c r="I22" s="3"/>
      <c r="J22" s="88"/>
      <c r="K22" s="36"/>
      <c r="L22" s="88">
        <f>SUM(L21)</f>
        <v>13654</v>
      </c>
      <c r="M22" s="88">
        <f>SUM(M21)</f>
        <v>11735</v>
      </c>
      <c r="N22" s="89">
        <f>M22/L22*100</f>
        <v>85.94551047312143</v>
      </c>
      <c r="O22" s="36"/>
      <c r="P22" s="36"/>
      <c r="Q22" s="36"/>
      <c r="R22" s="36">
        <f>F22/L22*100000</f>
        <v>109.8579170938919</v>
      </c>
      <c r="S22" s="36">
        <f>G22/M22*100000</f>
        <v>195.994887089902</v>
      </c>
      <c r="T22" s="36"/>
    </row>
    <row r="23" spans="1:20" ht="36.75" customHeight="1">
      <c r="A23" s="140" t="s">
        <v>89</v>
      </c>
      <c r="B23" s="141"/>
      <c r="C23" s="89">
        <f>C20+C22</f>
        <v>835.96</v>
      </c>
      <c r="D23" s="89">
        <f>D20+D22</f>
        <v>982.62</v>
      </c>
      <c r="E23" s="36">
        <f>D23/C23*100</f>
        <v>117.54390162208716</v>
      </c>
      <c r="F23" s="89">
        <f>F20+F22</f>
        <v>3946.7</v>
      </c>
      <c r="G23" s="89">
        <f>G20+G22</f>
        <v>4770.73</v>
      </c>
      <c r="H23" s="36">
        <f>G23/F23*100</f>
        <v>120.8789621709276</v>
      </c>
      <c r="I23" s="89">
        <f>I20+I22</f>
        <v>231111</v>
      </c>
      <c r="J23" s="89">
        <f>J20+J22</f>
        <v>229221</v>
      </c>
      <c r="K23" s="36">
        <f t="shared" si="4"/>
        <v>99.18221114529382</v>
      </c>
      <c r="L23" s="89">
        <f>L20+L22</f>
        <v>1031387</v>
      </c>
      <c r="M23" s="89">
        <f>M20+M22</f>
        <v>1173123</v>
      </c>
      <c r="N23" s="89"/>
      <c r="O23" s="36">
        <f t="shared" si="6"/>
        <v>361.71363543924787</v>
      </c>
      <c r="P23" s="36">
        <f t="shared" si="6"/>
        <v>428.67800070674156</v>
      </c>
      <c r="Q23" s="36">
        <f>P23/O23*100</f>
        <v>118.51308845080595</v>
      </c>
      <c r="R23" s="36">
        <f>F23/L23*100000</f>
        <v>382.65946729985933</v>
      </c>
      <c r="S23" s="36">
        <f>G23/M23*100000</f>
        <v>406.66920689475864</v>
      </c>
      <c r="T23" s="36">
        <f>S23/R23*100</f>
        <v>106.2744402390768</v>
      </c>
    </row>
  </sheetData>
  <sheetProtection/>
  <mergeCells count="24">
    <mergeCell ref="R6:R7"/>
    <mergeCell ref="O6:O7"/>
    <mergeCell ref="G6:G7"/>
    <mergeCell ref="H5:H7"/>
    <mergeCell ref="J6:J7"/>
    <mergeCell ref="S6:S7"/>
    <mergeCell ref="F6:F7"/>
    <mergeCell ref="I6:I7"/>
    <mergeCell ref="K5:K7"/>
    <mergeCell ref="E5:E7"/>
    <mergeCell ref="Q5:Q7"/>
    <mergeCell ref="N5:N7"/>
    <mergeCell ref="I5:J5"/>
    <mergeCell ref="P6:P7"/>
    <mergeCell ref="C6:C7"/>
    <mergeCell ref="D6:D7"/>
    <mergeCell ref="A23:B23"/>
    <mergeCell ref="T5:T7"/>
    <mergeCell ref="L5:M5"/>
    <mergeCell ref="R5:S5"/>
    <mergeCell ref="L6:L7"/>
    <mergeCell ref="M6:M7"/>
    <mergeCell ref="A20:B20"/>
    <mergeCell ref="A22:B22"/>
  </mergeCells>
  <printOptions/>
  <pageMargins left="0.75" right="0.75" top="1" bottom="1" header="0.5" footer="0.5"/>
  <pageSetup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75" zoomScaleNormal="50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7.375" style="0" customWidth="1"/>
    <col min="8" max="8" width="8.75390625" style="0" customWidth="1"/>
    <col min="9" max="9" width="8.375" style="0" customWidth="1"/>
    <col min="10" max="10" width="9.625" style="0" customWidth="1"/>
    <col min="11" max="11" width="13.75390625" style="0" customWidth="1"/>
    <col min="12" max="12" width="14.375" style="0" customWidth="1"/>
    <col min="13" max="13" width="9.125" style="72" customWidth="1"/>
  </cols>
  <sheetData>
    <row r="1" ht="15.75">
      <c r="B1" s="1" t="s">
        <v>115</v>
      </c>
    </row>
    <row r="2" spans="1:12" ht="15">
      <c r="A2" s="20"/>
      <c r="B2" s="20"/>
      <c r="C2" s="20"/>
      <c r="D2" s="20"/>
      <c r="E2" s="20"/>
      <c r="F2" s="20"/>
      <c r="G2" s="20"/>
      <c r="H2" s="10" t="s">
        <v>54</v>
      </c>
      <c r="I2" s="20"/>
      <c r="J2" s="20"/>
      <c r="K2" s="20"/>
      <c r="L2" s="20"/>
    </row>
    <row r="3" spans="1:13" ht="15" customHeight="1">
      <c r="A3" s="23" t="s">
        <v>2</v>
      </c>
      <c r="B3" s="23" t="s">
        <v>3</v>
      </c>
      <c r="C3" s="25"/>
      <c r="D3" s="25" t="s">
        <v>51</v>
      </c>
      <c r="E3" s="27"/>
      <c r="F3" s="164" t="s">
        <v>10</v>
      </c>
      <c r="G3" s="165"/>
      <c r="H3" s="166"/>
      <c r="I3" s="25" t="s">
        <v>6</v>
      </c>
      <c r="J3" s="27" t="s">
        <v>7</v>
      </c>
      <c r="K3" s="167"/>
      <c r="L3" s="167"/>
      <c r="M3" s="167"/>
    </row>
    <row r="4" spans="1:13" ht="15" customHeight="1">
      <c r="A4" s="33"/>
      <c r="B4" s="33"/>
      <c r="C4" s="9">
        <v>2011</v>
      </c>
      <c r="D4" s="42">
        <v>2012</v>
      </c>
      <c r="E4" s="19" t="s">
        <v>4</v>
      </c>
      <c r="F4" s="9">
        <v>2011</v>
      </c>
      <c r="G4" s="42">
        <v>2012</v>
      </c>
      <c r="H4" s="19" t="s">
        <v>4</v>
      </c>
      <c r="I4" s="9">
        <v>2011</v>
      </c>
      <c r="J4" s="19">
        <v>2012</v>
      </c>
      <c r="K4" s="169"/>
      <c r="L4" s="169"/>
      <c r="M4" s="168"/>
    </row>
    <row r="5" spans="1:13" ht="15">
      <c r="A5" s="29"/>
      <c r="B5" s="29"/>
      <c r="C5" s="28"/>
      <c r="D5" s="35"/>
      <c r="E5" s="11">
        <v>2011</v>
      </c>
      <c r="F5" s="28"/>
      <c r="G5" s="35"/>
      <c r="H5" s="11">
        <v>2011</v>
      </c>
      <c r="I5" s="35"/>
      <c r="J5" s="29"/>
      <c r="K5" s="169"/>
      <c r="L5" s="169"/>
      <c r="M5" s="168"/>
    </row>
    <row r="6" spans="1:13" ht="15">
      <c r="A6" s="3">
        <v>1</v>
      </c>
      <c r="B6" s="22" t="s">
        <v>55</v>
      </c>
      <c r="C6" s="3"/>
      <c r="D6" s="3"/>
      <c r="E6" s="36"/>
      <c r="F6" s="3">
        <v>25</v>
      </c>
      <c r="G6" s="3">
        <v>17</v>
      </c>
      <c r="H6" s="89">
        <f aca="true" t="shared" si="0" ref="H6:H19">G6*100/F6</f>
        <v>68</v>
      </c>
      <c r="I6" s="123">
        <f>F6+(C6*0.2)+('численность 1'!M6*0.3)+'численность 1'!G6+(('численность 1'!C6-'численность 1'!G6)*0.6)</f>
        <v>305.8</v>
      </c>
      <c r="J6" s="123">
        <f>G6+(D6*0.2)+('численность 1'!N6*0.3)+'численность 1'!H6+(('численность 1'!D6-'численность 1'!H6)*0.6)</f>
        <v>267.2</v>
      </c>
      <c r="K6" s="133"/>
      <c r="L6" s="133"/>
      <c r="M6" s="77"/>
    </row>
    <row r="7" spans="1:13" ht="15">
      <c r="A7" s="3">
        <v>2</v>
      </c>
      <c r="B7" s="22" t="s">
        <v>56</v>
      </c>
      <c r="C7" s="3"/>
      <c r="D7" s="3"/>
      <c r="E7" s="36"/>
      <c r="F7" s="3">
        <v>5</v>
      </c>
      <c r="G7" s="3">
        <v>4</v>
      </c>
      <c r="H7" s="89">
        <f t="shared" si="0"/>
        <v>80</v>
      </c>
      <c r="I7" s="123">
        <f>F7+(C7*0.2)+('численность 1'!M7*0.3)+'численность 1'!G7+(('численность 1'!C7-'численность 1'!G7)*0.6)</f>
        <v>189.8</v>
      </c>
      <c r="J7" s="123">
        <f>G7+(D7*0.2)+('численность 1'!N7*0.3)+'численность 1'!H7+(('численность 1'!D7-'численность 1'!H7)*0.6)</f>
        <v>196</v>
      </c>
      <c r="K7" s="133"/>
      <c r="L7" s="133"/>
      <c r="M7" s="77"/>
    </row>
    <row r="8" spans="1:13" ht="15">
      <c r="A8" s="3">
        <v>3</v>
      </c>
      <c r="B8" s="22" t="s">
        <v>57</v>
      </c>
      <c r="C8" s="3"/>
      <c r="D8" s="3"/>
      <c r="E8" s="36"/>
      <c r="F8" s="3">
        <v>1</v>
      </c>
      <c r="G8" s="3">
        <v>1</v>
      </c>
      <c r="H8" s="89">
        <f t="shared" si="0"/>
        <v>100</v>
      </c>
      <c r="I8" s="123">
        <f>F8+(C8*0.2)+('численность 1'!M8*0.3)+'численность 1'!G8+(('численность 1'!C8-'численность 1'!G8)*0.6)</f>
        <v>100.6</v>
      </c>
      <c r="J8" s="123">
        <f>G8+(D8*0.2)+('численность 1'!N8*0.3)+'численность 1'!H8+(('численность 1'!D8-'численность 1'!H8)*0.6)</f>
        <v>97</v>
      </c>
      <c r="K8" s="133"/>
      <c r="L8" s="133"/>
      <c r="M8" s="77"/>
    </row>
    <row r="9" spans="1:13" ht="15">
      <c r="A9" s="3">
        <v>4</v>
      </c>
      <c r="B9" s="22" t="s">
        <v>58</v>
      </c>
      <c r="C9" s="3"/>
      <c r="D9" s="3"/>
      <c r="E9" s="3"/>
      <c r="F9" s="3">
        <v>25</v>
      </c>
      <c r="G9" s="3">
        <v>20</v>
      </c>
      <c r="H9" s="89">
        <f t="shared" si="0"/>
        <v>80</v>
      </c>
      <c r="I9" s="123">
        <f>F9+(C9*0.2)+('численность 1'!M9*0.3)+'численность 1'!G9+(('численность 1'!C9-'численность 1'!G9)*0.6)</f>
        <v>760.8</v>
      </c>
      <c r="J9" s="123">
        <f>G9+(D9*0.2)+('численность 1'!N9*0.3)+'численность 1'!H9+(('численность 1'!D9-'численность 1'!H9)*0.6)</f>
        <v>777.7</v>
      </c>
      <c r="K9" s="134"/>
      <c r="L9" s="134"/>
      <c r="M9" s="77"/>
    </row>
    <row r="10" spans="1:13" ht="15">
      <c r="A10" s="3">
        <v>5</v>
      </c>
      <c r="B10" s="22" t="s">
        <v>59</v>
      </c>
      <c r="C10" s="86">
        <v>191</v>
      </c>
      <c r="D10" s="3">
        <v>129</v>
      </c>
      <c r="E10" s="89">
        <f>D10*100/C10</f>
        <v>67.53926701570681</v>
      </c>
      <c r="F10" s="3">
        <v>21</v>
      </c>
      <c r="G10" s="3">
        <v>16</v>
      </c>
      <c r="H10" s="89">
        <f t="shared" si="0"/>
        <v>76.19047619047619</v>
      </c>
      <c r="I10" s="123">
        <f>F10+(C10*0.2)+('численность 1'!M10*0.3)+'численность 1'!G10+(('численность 1'!C10-'численность 1'!G10)*0.6)</f>
        <v>593.9</v>
      </c>
      <c r="J10" s="123">
        <f>G10+(D10*0.2)+('численность 1'!N10*0.3)+'численность 1'!H10+(('численность 1'!D10-'численность 1'!H10)*0.6)</f>
        <v>392.8</v>
      </c>
      <c r="K10" s="133"/>
      <c r="L10" s="133"/>
      <c r="M10" s="77"/>
    </row>
    <row r="11" spans="1:13" ht="15">
      <c r="A11" s="3">
        <v>6</v>
      </c>
      <c r="B11" s="38" t="s">
        <v>71</v>
      </c>
      <c r="C11" s="88"/>
      <c r="D11" s="88"/>
      <c r="E11" s="89"/>
      <c r="F11" s="3">
        <v>9</v>
      </c>
      <c r="G11" s="3">
        <v>10</v>
      </c>
      <c r="H11" s="89">
        <f t="shared" si="0"/>
        <v>111.11111111111111</v>
      </c>
      <c r="I11" s="123">
        <f>F11+(C11*0.2)+('численность 1'!M11*0.3)+'численность 1'!G11+(('численность 1'!C11-'численность 1'!G11)*0.6)</f>
        <v>235.6</v>
      </c>
      <c r="J11" s="123">
        <f>G11+(D11*0.2)+('численность 1'!N11*0.3)+'численность 1'!H11+(('численность 1'!D11-'численность 1'!H11)*0.6)</f>
        <v>204.8</v>
      </c>
      <c r="K11" s="134"/>
      <c r="L11" s="134"/>
      <c r="M11" s="77"/>
    </row>
    <row r="12" spans="1:13" ht="15">
      <c r="A12" s="3">
        <v>7</v>
      </c>
      <c r="B12" s="22" t="s">
        <v>60</v>
      </c>
      <c r="C12" s="88"/>
      <c r="D12" s="88"/>
      <c r="E12" s="89"/>
      <c r="F12" s="88">
        <v>3</v>
      </c>
      <c r="G12" s="88"/>
      <c r="H12" s="89">
        <f t="shared" si="0"/>
        <v>0</v>
      </c>
      <c r="I12" s="123">
        <f>F12+(C12*0.2)+('численность 1'!M12*0.3)+'численность 1'!G12+(('численность 1'!C12-'численность 1'!G12)*0.6)</f>
        <v>150.6</v>
      </c>
      <c r="J12" s="123">
        <f>G12+(D12*0.2)+('численность 1'!N12*0.3)+'численность 1'!H12+(('численность 1'!D12-'численность 1'!H12)*0.6)</f>
        <v>0</v>
      </c>
      <c r="K12" s="134"/>
      <c r="L12" s="134"/>
      <c r="M12" s="77"/>
    </row>
    <row r="13" spans="1:13" ht="15">
      <c r="A13" s="3">
        <v>8</v>
      </c>
      <c r="B13" s="32" t="s">
        <v>85</v>
      </c>
      <c r="C13" s="88"/>
      <c r="D13" s="88"/>
      <c r="E13" s="89"/>
      <c r="F13" s="88"/>
      <c r="G13" s="88">
        <v>3</v>
      </c>
      <c r="H13" s="89"/>
      <c r="I13" s="123">
        <f>F13+(C13*0.2)+('численность 1'!M13*0.3)+'численность 1'!G13+(('численность 1'!C13-'численность 1'!G13)*0.6)</f>
        <v>0</v>
      </c>
      <c r="J13" s="123">
        <f>G13+(D13*0.2)+('численность 1'!N13*0.3)+'численность 1'!H13+(('численность 1'!D13-'численность 1'!H13)*0.6)</f>
        <v>177.2</v>
      </c>
      <c r="K13" s="134"/>
      <c r="L13" s="135"/>
      <c r="M13" s="77"/>
    </row>
    <row r="14" spans="1:13" ht="15">
      <c r="A14" s="3">
        <v>9</v>
      </c>
      <c r="B14" s="32" t="s">
        <v>70</v>
      </c>
      <c r="C14" s="88">
        <v>168</v>
      </c>
      <c r="D14" s="88">
        <v>206</v>
      </c>
      <c r="E14" s="89">
        <f>D14*100/C14</f>
        <v>122.61904761904762</v>
      </c>
      <c r="F14" s="3">
        <v>5</v>
      </c>
      <c r="G14" s="3">
        <v>3</v>
      </c>
      <c r="H14" s="89">
        <f t="shared" si="0"/>
        <v>60</v>
      </c>
      <c r="I14" s="123">
        <f>F14+(C14*0.2)+('численность 1'!M14*0.3)+'численность 1'!G14+(('численность 1'!C14-'численность 1'!G14)*0.6)</f>
        <v>212.6</v>
      </c>
      <c r="J14" s="123">
        <f>G14+(D14*0.2)+('численность 1'!N14*0.3)+'численность 1'!H14+(('численность 1'!D14-'численность 1'!H14)*0.6)</f>
        <v>236.8</v>
      </c>
      <c r="K14" s="134"/>
      <c r="L14" s="134"/>
      <c r="M14" s="77"/>
    </row>
    <row r="15" spans="1:13" ht="15">
      <c r="A15" s="3">
        <v>10</v>
      </c>
      <c r="B15" s="22" t="s">
        <v>61</v>
      </c>
      <c r="C15" s="88"/>
      <c r="D15" s="88"/>
      <c r="E15" s="89"/>
      <c r="F15" s="3">
        <v>3</v>
      </c>
      <c r="G15" s="3">
        <v>4</v>
      </c>
      <c r="H15" s="89">
        <f t="shared" si="0"/>
        <v>133.33333333333334</v>
      </c>
      <c r="I15" s="123">
        <f>F15+(C15*0.2)+('численность 1'!M15*0.3)+'численность 1'!G15+(('численность 1'!C15-'численность 1'!G15)*0.6)</f>
        <v>193.6</v>
      </c>
      <c r="J15" s="123">
        <f>G15+(D15*0.2)+('численность 1'!N15*0.3)+'численность 1'!H15+(('численность 1'!D15-'численность 1'!H15)*0.6)</f>
        <v>192.8</v>
      </c>
      <c r="K15" s="134"/>
      <c r="L15" s="134"/>
      <c r="M15" s="77"/>
    </row>
    <row r="16" spans="1:13" ht="15">
      <c r="A16" s="3">
        <v>11</v>
      </c>
      <c r="B16" s="22" t="s">
        <v>62</v>
      </c>
      <c r="C16" s="88"/>
      <c r="D16" s="88"/>
      <c r="E16" s="89"/>
      <c r="F16" s="3">
        <v>1</v>
      </c>
      <c r="G16" s="3">
        <v>1</v>
      </c>
      <c r="H16" s="89">
        <f t="shared" si="0"/>
        <v>100</v>
      </c>
      <c r="I16" s="123">
        <f>F16+(C16*0.2)+('численность 1'!M16*0.3)+'численность 1'!G16+(('численность 1'!C16-'численность 1'!G16)*0.6)</f>
        <v>73.6</v>
      </c>
      <c r="J16" s="123">
        <f>G16+(D16*0.2)+('численность 1'!N16*0.3)+'численность 1'!H16+(('численность 1'!D16-'численность 1'!H16)*0.6)</f>
        <v>43.2</v>
      </c>
      <c r="K16" s="134"/>
      <c r="L16" s="134"/>
      <c r="M16" s="77"/>
    </row>
    <row r="17" spans="1:13" ht="15">
      <c r="A17" s="3">
        <v>12</v>
      </c>
      <c r="B17" s="22" t="s">
        <v>63</v>
      </c>
      <c r="C17" s="88"/>
      <c r="D17" s="88"/>
      <c r="E17" s="89"/>
      <c r="F17" s="3">
        <v>1</v>
      </c>
      <c r="G17" s="3">
        <v>1</v>
      </c>
      <c r="H17" s="89">
        <f t="shared" si="0"/>
        <v>100</v>
      </c>
      <c r="I17" s="123">
        <f>F17+(C17*0.2)+('численность 1'!M17*0.3)+'численность 1'!G17+(('численность 1'!C17-'численность 1'!G17)*0.6)</f>
        <v>2794.9</v>
      </c>
      <c r="J17" s="123">
        <f>G17+(D17*0.2)+('численность 1'!N17*0.3)+'численность 1'!H17+(('численность 1'!D17-'численность 1'!H17)*0.6)</f>
        <v>2920.6</v>
      </c>
      <c r="K17" s="134"/>
      <c r="L17" s="134"/>
      <c r="M17" s="77"/>
    </row>
    <row r="18" spans="1:13" ht="15">
      <c r="A18" s="3">
        <v>13</v>
      </c>
      <c r="B18" s="32" t="s">
        <v>69</v>
      </c>
      <c r="C18" s="88"/>
      <c r="D18" s="88"/>
      <c r="E18" s="89"/>
      <c r="F18" s="3">
        <v>122</v>
      </c>
      <c r="G18" s="3">
        <v>162</v>
      </c>
      <c r="H18" s="89">
        <f t="shared" si="0"/>
        <v>132.78688524590163</v>
      </c>
      <c r="I18" s="123">
        <f>F18+(C18*0.2)+('численность 1'!M18*0.3)+'численность 1'!G18+(('численность 1'!C18-'численность 1'!G18)*0.6)</f>
        <v>122</v>
      </c>
      <c r="J18" s="123">
        <f>G18+(D18*0.2)+('численность 1'!N18*0.3)+'численность 1'!H18+(('численность 1'!D18-'численность 1'!H18)*0.6)</f>
        <v>162</v>
      </c>
      <c r="K18" s="134"/>
      <c r="L18" s="134"/>
      <c r="M18" s="77"/>
    </row>
    <row r="19" spans="1:13" ht="60" customHeight="1">
      <c r="A19" s="160" t="s">
        <v>101</v>
      </c>
      <c r="B19" s="161"/>
      <c r="C19" s="88">
        <f>SUM(C10:C18)</f>
        <v>359</v>
      </c>
      <c r="D19" s="88">
        <f>SUM(D10:D18)</f>
        <v>335</v>
      </c>
      <c r="E19" s="89">
        <f>D19*100/C19</f>
        <v>93.31476323119777</v>
      </c>
      <c r="F19" s="3">
        <f>SUM(F6:F18)</f>
        <v>221</v>
      </c>
      <c r="G19" s="3">
        <f>SUM(G6:G18)</f>
        <v>242</v>
      </c>
      <c r="H19" s="89">
        <f t="shared" si="0"/>
        <v>109.50226244343891</v>
      </c>
      <c r="I19" s="123">
        <f>SUM(I6:I18)</f>
        <v>5733.799999999999</v>
      </c>
      <c r="J19" s="123">
        <f>SUM(J6:J18)</f>
        <v>5668.1</v>
      </c>
      <c r="K19" s="134"/>
      <c r="L19" s="134"/>
      <c r="M19" s="77"/>
    </row>
    <row r="20" spans="1:13" ht="15">
      <c r="A20" s="3">
        <v>1</v>
      </c>
      <c r="B20" s="32" t="s">
        <v>80</v>
      </c>
      <c r="C20" s="88"/>
      <c r="D20" s="88"/>
      <c r="E20" s="89"/>
      <c r="F20" s="3"/>
      <c r="G20" s="3"/>
      <c r="H20" s="89"/>
      <c r="I20" s="123">
        <f>F20+(C20*0.2)+('численность 1'!M20*0.3)+'численность 1'!G20+(('численность 1'!C20-'численность 1'!G20)*0.6)</f>
        <v>28.5</v>
      </c>
      <c r="J20" s="123">
        <f>G20+(D20*0.2)+('численность 1'!N20*0.3)+'численность 1'!H20+(('численность 1'!D20-'численность 1'!H20)*0.6)</f>
        <v>30.599999999999998</v>
      </c>
      <c r="K20" s="135"/>
      <c r="L20" s="134"/>
      <c r="M20" s="77"/>
    </row>
    <row r="21" spans="1:13" ht="15">
      <c r="A21" s="3">
        <v>2</v>
      </c>
      <c r="B21" s="32" t="s">
        <v>86</v>
      </c>
      <c r="C21" s="3"/>
      <c r="D21" s="3">
        <v>60</v>
      </c>
      <c r="E21" s="36"/>
      <c r="F21" s="3"/>
      <c r="G21" s="3">
        <v>8</v>
      </c>
      <c r="H21" s="89"/>
      <c r="I21" s="123">
        <f>F21+(C21*0.2)+('численность 1'!M21*0.3)+'численность 1'!G21+(('численность 1'!C21-'численность 1'!G21)*0.6)</f>
        <v>0</v>
      </c>
      <c r="J21" s="123">
        <f>G21+(D21*0.2)+('численность 1'!N21*0.3)+'численность 1'!H21+(('численность 1'!D21-'численность 1'!H21)*0.6)</f>
        <v>20</v>
      </c>
      <c r="K21" s="133"/>
      <c r="L21" s="133"/>
      <c r="M21" s="77"/>
    </row>
    <row r="22" spans="1:12" ht="25.5" customHeight="1">
      <c r="A22" s="160" t="s">
        <v>88</v>
      </c>
      <c r="B22" s="161"/>
      <c r="C22" s="88">
        <f>SUM(C21)</f>
        <v>0</v>
      </c>
      <c r="D22" s="88">
        <f>SUM(D21)</f>
        <v>60</v>
      </c>
      <c r="E22" s="36"/>
      <c r="F22" s="88">
        <f>SUM(F20:F21)</f>
        <v>0</v>
      </c>
      <c r="G22" s="88">
        <f>SUM(G20:G21)</f>
        <v>8</v>
      </c>
      <c r="H22" s="89"/>
      <c r="I22" s="123">
        <f>SUM(I20:I21)</f>
        <v>28.5</v>
      </c>
      <c r="J22" s="123">
        <f>SUM(J20:J21)</f>
        <v>50.599999999999994</v>
      </c>
      <c r="K22" s="134"/>
      <c r="L22" s="134"/>
    </row>
    <row r="23" spans="1:12" ht="41.25" customHeight="1">
      <c r="A23" s="162" t="s">
        <v>89</v>
      </c>
      <c r="B23" s="163"/>
      <c r="C23" s="88">
        <f>C19+C22</f>
        <v>359</v>
      </c>
      <c r="D23" s="88">
        <f>D19+D22</f>
        <v>395</v>
      </c>
      <c r="E23" s="36">
        <f>D23/C23*100</f>
        <v>110.02785515320335</v>
      </c>
      <c r="F23" s="88">
        <f>F19+F22</f>
        <v>221</v>
      </c>
      <c r="G23" s="88">
        <f>G19+G22</f>
        <v>250</v>
      </c>
      <c r="H23" s="89">
        <f>G23*100/F23</f>
        <v>113.12217194570135</v>
      </c>
      <c r="I23" s="120">
        <f>I19+I22</f>
        <v>5762.299999999999</v>
      </c>
      <c r="J23" s="120">
        <f>J19+J22</f>
        <v>5718.700000000001</v>
      </c>
      <c r="K23" s="134"/>
      <c r="L23" s="134"/>
    </row>
  </sheetData>
  <sheetProtection/>
  <mergeCells count="8">
    <mergeCell ref="A22:B22"/>
    <mergeCell ref="A23:B23"/>
    <mergeCell ref="F3:H3"/>
    <mergeCell ref="M3:M5"/>
    <mergeCell ref="K3:L3"/>
    <mergeCell ref="K4:K5"/>
    <mergeCell ref="L4:L5"/>
    <mergeCell ref="A19:B19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3"/>
  <sheetViews>
    <sheetView view="pageBreakPreview" zoomScale="60" zoomScaleNormal="50" zoomScalePageLayoutView="0" workbookViewId="0" topLeftCell="A1">
      <selection activeCell="W21" sqref="W21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114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4"/>
      <c r="Q1" s="43"/>
      <c r="R1" s="1"/>
    </row>
    <row r="2" spans="5:17" ht="20.25">
      <c r="E2" s="46"/>
      <c r="F2" s="46"/>
      <c r="G2" s="46"/>
      <c r="H2" s="48" t="s">
        <v>53</v>
      </c>
      <c r="I2" s="48"/>
      <c r="J2" s="48"/>
      <c r="K2" s="48"/>
      <c r="L2" s="48"/>
      <c r="M2" s="48"/>
      <c r="N2" s="46"/>
      <c r="O2" s="46"/>
      <c r="P2" s="14"/>
      <c r="Q2" s="14"/>
    </row>
    <row r="3" spans="1:21" s="20" customFormat="1" ht="44.25" customHeight="1">
      <c r="A3" s="23" t="s">
        <v>2</v>
      </c>
      <c r="B3" s="153" t="s">
        <v>3</v>
      </c>
      <c r="C3" s="147" t="s">
        <v>73</v>
      </c>
      <c r="D3" s="170"/>
      <c r="E3" s="171"/>
      <c r="F3" s="155" t="s">
        <v>72</v>
      </c>
      <c r="G3" s="147" t="s">
        <v>8</v>
      </c>
      <c r="H3" s="170"/>
      <c r="I3" s="171"/>
      <c r="J3" s="172" t="s">
        <v>67</v>
      </c>
      <c r="K3" s="173"/>
      <c r="L3" s="174"/>
      <c r="M3" s="147" t="s">
        <v>9</v>
      </c>
      <c r="N3" s="170"/>
      <c r="O3" s="170"/>
      <c r="P3" s="170"/>
      <c r="Q3" s="170"/>
      <c r="R3" s="170"/>
      <c r="S3" s="170"/>
      <c r="T3" s="170"/>
      <c r="U3" s="171"/>
    </row>
    <row r="4" spans="1:21" s="20" customFormat="1" ht="23.25" customHeight="1">
      <c r="A4" s="33"/>
      <c r="B4" s="177"/>
      <c r="C4" s="153">
        <v>2011</v>
      </c>
      <c r="D4" s="153">
        <v>2012</v>
      </c>
      <c r="E4" s="100" t="s">
        <v>4</v>
      </c>
      <c r="F4" s="156"/>
      <c r="G4" s="153">
        <v>2011</v>
      </c>
      <c r="H4" s="153">
        <v>2012</v>
      </c>
      <c r="I4" s="100" t="s">
        <v>4</v>
      </c>
      <c r="J4" s="153">
        <v>2011</v>
      </c>
      <c r="K4" s="153">
        <v>2012</v>
      </c>
      <c r="L4" s="100" t="s">
        <v>4</v>
      </c>
      <c r="M4" s="153">
        <v>2011</v>
      </c>
      <c r="N4" s="153">
        <v>2012</v>
      </c>
      <c r="O4" s="100" t="s">
        <v>4</v>
      </c>
      <c r="P4" s="97" t="s">
        <v>5</v>
      </c>
      <c r="Q4" s="101" t="s">
        <v>66</v>
      </c>
      <c r="R4" s="155" t="s">
        <v>100</v>
      </c>
      <c r="S4" s="97" t="s">
        <v>50</v>
      </c>
      <c r="T4" s="102"/>
      <c r="U4" s="155" t="s">
        <v>100</v>
      </c>
    </row>
    <row r="5" spans="1:21" s="20" customFormat="1" ht="23.25" customHeight="1">
      <c r="A5" s="29"/>
      <c r="B5" s="154"/>
      <c r="C5" s="175"/>
      <c r="D5" s="175"/>
      <c r="E5" s="103">
        <v>2011</v>
      </c>
      <c r="F5" s="157"/>
      <c r="G5" s="175"/>
      <c r="H5" s="175"/>
      <c r="I5" s="103">
        <v>2011</v>
      </c>
      <c r="J5" s="175"/>
      <c r="K5" s="175"/>
      <c r="L5" s="103">
        <v>2011</v>
      </c>
      <c r="M5" s="175"/>
      <c r="N5" s="175"/>
      <c r="O5" s="103">
        <v>2011</v>
      </c>
      <c r="P5" s="98">
        <v>2011</v>
      </c>
      <c r="Q5" s="98">
        <v>2012</v>
      </c>
      <c r="R5" s="176"/>
      <c r="S5" s="98">
        <v>2011</v>
      </c>
      <c r="T5" s="98">
        <v>2012</v>
      </c>
      <c r="U5" s="176"/>
    </row>
    <row r="6" spans="1:34" s="20" customFormat="1" ht="24.75" customHeight="1">
      <c r="A6" s="3">
        <v>1</v>
      </c>
      <c r="B6" s="22" t="s">
        <v>55</v>
      </c>
      <c r="C6" s="3">
        <v>348</v>
      </c>
      <c r="D6" s="3">
        <v>297</v>
      </c>
      <c r="E6" s="36">
        <f aca="true" t="shared" si="0" ref="E6:E16">D6*100/C6</f>
        <v>85.34482758620689</v>
      </c>
      <c r="F6" s="3">
        <v>2</v>
      </c>
      <c r="G6" s="3">
        <v>180</v>
      </c>
      <c r="H6" s="3">
        <v>180</v>
      </c>
      <c r="I6" s="36">
        <f aca="true" t="shared" si="1" ref="I6:I16">H6*100/G6</f>
        <v>100</v>
      </c>
      <c r="J6" s="3">
        <v>180</v>
      </c>
      <c r="K6" s="3">
        <v>180</v>
      </c>
      <c r="L6" s="36">
        <f aca="true" t="shared" si="2" ref="L6:L23">K6*100/J6</f>
        <v>100</v>
      </c>
      <c r="M6" s="66"/>
      <c r="N6" s="3"/>
      <c r="O6" s="36"/>
      <c r="P6" s="66"/>
      <c r="Q6" s="3"/>
      <c r="R6" s="36"/>
      <c r="S6" s="110"/>
      <c r="T6" s="36"/>
      <c r="U6" s="36"/>
      <c r="AH6" s="86"/>
    </row>
    <row r="7" spans="1:34" s="20" customFormat="1" ht="24.75" customHeight="1">
      <c r="A7" s="3">
        <v>2</v>
      </c>
      <c r="B7" s="22" t="s">
        <v>56</v>
      </c>
      <c r="C7" s="3">
        <v>238</v>
      </c>
      <c r="D7" s="3">
        <v>250</v>
      </c>
      <c r="E7" s="36">
        <f t="shared" si="0"/>
        <v>105.04201680672269</v>
      </c>
      <c r="F7" s="3">
        <v>16</v>
      </c>
      <c r="G7" s="3">
        <v>105</v>
      </c>
      <c r="H7" s="3">
        <v>105</v>
      </c>
      <c r="I7" s="36">
        <f t="shared" si="1"/>
        <v>100</v>
      </c>
      <c r="J7" s="3">
        <v>105</v>
      </c>
      <c r="K7" s="3">
        <v>105</v>
      </c>
      <c r="L7" s="36">
        <f t="shared" si="2"/>
        <v>100</v>
      </c>
      <c r="M7" s="66"/>
      <c r="N7" s="3"/>
      <c r="O7" s="36"/>
      <c r="P7" s="66"/>
      <c r="Q7" s="3"/>
      <c r="R7" s="36"/>
      <c r="S7" s="110"/>
      <c r="T7" s="36"/>
      <c r="U7" s="36"/>
      <c r="AH7" s="86"/>
    </row>
    <row r="8" spans="1:34" s="20" customFormat="1" ht="24.75" customHeight="1">
      <c r="A8" s="3">
        <v>3</v>
      </c>
      <c r="B8" s="22" t="s">
        <v>57</v>
      </c>
      <c r="C8" s="3">
        <v>126</v>
      </c>
      <c r="D8" s="3">
        <v>120</v>
      </c>
      <c r="E8" s="36">
        <f t="shared" si="0"/>
        <v>95.23809523809524</v>
      </c>
      <c r="F8" s="88">
        <v>2</v>
      </c>
      <c r="G8" s="3">
        <v>60</v>
      </c>
      <c r="H8" s="3">
        <v>60</v>
      </c>
      <c r="I8" s="36">
        <f t="shared" si="1"/>
        <v>100</v>
      </c>
      <c r="J8" s="3">
        <v>60</v>
      </c>
      <c r="K8" s="3">
        <v>60</v>
      </c>
      <c r="L8" s="36">
        <f t="shared" si="2"/>
        <v>100</v>
      </c>
      <c r="M8" s="66"/>
      <c r="N8" s="3"/>
      <c r="O8" s="99"/>
      <c r="P8" s="66"/>
      <c r="Q8" s="3"/>
      <c r="R8" s="36"/>
      <c r="S8" s="110"/>
      <c r="T8" s="36"/>
      <c r="U8" s="36"/>
      <c r="AH8" s="86"/>
    </row>
    <row r="9" spans="1:34" s="20" customFormat="1" ht="24.75" customHeight="1">
      <c r="A9" s="3">
        <v>4</v>
      </c>
      <c r="B9" s="22" t="s">
        <v>58</v>
      </c>
      <c r="C9" s="3">
        <v>787</v>
      </c>
      <c r="D9" s="3">
        <v>839</v>
      </c>
      <c r="E9" s="36">
        <f t="shared" si="0"/>
        <v>106.60736975857688</v>
      </c>
      <c r="F9" s="3">
        <v>42</v>
      </c>
      <c r="G9" s="3">
        <v>308</v>
      </c>
      <c r="H9" s="3">
        <v>308</v>
      </c>
      <c r="I9" s="36">
        <f t="shared" si="1"/>
        <v>100</v>
      </c>
      <c r="J9" s="3">
        <v>308</v>
      </c>
      <c r="K9" s="3">
        <v>308</v>
      </c>
      <c r="L9" s="36">
        <f t="shared" si="2"/>
        <v>100</v>
      </c>
      <c r="M9" s="3">
        <v>468</v>
      </c>
      <c r="N9" s="3">
        <v>437</v>
      </c>
      <c r="O9" s="36">
        <f>N9*100/M9</f>
        <v>93.37606837606837</v>
      </c>
      <c r="P9" s="3">
        <v>20</v>
      </c>
      <c r="Q9" s="3">
        <v>28</v>
      </c>
      <c r="R9" s="36">
        <f>Q9*100/P9</f>
        <v>140</v>
      </c>
      <c r="S9" s="3">
        <v>25</v>
      </c>
      <c r="T9" s="3">
        <v>38</v>
      </c>
      <c r="U9" s="36">
        <f>T9*100/S9</f>
        <v>152</v>
      </c>
      <c r="AH9" s="86"/>
    </row>
    <row r="10" spans="1:34" s="20" customFormat="1" ht="24.75" customHeight="1">
      <c r="A10" s="3">
        <v>5</v>
      </c>
      <c r="B10" s="22" t="s">
        <v>59</v>
      </c>
      <c r="C10" s="3">
        <v>481</v>
      </c>
      <c r="D10" s="3">
        <v>350</v>
      </c>
      <c r="E10" s="36">
        <f t="shared" si="0"/>
        <v>72.76507276507276</v>
      </c>
      <c r="F10" s="120"/>
      <c r="G10" s="3">
        <v>280</v>
      </c>
      <c r="H10" s="3">
        <v>225</v>
      </c>
      <c r="I10" s="36">
        <f t="shared" si="1"/>
        <v>80.35714285714286</v>
      </c>
      <c r="J10" s="3">
        <v>280</v>
      </c>
      <c r="K10" s="3">
        <v>242</v>
      </c>
      <c r="L10" s="36">
        <f t="shared" si="2"/>
        <v>86.42857142857143</v>
      </c>
      <c r="M10" s="3">
        <v>447</v>
      </c>
      <c r="N10" s="3">
        <v>170</v>
      </c>
      <c r="O10" s="36">
        <f>N10*100/M10</f>
        <v>38.03131991051454</v>
      </c>
      <c r="P10" s="3">
        <v>80</v>
      </c>
      <c r="Q10" s="3">
        <v>74</v>
      </c>
      <c r="R10" s="36">
        <f>Q10*100/P10</f>
        <v>92.5</v>
      </c>
      <c r="S10" s="3">
        <v>22</v>
      </c>
      <c r="T10" s="3"/>
      <c r="U10" s="36">
        <f>T10*100/S10</f>
        <v>0</v>
      </c>
      <c r="AH10" s="86"/>
    </row>
    <row r="11" spans="1:34" s="20" customFormat="1" ht="24.75" customHeight="1">
      <c r="A11" s="3">
        <v>6</v>
      </c>
      <c r="B11" s="38" t="s">
        <v>71</v>
      </c>
      <c r="C11" s="3">
        <v>321</v>
      </c>
      <c r="D11" s="3">
        <v>268</v>
      </c>
      <c r="E11" s="36">
        <f t="shared" si="0"/>
        <v>83.48909657320873</v>
      </c>
      <c r="F11" s="120">
        <v>24</v>
      </c>
      <c r="G11" s="3">
        <v>85</v>
      </c>
      <c r="H11" s="3">
        <v>85</v>
      </c>
      <c r="I11" s="36">
        <f t="shared" si="1"/>
        <v>100</v>
      </c>
      <c r="J11" s="3">
        <v>85</v>
      </c>
      <c r="K11" s="3">
        <v>85</v>
      </c>
      <c r="L11" s="36">
        <f t="shared" si="2"/>
        <v>100</v>
      </c>
      <c r="M11" s="3"/>
      <c r="N11" s="3"/>
      <c r="O11" s="36"/>
      <c r="P11" s="3"/>
      <c r="Q11" s="3"/>
      <c r="R11" s="36"/>
      <c r="S11" s="3"/>
      <c r="T11" s="3"/>
      <c r="U11" s="36"/>
      <c r="AH11" s="86"/>
    </row>
    <row r="12" spans="1:34" s="20" customFormat="1" ht="24.75" customHeight="1">
      <c r="A12" s="3">
        <v>7</v>
      </c>
      <c r="B12" s="22" t="s">
        <v>60</v>
      </c>
      <c r="C12" s="3">
        <v>206</v>
      </c>
      <c r="D12" s="3"/>
      <c r="E12" s="36">
        <f t="shared" si="0"/>
        <v>0</v>
      </c>
      <c r="F12" s="3"/>
      <c r="G12" s="3">
        <v>60</v>
      </c>
      <c r="H12" s="3"/>
      <c r="I12" s="36">
        <f t="shared" si="1"/>
        <v>0</v>
      </c>
      <c r="J12" s="3">
        <v>60</v>
      </c>
      <c r="K12" s="3"/>
      <c r="L12" s="36">
        <f t="shared" si="2"/>
        <v>0</v>
      </c>
      <c r="M12" s="3"/>
      <c r="N12" s="3"/>
      <c r="O12" s="36"/>
      <c r="P12" s="3"/>
      <c r="Q12" s="3"/>
      <c r="R12" s="36"/>
      <c r="S12" s="3"/>
      <c r="T12" s="3"/>
      <c r="U12" s="36"/>
      <c r="AH12" s="86"/>
    </row>
    <row r="13" spans="1:34" s="20" customFormat="1" ht="24.75" customHeight="1">
      <c r="A13" s="3">
        <v>8</v>
      </c>
      <c r="B13" s="32" t="s">
        <v>85</v>
      </c>
      <c r="C13" s="3"/>
      <c r="D13" s="3">
        <v>247</v>
      </c>
      <c r="E13" s="36"/>
      <c r="F13" s="3"/>
      <c r="G13" s="3"/>
      <c r="H13" s="3">
        <v>65</v>
      </c>
      <c r="I13" s="36"/>
      <c r="J13" s="3"/>
      <c r="K13" s="3">
        <v>65</v>
      </c>
      <c r="L13" s="36"/>
      <c r="M13" s="3"/>
      <c r="N13" s="3"/>
      <c r="O13" s="36"/>
      <c r="P13" s="3"/>
      <c r="Q13" s="3"/>
      <c r="R13" s="36"/>
      <c r="S13" s="3"/>
      <c r="T13" s="3"/>
      <c r="U13" s="36"/>
      <c r="AH13" s="86"/>
    </row>
    <row r="14" spans="1:34" s="20" customFormat="1" ht="24.75" customHeight="1">
      <c r="A14" s="3">
        <v>9</v>
      </c>
      <c r="B14" s="32" t="s">
        <v>70</v>
      </c>
      <c r="C14" s="3">
        <v>238</v>
      </c>
      <c r="D14" s="3">
        <v>269</v>
      </c>
      <c r="E14" s="36">
        <f t="shared" si="0"/>
        <v>113.02521008403362</v>
      </c>
      <c r="F14" s="3">
        <v>28</v>
      </c>
      <c r="G14" s="3">
        <v>78</v>
      </c>
      <c r="H14" s="3">
        <v>78</v>
      </c>
      <c r="I14" s="36">
        <f t="shared" si="1"/>
        <v>100</v>
      </c>
      <c r="J14" s="3">
        <v>78</v>
      </c>
      <c r="K14" s="3">
        <v>78</v>
      </c>
      <c r="L14" s="36">
        <f t="shared" si="2"/>
        <v>100</v>
      </c>
      <c r="M14" s="3"/>
      <c r="N14" s="3"/>
      <c r="O14" s="36"/>
      <c r="P14" s="3"/>
      <c r="Q14" s="3"/>
      <c r="R14" s="36"/>
      <c r="S14" s="3"/>
      <c r="T14" s="3"/>
      <c r="U14" s="36"/>
      <c r="AH14" s="86"/>
    </row>
    <row r="15" spans="1:34" s="20" customFormat="1" ht="24.75" customHeight="1">
      <c r="A15" s="3">
        <v>10</v>
      </c>
      <c r="B15" s="22" t="s">
        <v>61</v>
      </c>
      <c r="C15" s="3">
        <v>251</v>
      </c>
      <c r="D15" s="3">
        <v>248</v>
      </c>
      <c r="E15" s="36">
        <f t="shared" si="0"/>
        <v>98.80478087649402</v>
      </c>
      <c r="F15" s="3">
        <v>16</v>
      </c>
      <c r="G15" s="3">
        <v>100</v>
      </c>
      <c r="H15" s="3">
        <v>100</v>
      </c>
      <c r="I15" s="36">
        <f t="shared" si="1"/>
        <v>100</v>
      </c>
      <c r="J15" s="3">
        <v>100</v>
      </c>
      <c r="K15" s="3">
        <v>100</v>
      </c>
      <c r="L15" s="36">
        <f t="shared" si="2"/>
        <v>100</v>
      </c>
      <c r="M15" s="3"/>
      <c r="N15" s="3"/>
      <c r="O15" s="36"/>
      <c r="P15" s="3"/>
      <c r="Q15" s="3"/>
      <c r="R15" s="36"/>
      <c r="S15" s="3"/>
      <c r="T15" s="3"/>
      <c r="U15" s="36"/>
      <c r="AH15" s="86"/>
    </row>
    <row r="16" spans="1:34" s="20" customFormat="1" ht="24.75" customHeight="1">
      <c r="A16" s="3">
        <v>11</v>
      </c>
      <c r="B16" s="22" t="s">
        <v>62</v>
      </c>
      <c r="C16" s="3">
        <v>93</v>
      </c>
      <c r="D16" s="3">
        <v>43</v>
      </c>
      <c r="E16" s="36">
        <f t="shared" si="0"/>
        <v>46.236559139784944</v>
      </c>
      <c r="F16" s="3"/>
      <c r="G16" s="3">
        <v>42</v>
      </c>
      <c r="H16" s="3">
        <v>41</v>
      </c>
      <c r="I16" s="36">
        <f t="shared" si="1"/>
        <v>97.61904761904762</v>
      </c>
      <c r="J16" s="3">
        <v>42</v>
      </c>
      <c r="K16" s="3">
        <v>42</v>
      </c>
      <c r="L16" s="36">
        <f t="shared" si="2"/>
        <v>100</v>
      </c>
      <c r="M16" s="3"/>
      <c r="N16" s="3"/>
      <c r="O16" s="36"/>
      <c r="P16" s="3"/>
      <c r="Q16" s="3"/>
      <c r="R16" s="36"/>
      <c r="S16" s="3"/>
      <c r="T16" s="3"/>
      <c r="U16" s="36"/>
      <c r="AH16" s="86"/>
    </row>
    <row r="17" spans="1:34" s="20" customFormat="1" ht="24.75" customHeight="1">
      <c r="A17" s="3">
        <v>12</v>
      </c>
      <c r="B17" s="22" t="s">
        <v>63</v>
      </c>
      <c r="C17" s="3"/>
      <c r="D17" s="3"/>
      <c r="E17" s="36"/>
      <c r="F17" s="3"/>
      <c r="G17" s="3"/>
      <c r="H17" s="3"/>
      <c r="I17" s="36"/>
      <c r="J17" s="3"/>
      <c r="K17" s="3"/>
      <c r="L17" s="36"/>
      <c r="M17" s="3">
        <v>9313</v>
      </c>
      <c r="N17" s="3">
        <v>9732</v>
      </c>
      <c r="O17" s="36">
        <f>N17*100/M17</f>
        <v>104.49908729732631</v>
      </c>
      <c r="P17" s="3">
        <v>240</v>
      </c>
      <c r="Q17" s="3">
        <v>240</v>
      </c>
      <c r="R17" s="36">
        <f>Q17*100/P17</f>
        <v>100</v>
      </c>
      <c r="S17" s="3">
        <v>501</v>
      </c>
      <c r="T17" s="3">
        <v>433</v>
      </c>
      <c r="U17" s="36">
        <f>T17*100/S17</f>
        <v>86.42714570858283</v>
      </c>
      <c r="AH17" s="86"/>
    </row>
    <row r="18" spans="1:34" s="20" customFormat="1" ht="24.75" customHeight="1">
      <c r="A18" s="3">
        <v>13</v>
      </c>
      <c r="B18" s="32" t="s">
        <v>69</v>
      </c>
      <c r="C18" s="3"/>
      <c r="D18" s="3"/>
      <c r="E18" s="36"/>
      <c r="F18" s="3"/>
      <c r="G18" s="3"/>
      <c r="H18" s="3"/>
      <c r="I18" s="36"/>
      <c r="J18" s="3"/>
      <c r="K18" s="3"/>
      <c r="L18" s="36"/>
      <c r="M18" s="3"/>
      <c r="N18" s="3"/>
      <c r="O18" s="36"/>
      <c r="P18" s="3"/>
      <c r="Q18" s="3"/>
      <c r="R18" s="36"/>
      <c r="S18" s="3"/>
      <c r="T18" s="3"/>
      <c r="U18" s="36"/>
      <c r="AH18" s="86"/>
    </row>
    <row r="19" spans="1:21" s="20" customFormat="1" ht="57" customHeight="1">
      <c r="A19" s="160" t="s">
        <v>101</v>
      </c>
      <c r="B19" s="161"/>
      <c r="C19" s="3">
        <f>SUM(C6:C18)</f>
        <v>3089</v>
      </c>
      <c r="D19" s="3">
        <f>SUM(D6:D18)</f>
        <v>2931</v>
      </c>
      <c r="E19" s="36">
        <f>D19*100/C19</f>
        <v>94.88507607640013</v>
      </c>
      <c r="F19" s="3">
        <f>SUM(F6:F18)</f>
        <v>130</v>
      </c>
      <c r="G19" s="3">
        <f>SUM(G6:G18)</f>
        <v>1298</v>
      </c>
      <c r="H19" s="3">
        <f>SUM(H6:H18)</f>
        <v>1247</v>
      </c>
      <c r="I19" s="36">
        <f>H19*100/G19</f>
        <v>96.07087827426811</v>
      </c>
      <c r="J19" s="3">
        <f>SUM(J6:J18)</f>
        <v>1298</v>
      </c>
      <c r="K19" s="3">
        <f>SUM(K6:K18)</f>
        <v>1265</v>
      </c>
      <c r="L19" s="36">
        <f t="shared" si="2"/>
        <v>97.45762711864407</v>
      </c>
      <c r="M19" s="3">
        <f>SUM(M9:M18)</f>
        <v>10228</v>
      </c>
      <c r="N19" s="3">
        <f>SUM(N9:N18)</f>
        <v>10339</v>
      </c>
      <c r="O19" s="36">
        <f>N19*100/M19</f>
        <v>101.085256159562</v>
      </c>
      <c r="P19" s="3">
        <f>SUM(P9:P18)</f>
        <v>340</v>
      </c>
      <c r="Q19" s="3">
        <f>SUM(Q9:Q18)</f>
        <v>342</v>
      </c>
      <c r="R19" s="36">
        <f>Q19*100/P19</f>
        <v>100.58823529411765</v>
      </c>
      <c r="S19" s="3">
        <f>SUM(S9:S18)</f>
        <v>548</v>
      </c>
      <c r="T19" s="36">
        <f>SUM(T9:T18)</f>
        <v>471</v>
      </c>
      <c r="U19" s="36">
        <f>T19*100/S19</f>
        <v>85.94890510948905</v>
      </c>
    </row>
    <row r="20" spans="1:34" s="20" customFormat="1" ht="24.75" customHeight="1">
      <c r="A20" s="3">
        <v>1</v>
      </c>
      <c r="B20" s="32" t="s">
        <v>80</v>
      </c>
      <c r="C20" s="3"/>
      <c r="D20" s="3"/>
      <c r="E20" s="36"/>
      <c r="F20" s="3"/>
      <c r="G20" s="3"/>
      <c r="H20" s="3"/>
      <c r="I20" s="36"/>
      <c r="J20" s="3"/>
      <c r="K20" s="3"/>
      <c r="L20" s="36"/>
      <c r="M20" s="3">
        <v>95</v>
      </c>
      <c r="N20" s="3">
        <v>102</v>
      </c>
      <c r="O20" s="36">
        <f>N20*100/M20</f>
        <v>107.36842105263158</v>
      </c>
      <c r="P20" s="3">
        <v>10</v>
      </c>
      <c r="Q20" s="3">
        <v>10</v>
      </c>
      <c r="R20" s="36">
        <f>Q20*100/P20</f>
        <v>100</v>
      </c>
      <c r="S20" s="3">
        <v>2</v>
      </c>
      <c r="T20" s="3"/>
      <c r="U20" s="36">
        <f>T20*100/S20</f>
        <v>0</v>
      </c>
      <c r="AH20" s="86"/>
    </row>
    <row r="21" spans="1:34" s="20" customFormat="1" ht="24.75" customHeight="1">
      <c r="A21" s="3">
        <v>2</v>
      </c>
      <c r="B21" s="32" t="s">
        <v>86</v>
      </c>
      <c r="C21" s="3"/>
      <c r="D21" s="3"/>
      <c r="E21" s="36"/>
      <c r="F21" s="3"/>
      <c r="G21" s="3"/>
      <c r="H21" s="3"/>
      <c r="I21" s="36"/>
      <c r="J21" s="3"/>
      <c r="K21" s="3"/>
      <c r="L21" s="36"/>
      <c r="M21" s="3"/>
      <c r="N21" s="3"/>
      <c r="O21" s="36"/>
      <c r="P21" s="3"/>
      <c r="Q21" s="3"/>
      <c r="R21" s="36"/>
      <c r="S21" s="3"/>
      <c r="T21" s="3"/>
      <c r="U21" s="36"/>
      <c r="AH21" s="86"/>
    </row>
    <row r="22" spans="1:34" s="20" customFormat="1" ht="24.75" customHeight="1">
      <c r="A22" s="160" t="s">
        <v>88</v>
      </c>
      <c r="B22" s="161"/>
      <c r="C22" s="3"/>
      <c r="D22" s="3"/>
      <c r="E22" s="36"/>
      <c r="F22" s="3"/>
      <c r="G22" s="3"/>
      <c r="H22" s="3"/>
      <c r="I22" s="36"/>
      <c r="J22" s="3"/>
      <c r="K22" s="3"/>
      <c r="L22" s="36"/>
      <c r="M22" s="3">
        <f>SUM(M20:M21)</f>
        <v>95</v>
      </c>
      <c r="N22" s="3">
        <f>SUM(N20:N21)</f>
        <v>102</v>
      </c>
      <c r="O22" s="36">
        <f>N22*100/M22</f>
        <v>107.36842105263158</v>
      </c>
      <c r="P22" s="3">
        <f>SUM(P20:P21)</f>
        <v>10</v>
      </c>
      <c r="Q22" s="3">
        <f>SUM(Q20:Q21)</f>
        <v>10</v>
      </c>
      <c r="R22" s="36">
        <f>Q22*100/P22</f>
        <v>100</v>
      </c>
      <c r="S22" s="3">
        <f>SUM(S20:S21)</f>
        <v>2</v>
      </c>
      <c r="T22" s="3">
        <f>SUM(T20:T21)</f>
        <v>0</v>
      </c>
      <c r="U22" s="36">
        <f>T22*100/S22</f>
        <v>0</v>
      </c>
      <c r="AH22" s="86"/>
    </row>
    <row r="23" spans="1:34" s="20" customFormat="1" ht="36" customHeight="1">
      <c r="A23" s="162" t="s">
        <v>89</v>
      </c>
      <c r="B23" s="163"/>
      <c r="C23" s="3">
        <f>C19+C22</f>
        <v>3089</v>
      </c>
      <c r="D23" s="3">
        <f>D19+D22</f>
        <v>2931</v>
      </c>
      <c r="E23" s="36">
        <f>D23*100/C23</f>
        <v>94.88507607640013</v>
      </c>
      <c r="F23" s="3">
        <f>F19+F22</f>
        <v>130</v>
      </c>
      <c r="G23" s="3">
        <f>G19+G22</f>
        <v>1298</v>
      </c>
      <c r="H23" s="3">
        <f>H19+H22</f>
        <v>1247</v>
      </c>
      <c r="I23" s="36">
        <f>H23*100/G23</f>
        <v>96.07087827426811</v>
      </c>
      <c r="J23" s="3">
        <f>J19+J22</f>
        <v>1298</v>
      </c>
      <c r="K23" s="3">
        <f>K19+K22</f>
        <v>1265</v>
      </c>
      <c r="L23" s="36">
        <f t="shared" si="2"/>
        <v>97.45762711864407</v>
      </c>
      <c r="M23" s="3">
        <f>M19+M22</f>
        <v>10323</v>
      </c>
      <c r="N23" s="3">
        <f>N19+N22</f>
        <v>10441</v>
      </c>
      <c r="O23" s="36">
        <f>N23*100/M23</f>
        <v>101.1430785624334</v>
      </c>
      <c r="P23" s="3">
        <f>P19+P22</f>
        <v>350</v>
      </c>
      <c r="Q23" s="3">
        <f>Q19+Q22</f>
        <v>352</v>
      </c>
      <c r="R23" s="36">
        <f>Q23*100/P23</f>
        <v>100.57142857142857</v>
      </c>
      <c r="S23" s="3">
        <f>S19+S22</f>
        <v>550</v>
      </c>
      <c r="T23" s="3">
        <f>T19+T22</f>
        <v>471</v>
      </c>
      <c r="U23" s="36">
        <f>T23*100/S23</f>
        <v>85.63636363636364</v>
      </c>
      <c r="AH23" s="86"/>
    </row>
  </sheetData>
  <sheetProtection/>
  <mergeCells count="19">
    <mergeCell ref="A22:B22"/>
    <mergeCell ref="A23:B23"/>
    <mergeCell ref="U4:U5"/>
    <mergeCell ref="M4:M5"/>
    <mergeCell ref="B3:B5"/>
    <mergeCell ref="G4:G5"/>
    <mergeCell ref="H4:H5"/>
    <mergeCell ref="D4:D5"/>
    <mergeCell ref="C4:C5"/>
    <mergeCell ref="G3:I3"/>
    <mergeCell ref="F3:F5"/>
    <mergeCell ref="C3:E3"/>
    <mergeCell ref="A19:B19"/>
    <mergeCell ref="J3:L3"/>
    <mergeCell ref="J4:J5"/>
    <mergeCell ref="K4:K5"/>
    <mergeCell ref="M3:U3"/>
    <mergeCell ref="N4:N5"/>
    <mergeCell ref="R4:R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6"/>
  <sheetViews>
    <sheetView view="pageBreakPreview" zoomScale="75" zoomScaleNormal="75" zoomScaleSheetLayoutView="75" zoomScalePageLayoutView="0" workbookViewId="0" topLeftCell="A1">
      <selection activeCell="M18" sqref="M18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113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78" t="s">
        <v>104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2.75">
      <c r="A4" s="153" t="s">
        <v>2</v>
      </c>
      <c r="B4" s="155" t="s">
        <v>3</v>
      </c>
      <c r="C4" s="158" t="s">
        <v>77</v>
      </c>
      <c r="D4" s="187"/>
      <c r="E4" s="184"/>
      <c r="F4" s="179" t="s">
        <v>64</v>
      </c>
      <c r="G4" s="180"/>
      <c r="H4" s="179" t="s">
        <v>76</v>
      </c>
      <c r="I4" s="183"/>
      <c r="J4" s="184"/>
      <c r="K4" s="179" t="s">
        <v>74</v>
      </c>
      <c r="L4" s="180"/>
      <c r="M4" s="179" t="s">
        <v>75</v>
      </c>
      <c r="N4" s="180"/>
    </row>
    <row r="5" spans="1:14" ht="31.5" customHeight="1">
      <c r="A5" s="177"/>
      <c r="B5" s="156"/>
      <c r="C5" s="188"/>
      <c r="D5" s="189"/>
      <c r="E5" s="190"/>
      <c r="F5" s="181"/>
      <c r="G5" s="182"/>
      <c r="H5" s="181"/>
      <c r="I5" s="185"/>
      <c r="J5" s="186"/>
      <c r="K5" s="181"/>
      <c r="L5" s="182"/>
      <c r="M5" s="181"/>
      <c r="N5" s="182"/>
    </row>
    <row r="6" spans="1:14" ht="30">
      <c r="A6" s="154"/>
      <c r="B6" s="157"/>
      <c r="C6" s="3">
        <v>2011</v>
      </c>
      <c r="D6" s="19">
        <v>2012</v>
      </c>
      <c r="E6" s="95" t="s">
        <v>107</v>
      </c>
      <c r="F6" s="3">
        <v>2011</v>
      </c>
      <c r="G6" s="19">
        <v>2012</v>
      </c>
      <c r="H6" s="3">
        <v>2011</v>
      </c>
      <c r="I6" s="19">
        <v>2012</v>
      </c>
      <c r="J6" s="95" t="s">
        <v>107</v>
      </c>
      <c r="K6" s="22" t="s">
        <v>1</v>
      </c>
      <c r="L6" s="24" t="s">
        <v>32</v>
      </c>
      <c r="M6" s="38" t="s">
        <v>44</v>
      </c>
      <c r="N6" s="51" t="s">
        <v>45</v>
      </c>
    </row>
    <row r="7" spans="1:14" ht="16.5" customHeight="1">
      <c r="A7" s="31">
        <v>1</v>
      </c>
      <c r="B7" s="22" t="s">
        <v>58</v>
      </c>
      <c r="C7" s="31">
        <v>327</v>
      </c>
      <c r="D7" s="31">
        <v>423</v>
      </c>
      <c r="E7" s="31">
        <f aca="true" t="shared" si="0" ref="E7:E13">D7-C7</f>
        <v>96</v>
      </c>
      <c r="F7" s="31">
        <v>187</v>
      </c>
      <c r="G7" s="31">
        <v>150</v>
      </c>
      <c r="H7" s="75">
        <f>F7*100/20</f>
        <v>935</v>
      </c>
      <c r="I7" s="75">
        <f>G7*100/28</f>
        <v>535.7142857142857</v>
      </c>
      <c r="J7" s="74">
        <f aca="true" t="shared" si="1" ref="J7:J13">I7-H7</f>
        <v>-399.28571428571433</v>
      </c>
      <c r="K7" s="31">
        <v>52</v>
      </c>
      <c r="L7" s="31">
        <v>17</v>
      </c>
      <c r="M7" s="93">
        <f aca="true" t="shared" si="2" ref="M7:M13">G7/L7</f>
        <v>8.823529411764707</v>
      </c>
      <c r="N7" s="93">
        <f aca="true" t="shared" si="3" ref="N7:N13">(D7-G7)/(K7-L7)</f>
        <v>7.8</v>
      </c>
    </row>
    <row r="8" spans="1:15" ht="16.5" customHeight="1">
      <c r="A8" s="31">
        <v>2</v>
      </c>
      <c r="B8" s="31" t="s">
        <v>59</v>
      </c>
      <c r="C8" s="31">
        <v>210</v>
      </c>
      <c r="D8" s="31">
        <v>104</v>
      </c>
      <c r="E8" s="31">
        <f t="shared" si="0"/>
        <v>-106</v>
      </c>
      <c r="F8" s="31">
        <v>198</v>
      </c>
      <c r="G8" s="31">
        <v>86</v>
      </c>
      <c r="H8" s="75">
        <f>F8*100/80</f>
        <v>247.5</v>
      </c>
      <c r="I8" s="75">
        <f>G8*100/80</f>
        <v>107.5</v>
      </c>
      <c r="J8" s="74">
        <f t="shared" si="1"/>
        <v>-140</v>
      </c>
      <c r="K8" s="32">
        <v>16</v>
      </c>
      <c r="L8" s="32">
        <v>13</v>
      </c>
      <c r="M8" s="93">
        <f t="shared" si="2"/>
        <v>6.615384615384615</v>
      </c>
      <c r="N8" s="93">
        <f t="shared" si="3"/>
        <v>6</v>
      </c>
      <c r="O8" s="15"/>
    </row>
    <row r="9" spans="1:14" ht="16.5" customHeight="1">
      <c r="A9" s="31">
        <v>3</v>
      </c>
      <c r="B9" s="32" t="s">
        <v>63</v>
      </c>
      <c r="C9" s="31">
        <v>4972</v>
      </c>
      <c r="D9" s="31">
        <v>5295</v>
      </c>
      <c r="E9" s="31">
        <f t="shared" si="0"/>
        <v>323</v>
      </c>
      <c r="F9" s="31">
        <v>3057</v>
      </c>
      <c r="G9" s="31">
        <v>3188</v>
      </c>
      <c r="H9" s="75">
        <f>F9*100/226</f>
        <v>1352.654867256637</v>
      </c>
      <c r="I9" s="75">
        <f>G9*100/240</f>
        <v>1328.3333333333333</v>
      </c>
      <c r="J9" s="74">
        <f t="shared" si="1"/>
        <v>-24.321533923303832</v>
      </c>
      <c r="K9" s="32">
        <v>591</v>
      </c>
      <c r="L9" s="32">
        <v>322</v>
      </c>
      <c r="M9" s="117">
        <f t="shared" si="2"/>
        <v>9.900621118012422</v>
      </c>
      <c r="N9" s="117">
        <f t="shared" si="3"/>
        <v>7.83271375464684</v>
      </c>
    </row>
    <row r="10" spans="1:14" ht="42.75" customHeight="1">
      <c r="A10" s="192" t="s">
        <v>99</v>
      </c>
      <c r="B10" s="193"/>
      <c r="C10" s="31">
        <f>SUM(C7:C9)</f>
        <v>5509</v>
      </c>
      <c r="D10" s="31">
        <f>SUM(D7:D9)</f>
        <v>5822</v>
      </c>
      <c r="E10" s="31">
        <f t="shared" si="0"/>
        <v>313</v>
      </c>
      <c r="F10" s="31">
        <f>SUM(F7:F9)</f>
        <v>3442</v>
      </c>
      <c r="G10" s="31">
        <f>SUM(G7:G9)</f>
        <v>3424</v>
      </c>
      <c r="H10" s="75">
        <f>F10*100/326</f>
        <v>1055.8282208588957</v>
      </c>
      <c r="I10" s="75">
        <f>G10*100/348</f>
        <v>983.9080459770115</v>
      </c>
      <c r="J10" s="74">
        <f t="shared" si="1"/>
        <v>-71.92017488188424</v>
      </c>
      <c r="K10" s="74">
        <f>SUM(K7:K9)</f>
        <v>659</v>
      </c>
      <c r="L10" s="74">
        <f>SUM(L7:L9)</f>
        <v>352</v>
      </c>
      <c r="M10" s="93">
        <f t="shared" si="2"/>
        <v>9.727272727272727</v>
      </c>
      <c r="N10" s="93">
        <f t="shared" si="3"/>
        <v>7.811074918566775</v>
      </c>
    </row>
    <row r="11" spans="1:14" ht="15">
      <c r="A11" s="31">
        <v>1</v>
      </c>
      <c r="B11" s="32" t="s">
        <v>80</v>
      </c>
      <c r="C11" s="31">
        <v>15</v>
      </c>
      <c r="D11" s="31">
        <v>8</v>
      </c>
      <c r="E11" s="31">
        <f t="shared" si="0"/>
        <v>-7</v>
      </c>
      <c r="F11" s="31">
        <v>15</v>
      </c>
      <c r="G11" s="31">
        <v>8</v>
      </c>
      <c r="H11" s="75">
        <f>F11*100/11</f>
        <v>136.36363636363637</v>
      </c>
      <c r="I11" s="75">
        <f>G11*100/10</f>
        <v>80</v>
      </c>
      <c r="J11" s="74">
        <f t="shared" si="1"/>
        <v>-56.363636363636374</v>
      </c>
      <c r="K11" s="74">
        <v>1</v>
      </c>
      <c r="L11" s="2">
        <v>1</v>
      </c>
      <c r="M11" s="93">
        <f t="shared" si="2"/>
        <v>8</v>
      </c>
      <c r="N11" s="93"/>
    </row>
    <row r="12" spans="1:14" ht="25.5" customHeight="1">
      <c r="A12" s="160" t="s">
        <v>88</v>
      </c>
      <c r="B12" s="161"/>
      <c r="C12" s="31">
        <f>SUM(C11)</f>
        <v>15</v>
      </c>
      <c r="D12" s="31">
        <f>SUM(D11)</f>
        <v>8</v>
      </c>
      <c r="E12" s="31">
        <f t="shared" si="0"/>
        <v>-7</v>
      </c>
      <c r="F12" s="31">
        <f>SUM(F11)</f>
        <v>15</v>
      </c>
      <c r="G12" s="31">
        <f>SUM(G11)</f>
        <v>8</v>
      </c>
      <c r="H12" s="75">
        <f>F12*100/11</f>
        <v>136.36363636363637</v>
      </c>
      <c r="I12" s="75">
        <f>G12*100/10</f>
        <v>80</v>
      </c>
      <c r="J12" s="74">
        <f t="shared" si="1"/>
        <v>-56.363636363636374</v>
      </c>
      <c r="K12" s="31">
        <f>SUM(K11)</f>
        <v>1</v>
      </c>
      <c r="L12" s="31">
        <f>SUM(L11)</f>
        <v>1</v>
      </c>
      <c r="M12" s="93">
        <f t="shared" si="2"/>
        <v>8</v>
      </c>
      <c r="N12" s="93"/>
    </row>
    <row r="13" spans="1:14" ht="28.5" customHeight="1">
      <c r="A13" s="191" t="s">
        <v>89</v>
      </c>
      <c r="B13" s="191"/>
      <c r="C13" s="31">
        <f>C10+C12</f>
        <v>5524</v>
      </c>
      <c r="D13" s="31">
        <f>SUM(D10:D11)</f>
        <v>5830</v>
      </c>
      <c r="E13" s="31">
        <f t="shared" si="0"/>
        <v>306</v>
      </c>
      <c r="F13" s="31">
        <f>F10+F12</f>
        <v>3457</v>
      </c>
      <c r="G13" s="31">
        <f>SUM(G10:G11)</f>
        <v>3432</v>
      </c>
      <c r="H13" s="75">
        <f>F13*100/337</f>
        <v>1025.8160237388724</v>
      </c>
      <c r="I13" s="75">
        <f>G13*100/358</f>
        <v>958.659217877095</v>
      </c>
      <c r="J13" s="74">
        <f t="shared" si="1"/>
        <v>-67.15680586177746</v>
      </c>
      <c r="K13" s="31">
        <f>K10+K12</f>
        <v>660</v>
      </c>
      <c r="L13" s="31">
        <f>SUM(L10:L11)</f>
        <v>353</v>
      </c>
      <c r="M13" s="93">
        <f t="shared" si="2"/>
        <v>9.722379603399434</v>
      </c>
      <c r="N13" s="93">
        <f t="shared" si="3"/>
        <v>7.811074918566775</v>
      </c>
    </row>
    <row r="15" spans="2:17" ht="12.7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15">
      <c r="B16" s="72"/>
      <c r="C16" s="112"/>
      <c r="D16" s="112"/>
      <c r="E16" s="112"/>
      <c r="F16" s="112"/>
      <c r="G16" s="112"/>
      <c r="H16" s="113"/>
      <c r="I16" s="114"/>
      <c r="J16" s="113"/>
      <c r="K16" s="112"/>
      <c r="L16" s="112"/>
      <c r="M16" s="115"/>
      <c r="N16" s="115"/>
      <c r="O16" s="72"/>
      <c r="P16" s="72"/>
      <c r="Q16" s="72"/>
    </row>
    <row r="17" spans="2:17" ht="15">
      <c r="B17" s="72"/>
      <c r="C17" s="112"/>
      <c r="D17" s="112"/>
      <c r="E17" s="112"/>
      <c r="F17" s="112"/>
      <c r="G17" s="112"/>
      <c r="H17" s="114"/>
      <c r="I17" s="114"/>
      <c r="J17" s="113"/>
      <c r="K17" s="116"/>
      <c r="L17" s="116"/>
      <c r="M17" s="115"/>
      <c r="N17" s="115"/>
      <c r="O17" s="72"/>
      <c r="P17" s="72"/>
      <c r="Q17" s="72"/>
    </row>
    <row r="18" spans="2:17" ht="15">
      <c r="B18" s="72"/>
      <c r="C18" s="112"/>
      <c r="D18" s="112"/>
      <c r="E18" s="112"/>
      <c r="F18" s="112"/>
      <c r="G18" s="112"/>
      <c r="H18" s="113"/>
      <c r="I18" s="114"/>
      <c r="J18" s="113"/>
      <c r="K18" s="116"/>
      <c r="L18" s="116"/>
      <c r="M18" s="115"/>
      <c r="N18" s="115"/>
      <c r="O18" s="72"/>
      <c r="P18" s="72"/>
      <c r="Q18" s="72"/>
    </row>
    <row r="19" spans="2:17" ht="15">
      <c r="B19" s="72"/>
      <c r="C19" s="112"/>
      <c r="D19" s="112"/>
      <c r="E19" s="112"/>
      <c r="F19" s="112"/>
      <c r="G19" s="112"/>
      <c r="H19" s="113"/>
      <c r="I19" s="114"/>
      <c r="J19" s="113"/>
      <c r="K19" s="116"/>
      <c r="L19" s="116"/>
      <c r="M19" s="115"/>
      <c r="N19" s="115"/>
      <c r="O19" s="72"/>
      <c r="P19" s="72"/>
      <c r="Q19" s="72"/>
    </row>
    <row r="20" spans="2:17" ht="15">
      <c r="B20" s="72"/>
      <c r="C20" s="112"/>
      <c r="D20" s="112"/>
      <c r="E20" s="112"/>
      <c r="F20" s="112"/>
      <c r="G20" s="112"/>
      <c r="H20" s="113"/>
      <c r="I20" s="114"/>
      <c r="J20" s="113"/>
      <c r="K20" s="116"/>
      <c r="L20" s="116"/>
      <c r="M20" s="115"/>
      <c r="N20" s="115"/>
      <c r="O20" s="72"/>
      <c r="P20" s="72"/>
      <c r="Q20" s="72"/>
    </row>
    <row r="21" spans="2:17" ht="15">
      <c r="B21" s="72"/>
      <c r="C21" s="112"/>
      <c r="D21" s="112"/>
      <c r="E21" s="112"/>
      <c r="F21" s="112"/>
      <c r="G21" s="112"/>
      <c r="H21" s="113"/>
      <c r="I21" s="114"/>
      <c r="J21" s="113"/>
      <c r="K21" s="114"/>
      <c r="L21" s="114"/>
      <c r="M21" s="115"/>
      <c r="N21" s="115"/>
      <c r="O21" s="72"/>
      <c r="P21" s="72"/>
      <c r="Q21" s="72"/>
    </row>
    <row r="22" spans="2:17" ht="15">
      <c r="B22" s="72"/>
      <c r="C22" s="112"/>
      <c r="D22" s="112"/>
      <c r="E22" s="112"/>
      <c r="F22" s="112"/>
      <c r="G22" s="112"/>
      <c r="H22" s="113"/>
      <c r="I22" s="114"/>
      <c r="J22" s="113"/>
      <c r="K22" s="116"/>
      <c r="L22" s="116"/>
      <c r="M22" s="115"/>
      <c r="N22" s="115"/>
      <c r="O22" s="72"/>
      <c r="P22" s="72"/>
      <c r="Q22" s="72"/>
    </row>
    <row r="23" spans="2:17" ht="15">
      <c r="B23" s="72"/>
      <c r="C23" s="112"/>
      <c r="D23" s="112"/>
      <c r="E23" s="112"/>
      <c r="F23" s="112"/>
      <c r="G23" s="112"/>
      <c r="H23" s="114"/>
      <c r="I23" s="114"/>
      <c r="J23" s="113"/>
      <c r="K23" s="116"/>
      <c r="L23" s="116"/>
      <c r="M23" s="115"/>
      <c r="N23" s="115"/>
      <c r="O23" s="72"/>
      <c r="P23" s="72"/>
      <c r="Q23" s="72"/>
    </row>
    <row r="24" spans="2:17" ht="12.7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2:17" ht="12.7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2:17" ht="12.7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</sheetData>
  <sheetProtection/>
  <mergeCells count="11">
    <mergeCell ref="A12:B12"/>
    <mergeCell ref="A13:B13"/>
    <mergeCell ref="A10:B10"/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5" zoomScaleNormal="75" zoomScaleSheetLayoutView="65" zoomScalePageLayoutView="0" workbookViewId="0" topLeftCell="A1">
      <selection activeCell="T28" sqref="T28"/>
    </sheetView>
  </sheetViews>
  <sheetFormatPr defaultColWidth="9.00390625" defaultRowHeight="12.75"/>
  <cols>
    <col min="1" max="1" width="4.125" style="0" customWidth="1"/>
    <col min="2" max="2" width="32.87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 customHeight="1">
      <c r="A1" s="20"/>
      <c r="B1" s="20"/>
      <c r="C1" s="130" t="s">
        <v>112</v>
      </c>
      <c r="D1" s="130"/>
      <c r="E1" s="130"/>
      <c r="F1" s="130"/>
      <c r="G1" s="130"/>
      <c r="H1" s="130"/>
      <c r="I1" s="130"/>
      <c r="J1" s="130"/>
      <c r="K1" s="130"/>
      <c r="L1" s="20"/>
      <c r="M1" s="20"/>
      <c r="N1" s="20"/>
    </row>
    <row r="2" spans="1:14" ht="15">
      <c r="A2" s="153" t="s">
        <v>2</v>
      </c>
      <c r="B2" s="153" t="s">
        <v>3</v>
      </c>
      <c r="C2" s="24" t="s">
        <v>34</v>
      </c>
      <c r="D2" s="25"/>
      <c r="E2" s="27"/>
      <c r="F2" s="49" t="s">
        <v>35</v>
      </c>
      <c r="G2" s="25"/>
      <c r="H2" s="27"/>
      <c r="I2" s="24" t="s">
        <v>36</v>
      </c>
      <c r="J2" s="25"/>
      <c r="K2" s="27"/>
      <c r="L2" s="24" t="s">
        <v>37</v>
      </c>
      <c r="M2" s="25"/>
      <c r="N2" s="27"/>
    </row>
    <row r="3" spans="1:14" ht="15">
      <c r="A3" s="177"/>
      <c r="B3" s="177"/>
      <c r="C3" s="18">
        <v>2011</v>
      </c>
      <c r="D3" s="19">
        <v>2012</v>
      </c>
      <c r="E3" s="9" t="s">
        <v>33</v>
      </c>
      <c r="F3" s="18">
        <v>2011</v>
      </c>
      <c r="G3" s="19">
        <v>2012</v>
      </c>
      <c r="H3" s="9" t="s">
        <v>33</v>
      </c>
      <c r="I3" s="18">
        <v>2011</v>
      </c>
      <c r="J3" s="19">
        <v>2012</v>
      </c>
      <c r="K3" s="9" t="s">
        <v>33</v>
      </c>
      <c r="L3" s="18">
        <v>2011</v>
      </c>
      <c r="M3" s="19">
        <v>2012</v>
      </c>
      <c r="N3" s="9" t="s">
        <v>33</v>
      </c>
    </row>
    <row r="4" spans="1:14" ht="15">
      <c r="A4" s="154"/>
      <c r="B4" s="154"/>
      <c r="C4" s="29"/>
      <c r="D4" s="29"/>
      <c r="E4" s="45" t="s">
        <v>103</v>
      </c>
      <c r="F4" s="29"/>
      <c r="G4" s="29"/>
      <c r="H4" s="45" t="s">
        <v>105</v>
      </c>
      <c r="I4" s="29"/>
      <c r="J4" s="29"/>
      <c r="K4" s="45" t="s">
        <v>103</v>
      </c>
      <c r="L4" s="29"/>
      <c r="M4" s="29"/>
      <c r="N4" s="45" t="s">
        <v>103</v>
      </c>
    </row>
    <row r="5" spans="1:14" ht="16.5" customHeight="1">
      <c r="A5" s="31">
        <v>1</v>
      </c>
      <c r="B5" s="31" t="s">
        <v>55</v>
      </c>
      <c r="C5" s="12">
        <v>98</v>
      </c>
      <c r="D5" s="12">
        <v>92</v>
      </c>
      <c r="E5" s="16">
        <f aca="true" t="shared" si="0" ref="E5:E15">D5-C5</f>
        <v>-6</v>
      </c>
      <c r="F5" s="12">
        <v>6</v>
      </c>
      <c r="G5" s="12">
        <v>17</v>
      </c>
      <c r="H5" s="16">
        <f aca="true" t="shared" si="1" ref="H5:H15">G5-F5</f>
        <v>11</v>
      </c>
      <c r="I5" s="12"/>
      <c r="J5" s="12"/>
      <c r="K5" s="12"/>
      <c r="L5" s="12"/>
      <c r="M5" s="12"/>
      <c r="N5" s="12"/>
    </row>
    <row r="6" spans="1:14" ht="16.5" customHeight="1">
      <c r="A6" s="31">
        <v>2</v>
      </c>
      <c r="B6" s="31" t="s">
        <v>56</v>
      </c>
      <c r="C6" s="12">
        <v>90</v>
      </c>
      <c r="D6" s="12">
        <v>69</v>
      </c>
      <c r="E6" s="16">
        <f t="shared" si="0"/>
        <v>-21</v>
      </c>
      <c r="F6" s="12">
        <v>9</v>
      </c>
      <c r="G6" s="12">
        <v>1</v>
      </c>
      <c r="H6" s="16">
        <f t="shared" si="1"/>
        <v>-8</v>
      </c>
      <c r="I6" s="12"/>
      <c r="J6" s="12"/>
      <c r="K6" s="12"/>
      <c r="L6" s="12"/>
      <c r="M6" s="12"/>
      <c r="N6" s="12"/>
    </row>
    <row r="7" spans="1:14" ht="16.5" customHeight="1">
      <c r="A7" s="31">
        <v>3</v>
      </c>
      <c r="B7" s="31" t="s">
        <v>57</v>
      </c>
      <c r="C7" s="12">
        <v>28</v>
      </c>
      <c r="D7" s="12">
        <v>25</v>
      </c>
      <c r="E7" s="16">
        <f t="shared" si="0"/>
        <v>-3</v>
      </c>
      <c r="F7" s="12">
        <v>2</v>
      </c>
      <c r="G7" s="12"/>
      <c r="H7" s="16">
        <f t="shared" si="1"/>
        <v>-2</v>
      </c>
      <c r="I7" s="12"/>
      <c r="J7" s="12"/>
      <c r="K7" s="12"/>
      <c r="L7" s="12"/>
      <c r="M7" s="12"/>
      <c r="N7" s="12"/>
    </row>
    <row r="8" spans="1:14" ht="16.5" customHeight="1">
      <c r="A8" s="31">
        <v>4</v>
      </c>
      <c r="B8" s="22" t="s">
        <v>58</v>
      </c>
      <c r="C8" s="12">
        <v>163</v>
      </c>
      <c r="D8" s="12">
        <v>253</v>
      </c>
      <c r="E8" s="16">
        <f t="shared" si="0"/>
        <v>90</v>
      </c>
      <c r="F8" s="12">
        <v>12</v>
      </c>
      <c r="G8" s="12">
        <v>5</v>
      </c>
      <c r="H8" s="16">
        <f t="shared" si="1"/>
        <v>-7</v>
      </c>
      <c r="I8" s="16">
        <v>43</v>
      </c>
      <c r="J8" s="16">
        <v>66</v>
      </c>
      <c r="K8" s="12">
        <f>J8-I8</f>
        <v>23</v>
      </c>
      <c r="L8" s="12">
        <v>18</v>
      </c>
      <c r="M8" s="12">
        <v>44</v>
      </c>
      <c r="N8" s="12">
        <f>M8-L8</f>
        <v>26</v>
      </c>
    </row>
    <row r="9" spans="1:14" ht="16.5" customHeight="1">
      <c r="A9" s="31">
        <v>5</v>
      </c>
      <c r="B9" s="31" t="s">
        <v>59</v>
      </c>
      <c r="C9" s="12">
        <v>123</v>
      </c>
      <c r="D9" s="12">
        <v>77</v>
      </c>
      <c r="E9" s="16">
        <f t="shared" si="0"/>
        <v>-46</v>
      </c>
      <c r="F9" s="12"/>
      <c r="G9" s="12"/>
      <c r="H9" s="16">
        <f t="shared" si="1"/>
        <v>0</v>
      </c>
      <c r="I9" s="12">
        <v>53</v>
      </c>
      <c r="J9" s="12">
        <v>72</v>
      </c>
      <c r="K9" s="12">
        <f>J9-I9</f>
        <v>19</v>
      </c>
      <c r="L9" s="12">
        <v>3</v>
      </c>
      <c r="M9" s="16">
        <v>12</v>
      </c>
      <c r="N9" s="12">
        <f>M9-L9</f>
        <v>9</v>
      </c>
    </row>
    <row r="10" spans="1:14" ht="16.5" customHeight="1">
      <c r="A10" s="31">
        <v>6</v>
      </c>
      <c r="B10" s="32" t="s">
        <v>71</v>
      </c>
      <c r="C10" s="12">
        <v>28</v>
      </c>
      <c r="D10" s="12">
        <v>32</v>
      </c>
      <c r="E10" s="16">
        <f t="shared" si="0"/>
        <v>4</v>
      </c>
      <c r="F10" s="12">
        <v>2</v>
      </c>
      <c r="G10" s="12"/>
      <c r="H10" s="16">
        <f t="shared" si="1"/>
        <v>-2</v>
      </c>
      <c r="I10" s="12"/>
      <c r="J10" s="12"/>
      <c r="K10" s="12"/>
      <c r="L10" s="12"/>
      <c r="M10" s="12"/>
      <c r="N10" s="12"/>
    </row>
    <row r="11" spans="1:14" ht="16.5" customHeight="1">
      <c r="A11" s="31">
        <v>7</v>
      </c>
      <c r="B11" s="32" t="s">
        <v>60</v>
      </c>
      <c r="C11" s="12">
        <v>51</v>
      </c>
      <c r="D11" s="12"/>
      <c r="E11" s="16">
        <f t="shared" si="0"/>
        <v>-51</v>
      </c>
      <c r="F11" s="12">
        <v>2</v>
      </c>
      <c r="G11" s="12"/>
      <c r="H11" s="16">
        <f t="shared" si="1"/>
        <v>-2</v>
      </c>
      <c r="I11" s="12"/>
      <c r="J11" s="12"/>
      <c r="K11" s="12"/>
      <c r="L11" s="12"/>
      <c r="M11" s="12"/>
      <c r="N11" s="12"/>
    </row>
    <row r="12" spans="1:14" ht="16.5" customHeight="1">
      <c r="A12" s="31">
        <v>8</v>
      </c>
      <c r="B12" s="32" t="s">
        <v>85</v>
      </c>
      <c r="C12" s="12"/>
      <c r="D12" s="12">
        <v>65</v>
      </c>
      <c r="E12" s="16">
        <f t="shared" si="0"/>
        <v>65</v>
      </c>
      <c r="F12" s="12"/>
      <c r="G12" s="12">
        <v>10</v>
      </c>
      <c r="H12" s="16"/>
      <c r="I12" s="12"/>
      <c r="J12" s="12"/>
      <c r="K12" s="12"/>
      <c r="L12" s="12"/>
      <c r="M12" s="12"/>
      <c r="N12" s="12"/>
    </row>
    <row r="13" spans="1:14" ht="16.5" customHeight="1">
      <c r="A13" s="31">
        <v>9</v>
      </c>
      <c r="B13" s="32" t="s">
        <v>70</v>
      </c>
      <c r="C13" s="12">
        <v>76</v>
      </c>
      <c r="D13" s="12">
        <v>97</v>
      </c>
      <c r="E13" s="16">
        <f t="shared" si="0"/>
        <v>21</v>
      </c>
      <c r="F13" s="12">
        <v>3</v>
      </c>
      <c r="G13" s="12">
        <v>35</v>
      </c>
      <c r="H13" s="16">
        <f t="shared" si="1"/>
        <v>32</v>
      </c>
      <c r="I13" s="12"/>
      <c r="J13" s="12"/>
      <c r="K13" s="12"/>
      <c r="L13" s="12"/>
      <c r="M13" s="12"/>
      <c r="N13" s="12"/>
    </row>
    <row r="14" spans="1:14" ht="16.5" customHeight="1">
      <c r="A14" s="31">
        <v>10</v>
      </c>
      <c r="B14" s="32" t="s">
        <v>61</v>
      </c>
      <c r="C14" s="12">
        <v>55</v>
      </c>
      <c r="D14" s="12">
        <v>31</v>
      </c>
      <c r="E14" s="16">
        <f t="shared" si="0"/>
        <v>-24</v>
      </c>
      <c r="F14" s="12">
        <v>15</v>
      </c>
      <c r="G14" s="12"/>
      <c r="H14" s="16">
        <f t="shared" si="1"/>
        <v>-15</v>
      </c>
      <c r="I14" s="12"/>
      <c r="J14" s="12"/>
      <c r="K14" s="12"/>
      <c r="L14" s="12"/>
      <c r="M14" s="12"/>
      <c r="N14" s="12"/>
    </row>
    <row r="15" spans="1:14" ht="16.5" customHeight="1">
      <c r="A15" s="31">
        <v>11</v>
      </c>
      <c r="B15" s="32" t="s">
        <v>62</v>
      </c>
      <c r="C15" s="12">
        <v>34</v>
      </c>
      <c r="D15" s="12">
        <v>13</v>
      </c>
      <c r="E15" s="16">
        <f t="shared" si="0"/>
        <v>-21</v>
      </c>
      <c r="F15" s="12">
        <v>3</v>
      </c>
      <c r="G15" s="12"/>
      <c r="H15" s="16">
        <f t="shared" si="1"/>
        <v>-3</v>
      </c>
      <c r="I15" s="12"/>
      <c r="J15" s="12"/>
      <c r="K15" s="12"/>
      <c r="L15" s="12"/>
      <c r="M15" s="12"/>
      <c r="N15" s="12"/>
    </row>
    <row r="16" spans="1:14" ht="16.5" customHeight="1">
      <c r="A16" s="31">
        <v>12</v>
      </c>
      <c r="B16" s="32" t="s">
        <v>63</v>
      </c>
      <c r="C16" s="16"/>
      <c r="D16" s="16"/>
      <c r="E16" s="16"/>
      <c r="F16" s="16"/>
      <c r="G16" s="16"/>
      <c r="H16" s="16"/>
      <c r="I16" s="12">
        <v>894</v>
      </c>
      <c r="J16" s="12">
        <v>942</v>
      </c>
      <c r="K16" s="12">
        <f>J16-I16</f>
        <v>48</v>
      </c>
      <c r="L16" s="12">
        <v>353</v>
      </c>
      <c r="M16" s="12">
        <v>387</v>
      </c>
      <c r="N16" s="12">
        <f>M16-L16</f>
        <v>34</v>
      </c>
    </row>
    <row r="17" spans="1:14" ht="60.75" customHeight="1">
      <c r="A17" s="160" t="s">
        <v>98</v>
      </c>
      <c r="B17" s="161"/>
      <c r="C17" s="12">
        <f>SUM(C5:C15)</f>
        <v>746</v>
      </c>
      <c r="D17" s="12">
        <f>SUM(D5:D16)</f>
        <v>754</v>
      </c>
      <c r="E17" s="12">
        <f>D17-C17</f>
        <v>8</v>
      </c>
      <c r="F17" s="12">
        <f>SUM(F5:F16)</f>
        <v>54</v>
      </c>
      <c r="G17" s="12">
        <f>SUM(G5:G16)</f>
        <v>68</v>
      </c>
      <c r="H17" s="12">
        <f>G17-F17</f>
        <v>14</v>
      </c>
      <c r="I17" s="12">
        <f>SUM(I8:I16)</f>
        <v>990</v>
      </c>
      <c r="J17" s="12">
        <f>SUM(J8:J16)</f>
        <v>1080</v>
      </c>
      <c r="K17" s="12">
        <f>J17-I17</f>
        <v>90</v>
      </c>
      <c r="L17" s="12">
        <f>SUM(L8:L16)</f>
        <v>374</v>
      </c>
      <c r="M17" s="12">
        <f>SUM(M8:M16)</f>
        <v>443</v>
      </c>
      <c r="N17" s="12">
        <f>M17-L17</f>
        <v>69</v>
      </c>
    </row>
    <row r="18" spans="1:14" ht="16.5" customHeight="1">
      <c r="A18" s="31">
        <v>1</v>
      </c>
      <c r="B18" s="32" t="s">
        <v>80</v>
      </c>
      <c r="C18" s="12"/>
      <c r="D18" s="16"/>
      <c r="E18" s="12">
        <f>D18-C18</f>
        <v>0</v>
      </c>
      <c r="F18" s="16"/>
      <c r="G18" s="16"/>
      <c r="H18" s="12">
        <f>G18-F18</f>
        <v>0</v>
      </c>
      <c r="I18" s="12"/>
      <c r="J18" s="12"/>
      <c r="K18" s="12">
        <f>J18-I18</f>
        <v>0</v>
      </c>
      <c r="L18" s="12"/>
      <c r="M18" s="12"/>
      <c r="N18" s="12">
        <f>M18-L18</f>
        <v>0</v>
      </c>
    </row>
    <row r="19" spans="1:14" ht="18.75" customHeight="1">
      <c r="A19" s="160" t="s">
        <v>88</v>
      </c>
      <c r="B19" s="161"/>
      <c r="C19" s="12"/>
      <c r="D19" s="12"/>
      <c r="E19" s="12">
        <f>D19-C19</f>
        <v>0</v>
      </c>
      <c r="F19" s="12"/>
      <c r="G19" s="12"/>
      <c r="H19" s="12">
        <f>G19-F19</f>
        <v>0</v>
      </c>
      <c r="I19" s="12"/>
      <c r="J19" s="12"/>
      <c r="K19" s="12">
        <f>J19-I19</f>
        <v>0</v>
      </c>
      <c r="L19" s="12"/>
      <c r="M19" s="12"/>
      <c r="N19" s="12">
        <f>M19-L19</f>
        <v>0</v>
      </c>
    </row>
    <row r="20" spans="1:14" ht="39" customHeight="1">
      <c r="A20" s="162" t="s">
        <v>89</v>
      </c>
      <c r="B20" s="163"/>
      <c r="C20" s="12">
        <f>C17+C19</f>
        <v>746</v>
      </c>
      <c r="D20" s="12">
        <f>D17+D19</f>
        <v>754</v>
      </c>
      <c r="E20" s="12">
        <f>D20-C20</f>
        <v>8</v>
      </c>
      <c r="F20" s="12">
        <f>F17+F19</f>
        <v>54</v>
      </c>
      <c r="G20" s="12">
        <f>G17+G19</f>
        <v>68</v>
      </c>
      <c r="H20" s="12">
        <f>G20-F20</f>
        <v>14</v>
      </c>
      <c r="I20" s="12">
        <f>I17+I19</f>
        <v>990</v>
      </c>
      <c r="J20" s="12">
        <f>J17+J19</f>
        <v>1080</v>
      </c>
      <c r="K20" s="12">
        <f>J20-I20</f>
        <v>90</v>
      </c>
      <c r="L20" s="12">
        <f>L17+L19</f>
        <v>374</v>
      </c>
      <c r="M20" s="12">
        <f>M17+M19</f>
        <v>443</v>
      </c>
      <c r="N20" s="12">
        <f>M20-L20</f>
        <v>69</v>
      </c>
    </row>
  </sheetData>
  <sheetProtection/>
  <mergeCells count="5">
    <mergeCell ref="B2:B4"/>
    <mergeCell ref="A2:A4"/>
    <mergeCell ref="A17:B17"/>
    <mergeCell ref="A19:B19"/>
    <mergeCell ref="A20:B20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zoomScalePageLayoutView="0" workbookViewId="0" topLeftCell="A1">
      <selection activeCell="O15" sqref="O15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94" t="s">
        <v>111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">
      <c r="A3" s="150" t="s">
        <v>2</v>
      </c>
      <c r="B3" s="150" t="s">
        <v>3</v>
      </c>
      <c r="C3" s="24" t="s">
        <v>24</v>
      </c>
      <c r="D3" s="25"/>
      <c r="E3" s="27"/>
      <c r="F3" s="5" t="s">
        <v>25</v>
      </c>
      <c r="G3" s="7"/>
      <c r="H3" s="23" t="s">
        <v>27</v>
      </c>
      <c r="I3" s="34" t="s">
        <v>28</v>
      </c>
      <c r="J3" s="21"/>
      <c r="K3" s="23" t="s">
        <v>27</v>
      </c>
      <c r="L3" s="50" t="s">
        <v>30</v>
      </c>
      <c r="M3" s="21"/>
      <c r="N3" s="23" t="s">
        <v>27</v>
      </c>
    </row>
    <row r="4" spans="1:14" ht="15">
      <c r="A4" s="197"/>
      <c r="B4" s="197"/>
      <c r="C4" s="18">
        <v>2011</v>
      </c>
      <c r="D4" s="19">
        <v>2012</v>
      </c>
      <c r="E4" s="19" t="s">
        <v>95</v>
      </c>
      <c r="F4" s="18">
        <v>2011</v>
      </c>
      <c r="G4" s="19">
        <v>2012</v>
      </c>
      <c r="H4" s="44" t="s">
        <v>26</v>
      </c>
      <c r="I4" s="30" t="s">
        <v>29</v>
      </c>
      <c r="J4" s="28"/>
      <c r="K4" s="44" t="s">
        <v>26</v>
      </c>
      <c r="L4" s="52" t="s">
        <v>31</v>
      </c>
      <c r="M4" s="28"/>
      <c r="N4" s="44" t="s">
        <v>26</v>
      </c>
    </row>
    <row r="5" spans="1:14" ht="15">
      <c r="A5" s="197"/>
      <c r="B5" s="197"/>
      <c r="C5" s="40"/>
      <c r="D5" s="11"/>
      <c r="E5" s="11" t="s">
        <v>96</v>
      </c>
      <c r="F5" s="29"/>
      <c r="G5" s="28"/>
      <c r="H5" s="29" t="s">
        <v>97</v>
      </c>
      <c r="I5" s="18">
        <v>2011</v>
      </c>
      <c r="J5" s="19">
        <v>2012</v>
      </c>
      <c r="K5" s="29" t="s">
        <v>97</v>
      </c>
      <c r="L5" s="18">
        <v>2011</v>
      </c>
      <c r="M5" s="19">
        <v>2012</v>
      </c>
      <c r="N5" s="29" t="s">
        <v>97</v>
      </c>
    </row>
    <row r="6" spans="1:14" ht="16.5" customHeight="1">
      <c r="A6" s="31">
        <v>1</v>
      </c>
      <c r="B6" s="31" t="s">
        <v>55</v>
      </c>
      <c r="C6" s="36">
        <v>88</v>
      </c>
      <c r="D6" s="36">
        <v>56</v>
      </c>
      <c r="E6" s="36">
        <f aca="true" t="shared" si="0" ref="E6:E17">D6*100/C6</f>
        <v>63.63636363636363</v>
      </c>
      <c r="F6" s="36">
        <v>80</v>
      </c>
      <c r="G6" s="36">
        <v>53</v>
      </c>
      <c r="H6" s="36">
        <f aca="true" t="shared" si="1" ref="H6:H17">G6-F6</f>
        <v>-27</v>
      </c>
      <c r="I6" s="36">
        <f>F6*100/180</f>
        <v>44.44444444444444</v>
      </c>
      <c r="J6" s="36">
        <f>G6*100/180</f>
        <v>29.444444444444443</v>
      </c>
      <c r="K6" s="36">
        <f aca="true" t="shared" si="2" ref="K6:K17">J6-I6</f>
        <v>-15</v>
      </c>
      <c r="L6" s="36">
        <f>(C6-F6)*100/180</f>
        <v>4.444444444444445</v>
      </c>
      <c r="M6" s="36">
        <f>(D6-G6)*100/180</f>
        <v>1.6666666666666667</v>
      </c>
      <c r="N6" s="36">
        <f>M6-L6</f>
        <v>-2.7777777777777777</v>
      </c>
    </row>
    <row r="7" spans="1:14" ht="16.5" customHeight="1">
      <c r="A7" s="31">
        <v>2</v>
      </c>
      <c r="B7" s="31" t="s">
        <v>56</v>
      </c>
      <c r="C7" s="36">
        <v>84</v>
      </c>
      <c r="D7" s="36">
        <v>77</v>
      </c>
      <c r="E7" s="36">
        <f t="shared" si="0"/>
        <v>91.66666666666667</v>
      </c>
      <c r="F7" s="36">
        <v>75</v>
      </c>
      <c r="G7" s="36">
        <v>77</v>
      </c>
      <c r="H7" s="36">
        <f t="shared" si="1"/>
        <v>2</v>
      </c>
      <c r="I7" s="36">
        <f>F7*100/105</f>
        <v>71.42857142857143</v>
      </c>
      <c r="J7" s="36">
        <f>G7*100/105</f>
        <v>73.33333333333333</v>
      </c>
      <c r="K7" s="36">
        <f>J7-I7</f>
        <v>1.904761904761898</v>
      </c>
      <c r="L7" s="36">
        <f>(C7-F7)*100/105</f>
        <v>8.571428571428571</v>
      </c>
      <c r="M7" s="36">
        <f>(D7-G7)*100/105</f>
        <v>0</v>
      </c>
      <c r="N7" s="36">
        <f>M7-L7</f>
        <v>-8.571428571428571</v>
      </c>
    </row>
    <row r="8" spans="1:14" ht="16.5" customHeight="1">
      <c r="A8" s="31">
        <v>3</v>
      </c>
      <c r="B8" s="31" t="s">
        <v>57</v>
      </c>
      <c r="C8" s="36">
        <v>29</v>
      </c>
      <c r="D8" s="36">
        <v>33</v>
      </c>
      <c r="E8" s="36">
        <f t="shared" si="0"/>
        <v>113.79310344827586</v>
      </c>
      <c r="F8" s="36">
        <v>29</v>
      </c>
      <c r="G8" s="36">
        <v>33</v>
      </c>
      <c r="H8" s="36">
        <f t="shared" si="1"/>
        <v>4</v>
      </c>
      <c r="I8" s="36">
        <f>F8*100/60</f>
        <v>48.333333333333336</v>
      </c>
      <c r="J8" s="36">
        <f>G8*100/60</f>
        <v>55</v>
      </c>
      <c r="K8" s="36">
        <f>J8-I8</f>
        <v>6.666666666666664</v>
      </c>
      <c r="L8" s="36">
        <f>(C8-F8)*100/60</f>
        <v>0</v>
      </c>
      <c r="M8" s="36">
        <f>(D8-G8)*100/60</f>
        <v>0</v>
      </c>
      <c r="N8" s="36">
        <f>M8-L8</f>
        <v>0</v>
      </c>
    </row>
    <row r="9" spans="1:14" ht="16.5" customHeight="1">
      <c r="A9" s="31">
        <v>4</v>
      </c>
      <c r="B9" s="22" t="s">
        <v>58</v>
      </c>
      <c r="C9" s="36">
        <v>93</v>
      </c>
      <c r="D9" s="36">
        <v>109</v>
      </c>
      <c r="E9" s="36">
        <f t="shared" si="0"/>
        <v>117.20430107526882</v>
      </c>
      <c r="F9" s="36">
        <v>81</v>
      </c>
      <c r="G9" s="36">
        <v>87</v>
      </c>
      <c r="H9" s="36">
        <f t="shared" si="1"/>
        <v>6</v>
      </c>
      <c r="I9" s="36">
        <f>F9*100/308</f>
        <v>26.2987012987013</v>
      </c>
      <c r="J9" s="36">
        <f>G9*100/308</f>
        <v>28.246753246753247</v>
      </c>
      <c r="K9" s="36">
        <f t="shared" si="2"/>
        <v>1.9480519480519476</v>
      </c>
      <c r="L9" s="36">
        <f>(C9-F9)*100/308</f>
        <v>3.896103896103896</v>
      </c>
      <c r="M9" s="36">
        <f>(D9-G9)*100/308</f>
        <v>7.142857142857143</v>
      </c>
      <c r="N9" s="36">
        <f aca="true" t="shared" si="3" ref="N9:N17">M9-L9</f>
        <v>3.246753246753247</v>
      </c>
    </row>
    <row r="10" spans="1:14" ht="16.5" customHeight="1">
      <c r="A10" s="31">
        <v>5</v>
      </c>
      <c r="B10" s="31" t="s">
        <v>59</v>
      </c>
      <c r="C10" s="36">
        <v>56</v>
      </c>
      <c r="D10" s="36">
        <v>96</v>
      </c>
      <c r="E10" s="36">
        <f t="shared" si="0"/>
        <v>171.42857142857142</v>
      </c>
      <c r="F10" s="36">
        <v>54</v>
      </c>
      <c r="G10" s="36">
        <v>82</v>
      </c>
      <c r="H10" s="36">
        <f t="shared" si="1"/>
        <v>28</v>
      </c>
      <c r="I10" s="36">
        <f>F10*100/280</f>
        <v>19.285714285714285</v>
      </c>
      <c r="J10" s="36">
        <f>G10*100/280</f>
        <v>29.285714285714285</v>
      </c>
      <c r="K10" s="36">
        <f t="shared" si="2"/>
        <v>10</v>
      </c>
      <c r="L10" s="36">
        <f>(C10-F10)*100/280</f>
        <v>0.7142857142857143</v>
      </c>
      <c r="M10" s="36">
        <f>(D10-G10)*100/280</f>
        <v>5</v>
      </c>
      <c r="N10" s="36">
        <f t="shared" si="3"/>
        <v>4.285714285714286</v>
      </c>
    </row>
    <row r="11" spans="1:14" ht="16.5" customHeight="1">
      <c r="A11" s="31">
        <v>6</v>
      </c>
      <c r="B11" s="32" t="s">
        <v>71</v>
      </c>
      <c r="C11" s="89">
        <v>56</v>
      </c>
      <c r="D11" s="89">
        <v>54</v>
      </c>
      <c r="E11" s="36">
        <f t="shared" si="0"/>
        <v>96.42857142857143</v>
      </c>
      <c r="F11" s="89">
        <v>50</v>
      </c>
      <c r="G11" s="89">
        <v>42</v>
      </c>
      <c r="H11" s="36">
        <f t="shared" si="1"/>
        <v>-8</v>
      </c>
      <c r="I11" s="89">
        <f>F11*100/85</f>
        <v>58.8235294117647</v>
      </c>
      <c r="J11" s="89">
        <f>G11*100/85</f>
        <v>49.411764705882355</v>
      </c>
      <c r="K11" s="36">
        <f t="shared" si="2"/>
        <v>-9.411764705882348</v>
      </c>
      <c r="L11" s="36">
        <f>(C11-F11)*100/85</f>
        <v>7.0588235294117645</v>
      </c>
      <c r="M11" s="36">
        <f>(D11-G11)*100/85</f>
        <v>14.117647058823529</v>
      </c>
      <c r="N11" s="89">
        <f t="shared" si="3"/>
        <v>7.0588235294117645</v>
      </c>
    </row>
    <row r="12" spans="1:14" ht="16.5" customHeight="1">
      <c r="A12" s="31">
        <v>7</v>
      </c>
      <c r="B12" s="32" t="s">
        <v>60</v>
      </c>
      <c r="C12" s="89">
        <v>62</v>
      </c>
      <c r="D12" s="89"/>
      <c r="E12" s="36">
        <f t="shared" si="0"/>
        <v>0</v>
      </c>
      <c r="F12" s="89">
        <v>56</v>
      </c>
      <c r="G12" s="89"/>
      <c r="H12" s="36">
        <f t="shared" si="1"/>
        <v>-56</v>
      </c>
      <c r="I12" s="89">
        <f>F12*100/60</f>
        <v>93.33333333333333</v>
      </c>
      <c r="J12" s="89">
        <f>G12*100/60</f>
        <v>0</v>
      </c>
      <c r="K12" s="36">
        <f t="shared" si="2"/>
        <v>-93.33333333333333</v>
      </c>
      <c r="L12" s="36">
        <f>(C12-F12)*100/60</f>
        <v>10</v>
      </c>
      <c r="M12" s="36">
        <f>(D12-G12)*100/60</f>
        <v>0</v>
      </c>
      <c r="N12" s="89">
        <f t="shared" si="3"/>
        <v>-10</v>
      </c>
    </row>
    <row r="13" spans="1:14" ht="16.5" customHeight="1">
      <c r="A13" s="31">
        <v>8</v>
      </c>
      <c r="B13" s="32" t="s">
        <v>85</v>
      </c>
      <c r="C13" s="118"/>
      <c r="D13" s="89">
        <v>79</v>
      </c>
      <c r="E13" s="36">
        <f>D13*100/C14</f>
        <v>117.91044776119404</v>
      </c>
      <c r="F13" s="89"/>
      <c r="G13" s="89">
        <v>65</v>
      </c>
      <c r="H13" s="36">
        <f t="shared" si="1"/>
        <v>65</v>
      </c>
      <c r="I13" s="89"/>
      <c r="J13" s="89">
        <f>G13*100/5</f>
        <v>1300</v>
      </c>
      <c r="K13" s="36"/>
      <c r="L13" s="36"/>
      <c r="M13" s="36">
        <f>(D13-G13)*100/5</f>
        <v>280</v>
      </c>
      <c r="N13" s="89"/>
    </row>
    <row r="14" spans="1:14" ht="16.5" customHeight="1">
      <c r="A14" s="31">
        <v>9</v>
      </c>
      <c r="B14" s="32" t="s">
        <v>70</v>
      </c>
      <c r="C14" s="89">
        <v>67</v>
      </c>
      <c r="D14" s="89">
        <v>41</v>
      </c>
      <c r="E14" s="36">
        <f>D14*100/C15</f>
        <v>97.61904761904762</v>
      </c>
      <c r="F14" s="89">
        <v>57</v>
      </c>
      <c r="G14" s="89">
        <v>38</v>
      </c>
      <c r="H14" s="36">
        <f t="shared" si="1"/>
        <v>-19</v>
      </c>
      <c r="I14" s="89">
        <f>F14*100/78</f>
        <v>73.07692307692308</v>
      </c>
      <c r="J14" s="89">
        <f>G14*100/78</f>
        <v>48.717948717948715</v>
      </c>
      <c r="K14" s="36">
        <f t="shared" si="2"/>
        <v>-24.358974358974365</v>
      </c>
      <c r="L14" s="36">
        <f>(C14-F14)*100/78</f>
        <v>12.820512820512821</v>
      </c>
      <c r="M14" s="36">
        <f>(D14-G14)*100/78</f>
        <v>3.8461538461538463</v>
      </c>
      <c r="N14" s="89">
        <f t="shared" si="3"/>
        <v>-8.974358974358974</v>
      </c>
    </row>
    <row r="15" spans="1:14" ht="16.5" customHeight="1">
      <c r="A15" s="31">
        <v>10</v>
      </c>
      <c r="B15" s="32" t="s">
        <v>61</v>
      </c>
      <c r="C15" s="89">
        <v>42</v>
      </c>
      <c r="D15" s="89">
        <v>60</v>
      </c>
      <c r="E15" s="36">
        <f>D15*100/C16</f>
        <v>222.22222222222223</v>
      </c>
      <c r="F15" s="89">
        <v>39</v>
      </c>
      <c r="G15" s="89">
        <v>54</v>
      </c>
      <c r="H15" s="36">
        <f t="shared" si="1"/>
        <v>15</v>
      </c>
      <c r="I15" s="89">
        <f>F15*100/100</f>
        <v>39</v>
      </c>
      <c r="J15" s="89">
        <f>G15*100/100</f>
        <v>54</v>
      </c>
      <c r="K15" s="36">
        <f t="shared" si="2"/>
        <v>15</v>
      </c>
      <c r="L15" s="36">
        <f>(C15-F15)*100/100</f>
        <v>3</v>
      </c>
      <c r="M15" s="36">
        <f>(D15-G15)*100/100</f>
        <v>6</v>
      </c>
      <c r="N15" s="89">
        <f t="shared" si="3"/>
        <v>3</v>
      </c>
    </row>
    <row r="16" spans="1:14" ht="16.5" customHeight="1">
      <c r="A16" s="31">
        <v>11</v>
      </c>
      <c r="B16" s="32" t="s">
        <v>62</v>
      </c>
      <c r="C16" s="89">
        <v>27</v>
      </c>
      <c r="D16" s="89">
        <v>27</v>
      </c>
      <c r="E16" s="36">
        <f>D16*100/C17</f>
        <v>4.470198675496689</v>
      </c>
      <c r="F16" s="89">
        <v>27</v>
      </c>
      <c r="G16" s="89">
        <v>27</v>
      </c>
      <c r="H16" s="36">
        <f t="shared" si="1"/>
        <v>0</v>
      </c>
      <c r="I16" s="89">
        <f>F16*100/42</f>
        <v>64.28571428571429</v>
      </c>
      <c r="J16" s="89">
        <f>G16*100/42</f>
        <v>64.28571428571429</v>
      </c>
      <c r="K16" s="36">
        <f t="shared" si="2"/>
        <v>0</v>
      </c>
      <c r="L16" s="36">
        <f>(C16-F16)*100/42</f>
        <v>0</v>
      </c>
      <c r="M16" s="36">
        <f>(D16-G16)*100/42</f>
        <v>0</v>
      </c>
      <c r="N16" s="89">
        <f t="shared" si="3"/>
        <v>0</v>
      </c>
    </row>
    <row r="17" spans="1:14" ht="61.5" customHeight="1">
      <c r="A17" s="195" t="s">
        <v>94</v>
      </c>
      <c r="B17" s="196"/>
      <c r="C17" s="36">
        <f>SUM(C6:C16)</f>
        <v>604</v>
      </c>
      <c r="D17" s="3">
        <f>SUM(D6:D16)</f>
        <v>632</v>
      </c>
      <c r="E17" s="36">
        <f t="shared" si="0"/>
        <v>104.63576158940397</v>
      </c>
      <c r="F17" s="3">
        <f>SUM(F6:F16)</f>
        <v>548</v>
      </c>
      <c r="G17" s="3">
        <f>SUM(G6:G16)</f>
        <v>558</v>
      </c>
      <c r="H17" s="36">
        <f t="shared" si="1"/>
        <v>10</v>
      </c>
      <c r="I17" s="36">
        <f>F17*100/1298</f>
        <v>42.21879815100154</v>
      </c>
      <c r="J17" s="36">
        <f>G17*100/1303</f>
        <v>42.82425172678435</v>
      </c>
      <c r="K17" s="36">
        <f t="shared" si="2"/>
        <v>0.6054535757828035</v>
      </c>
      <c r="L17" s="36">
        <f>(C17-F17)*100/1298</f>
        <v>4.314329738058552</v>
      </c>
      <c r="M17" s="36">
        <f>(D17-G17)*100/1303</f>
        <v>5.6792018419033</v>
      </c>
      <c r="N17" s="36">
        <f t="shared" si="3"/>
        <v>1.364872103844748</v>
      </c>
    </row>
  </sheetData>
  <sheetProtection/>
  <mergeCells count="4">
    <mergeCell ref="A1:N1"/>
    <mergeCell ref="A17:B17"/>
    <mergeCell ref="B3:B5"/>
    <mergeCell ref="A3:A5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70" zoomScaleNormal="75" zoomScaleSheetLayoutView="70" zoomScalePageLayoutView="0" workbookViewId="0" topLeftCell="A1">
      <selection activeCell="M26" sqref="M26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2.125" style="20" customWidth="1"/>
    <col min="4" max="4" width="14.625" style="20" customWidth="1"/>
    <col min="5" max="5" width="13.00390625" style="20" customWidth="1"/>
    <col min="6" max="6" width="13.25390625" style="20" customWidth="1"/>
    <col min="7" max="16384" width="9.125" style="20" customWidth="1"/>
  </cols>
  <sheetData>
    <row r="1" spans="1:9" ht="15.75" customHeight="1">
      <c r="A1" s="198" t="s">
        <v>106</v>
      </c>
      <c r="B1" s="198"/>
      <c r="C1" s="198"/>
      <c r="D1" s="198"/>
      <c r="E1" s="198"/>
      <c r="F1" s="198"/>
      <c r="G1" s="76"/>
      <c r="H1" s="76"/>
      <c r="I1" s="76"/>
    </row>
    <row r="2" spans="1:9" ht="15.75">
      <c r="A2" s="199" t="s">
        <v>110</v>
      </c>
      <c r="B2" s="199"/>
      <c r="C2" s="199"/>
      <c r="D2" s="199"/>
      <c r="E2" s="199"/>
      <c r="F2" s="199"/>
      <c r="G2" s="76"/>
      <c r="H2" s="76"/>
      <c r="I2" s="76"/>
    </row>
    <row r="3" spans="1:9" ht="15">
      <c r="A3" s="4" t="s">
        <v>2</v>
      </c>
      <c r="B3" s="4" t="s">
        <v>3</v>
      </c>
      <c r="C3" s="5" t="s">
        <v>42</v>
      </c>
      <c r="D3" s="6"/>
      <c r="E3" s="5" t="s">
        <v>43</v>
      </c>
      <c r="F3" s="7"/>
      <c r="G3" s="76"/>
      <c r="H3" s="76"/>
      <c r="I3" s="76"/>
    </row>
    <row r="4" spans="1:9" ht="15">
      <c r="A4" s="8"/>
      <c r="B4" s="8"/>
      <c r="C4" s="18">
        <v>2010</v>
      </c>
      <c r="D4" s="19">
        <v>2011</v>
      </c>
      <c r="E4" s="18">
        <v>2010</v>
      </c>
      <c r="F4" s="19">
        <v>2011</v>
      </c>
      <c r="G4" s="76"/>
      <c r="H4" s="76"/>
      <c r="I4" s="76"/>
    </row>
    <row r="5" spans="1:9" ht="15">
      <c r="A5" s="3">
        <v>1</v>
      </c>
      <c r="B5" s="22" t="s">
        <v>55</v>
      </c>
      <c r="C5" s="36">
        <f>(молоко!C7*1000)/1875</f>
        <v>90.88</v>
      </c>
      <c r="D5" s="36">
        <f>(молоко!D7*1000)/1875</f>
        <v>74.02666666666667</v>
      </c>
      <c r="E5" s="36">
        <f>(мясо!C6*1000)/1875</f>
        <v>10.56</v>
      </c>
      <c r="F5" s="36">
        <f>(мясо!D6*1000)/1875</f>
        <v>8.16</v>
      </c>
      <c r="H5" s="76"/>
      <c r="I5" s="76"/>
    </row>
    <row r="6" spans="1:9" ht="15">
      <c r="A6" s="3">
        <v>2</v>
      </c>
      <c r="B6" s="22" t="s">
        <v>56</v>
      </c>
      <c r="C6" s="36">
        <f>(молоко!C8*1000)/799</f>
        <v>130.16270337922404</v>
      </c>
      <c r="D6" s="36">
        <f>(молоко!D8*1000)/799</f>
        <v>121.55193992490614</v>
      </c>
      <c r="E6" s="36">
        <f>(мясо!C7*1000)/799</f>
        <v>10.012515644555695</v>
      </c>
      <c r="F6" s="36">
        <f>(мясо!D7*1000)/799</f>
        <v>4.505632040050062</v>
      </c>
      <c r="H6" s="76"/>
      <c r="I6" s="76"/>
    </row>
    <row r="7" spans="1:9" ht="15">
      <c r="A7" s="3">
        <v>3</v>
      </c>
      <c r="B7" s="22" t="s">
        <v>57</v>
      </c>
      <c r="C7" s="36">
        <f>(молоко!C9*1000)/2025</f>
        <v>42.96296296296296</v>
      </c>
      <c r="D7" s="36">
        <f>(молоко!D9*1000)/2025</f>
        <v>39.50617283950617</v>
      </c>
      <c r="E7" s="36">
        <f>(мясо!C8*1000)/2025</f>
        <v>1.4814814814814814</v>
      </c>
      <c r="F7" s="36">
        <f>(мясо!D8*1000)/2025</f>
        <v>1.5308641975308641</v>
      </c>
      <c r="H7" s="76"/>
      <c r="I7" s="76"/>
    </row>
    <row r="8" spans="1:9" ht="15">
      <c r="A8" s="3">
        <v>4</v>
      </c>
      <c r="B8" s="38" t="s">
        <v>58</v>
      </c>
      <c r="C8" s="36">
        <f>(молоко!C10*1000)/2478</f>
        <v>130.22598870056498</v>
      </c>
      <c r="D8" s="36">
        <f>(молоко!D10*1000)/2478</f>
        <v>158.19209039548022</v>
      </c>
      <c r="E8" s="36">
        <f>(мясо!C9*1000)/2478</f>
        <v>27.360774818401936</v>
      </c>
      <c r="F8" s="36">
        <f>(мясо!D9*1000)/2478</f>
        <v>8.878127522195319</v>
      </c>
      <c r="H8" s="76"/>
      <c r="I8" s="76"/>
    </row>
    <row r="9" spans="1:9" ht="15">
      <c r="A9" s="3">
        <v>5</v>
      </c>
      <c r="B9" s="22" t="s">
        <v>59</v>
      </c>
      <c r="C9" s="36">
        <f>(молоко!C11*1000)/2157</f>
        <v>80.20398701900788</v>
      </c>
      <c r="D9" s="36">
        <f>(молоко!D11*1000)/2157</f>
        <v>55.16921650440427</v>
      </c>
      <c r="E9" s="36">
        <f>(мясо!C10*1000)/2157</f>
        <v>11.126564673157162</v>
      </c>
      <c r="F9" s="36">
        <f>(мясо!D10*1000)/2157</f>
        <v>17.867408437644876</v>
      </c>
      <c r="H9" s="76"/>
      <c r="I9" s="76"/>
    </row>
    <row r="10" spans="1:9" ht="15">
      <c r="A10" s="3">
        <v>6</v>
      </c>
      <c r="B10" s="38" t="s">
        <v>71</v>
      </c>
      <c r="C10" s="36">
        <f>(молоко!C12*1000)/859</f>
        <v>176.9499417927823</v>
      </c>
      <c r="D10" s="36">
        <f>(молоко!D12*1000)/859</f>
        <v>166.58905704307335</v>
      </c>
      <c r="E10" s="36">
        <f>(мясо!C11*1000)/859</f>
        <v>11.525029103608848</v>
      </c>
      <c r="F10" s="36">
        <f>(мясо!D11*1000)/859</f>
        <v>10.966239813736903</v>
      </c>
      <c r="H10" s="76"/>
      <c r="I10" s="76"/>
    </row>
    <row r="11" spans="1:9" ht="15">
      <c r="A11" s="3">
        <v>7</v>
      </c>
      <c r="B11" s="38" t="s">
        <v>60</v>
      </c>
      <c r="C11" s="36">
        <f>(молоко!C13*1000)/1482</f>
        <v>67.94871794871794</v>
      </c>
      <c r="D11" s="36">
        <f>(молоко!D13*1000)/1482</f>
        <v>0</v>
      </c>
      <c r="E11" s="36">
        <f>(мясо!C12*1000)/1482</f>
        <v>0</v>
      </c>
      <c r="F11" s="36">
        <f>(мясо!D12*1000)/1482</f>
        <v>0</v>
      </c>
      <c r="H11" s="76"/>
      <c r="I11" s="76"/>
    </row>
    <row r="12" spans="1:9" ht="15">
      <c r="A12" s="3">
        <v>8</v>
      </c>
      <c r="B12" s="32" t="s">
        <v>85</v>
      </c>
      <c r="C12" s="36"/>
      <c r="D12" s="36">
        <f>(молоко!D14*1000)/1482</f>
        <v>89.01214574898785</v>
      </c>
      <c r="E12" s="36"/>
      <c r="F12" s="36">
        <f>(мясо!D13*1000)/1482</f>
        <v>9.256410256410257</v>
      </c>
      <c r="H12" s="76"/>
      <c r="I12" s="76"/>
    </row>
    <row r="13" spans="1:9" ht="15.75" customHeight="1">
      <c r="A13" s="3">
        <v>9</v>
      </c>
      <c r="B13" s="32" t="s">
        <v>70</v>
      </c>
      <c r="C13" s="36">
        <f>(молоко!C15*1000)/1077</f>
        <v>170.1021355617456</v>
      </c>
      <c r="D13" s="36">
        <f>(молоко!D15*1000)/1077</f>
        <v>169.7585886722377</v>
      </c>
      <c r="E13" s="36">
        <f>(мясо!C14*1000)/1077</f>
        <v>9.656453110492107</v>
      </c>
      <c r="F13" s="36">
        <f>(мясо!D14*1000)/1077</f>
        <v>7.632311977715878</v>
      </c>
      <c r="H13" s="76"/>
      <c r="I13" s="76"/>
    </row>
    <row r="14" spans="1:9" ht="15">
      <c r="A14" s="3">
        <v>10</v>
      </c>
      <c r="B14" s="38" t="s">
        <v>61</v>
      </c>
      <c r="C14" s="36">
        <f>(молоко!C16*1000)/1084</f>
        <v>99.2619926199262</v>
      </c>
      <c r="D14" s="36">
        <f>(молоко!D16*1000)/1084</f>
        <v>100.92250922509226</v>
      </c>
      <c r="E14" s="36">
        <f>(мясо!C15*1000)/1084</f>
        <v>6.549815498154982</v>
      </c>
      <c r="F14" s="36">
        <f>(мясо!D15*1000)/1084</f>
        <v>11.531365313653136</v>
      </c>
      <c r="H14" s="76"/>
      <c r="I14" s="76"/>
    </row>
    <row r="15" spans="1:9" ht="15">
      <c r="A15" s="3">
        <v>11</v>
      </c>
      <c r="B15" s="38" t="s">
        <v>62</v>
      </c>
      <c r="C15" s="36">
        <f>(молоко!C17*1000)/674</f>
        <v>93.026706231454</v>
      </c>
      <c r="D15" s="36">
        <f>(молоко!D17*1000)/674</f>
        <v>82.19584569732937</v>
      </c>
      <c r="E15" s="36">
        <f>(мясо!C16*1000)/674</f>
        <v>7.270029673590504</v>
      </c>
      <c r="F15" s="36">
        <f>(мясо!D16*1000)/674</f>
        <v>6.083086053412463</v>
      </c>
      <c r="H15" s="76"/>
      <c r="I15" s="76"/>
    </row>
    <row r="16" spans="1:9" ht="15">
      <c r="A16" s="3">
        <v>12</v>
      </c>
      <c r="B16" s="38" t="s">
        <v>63</v>
      </c>
      <c r="C16" s="36"/>
      <c r="D16" s="36"/>
      <c r="E16" s="36">
        <f>(мясо!C17*1000)/983</f>
        <v>357.0701932858596</v>
      </c>
      <c r="F16" s="36">
        <f>(мясо!D17*1000)/983</f>
        <v>446.5920651068159</v>
      </c>
      <c r="H16" s="76"/>
      <c r="I16" s="76"/>
    </row>
    <row r="17" spans="1:6" ht="63.75" customHeight="1">
      <c r="A17" s="195" t="s">
        <v>94</v>
      </c>
      <c r="B17" s="196"/>
      <c r="C17" s="36">
        <f>(молоко!C18*1000)/22877</f>
        <v>63.963806443152514</v>
      </c>
      <c r="D17" s="36">
        <f>(молоко!D18*1000)/22877</f>
        <v>63.36346548935613</v>
      </c>
      <c r="E17" s="36">
        <f>(мясо!C23*1000)/22877</f>
        <v>22.20133758797045</v>
      </c>
      <c r="F17" s="36">
        <f>(мясо!D23*1000)/22877</f>
        <v>24.937622940070813</v>
      </c>
    </row>
  </sheetData>
  <sheetProtection/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0" zoomScaleNormal="75" zoomScaleSheetLayoutView="70" zoomScalePageLayoutView="0" workbookViewId="0" topLeftCell="A1">
      <selection activeCell="L20" sqref="L20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43" t="s">
        <v>109</v>
      </c>
      <c r="D1" s="43"/>
      <c r="E1" s="43"/>
      <c r="F1" s="14"/>
      <c r="G1" s="14"/>
      <c r="H1" s="14"/>
      <c r="I1" s="14"/>
      <c r="J1" s="14"/>
      <c r="K1" s="14"/>
    </row>
    <row r="2" spans="1:11" ht="18" customHeight="1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9.5" customHeight="1">
      <c r="A3" s="153" t="s">
        <v>2</v>
      </c>
      <c r="B3" s="202" t="s">
        <v>3</v>
      </c>
      <c r="C3" s="203" t="s">
        <v>90</v>
      </c>
      <c r="D3" s="204"/>
      <c r="E3" s="205"/>
      <c r="F3" s="54" t="s">
        <v>11</v>
      </c>
      <c r="G3" s="55" t="s">
        <v>14</v>
      </c>
      <c r="H3" s="56" t="s">
        <v>16</v>
      </c>
      <c r="I3" s="57"/>
      <c r="J3" s="53"/>
      <c r="K3" s="53" t="s">
        <v>17</v>
      </c>
    </row>
    <row r="4" spans="1:11" ht="18">
      <c r="A4" s="177"/>
      <c r="B4" s="177"/>
      <c r="C4" s="58">
        <v>2011</v>
      </c>
      <c r="D4" s="54">
        <v>2012</v>
      </c>
      <c r="E4" s="54" t="s">
        <v>95</v>
      </c>
      <c r="F4" s="59" t="s">
        <v>12</v>
      </c>
      <c r="G4" s="60" t="s">
        <v>15</v>
      </c>
      <c r="H4" s="58">
        <v>2011</v>
      </c>
      <c r="I4" s="54">
        <v>2012</v>
      </c>
      <c r="J4" s="54" t="s">
        <v>95</v>
      </c>
      <c r="K4" s="61" t="s">
        <v>18</v>
      </c>
    </row>
    <row r="5" spans="1:11" ht="18">
      <c r="A5" s="154"/>
      <c r="B5" s="154"/>
      <c r="C5" s="62"/>
      <c r="D5" s="63"/>
      <c r="E5" s="63" t="s">
        <v>96</v>
      </c>
      <c r="F5" s="63" t="s">
        <v>13</v>
      </c>
      <c r="G5" s="64"/>
      <c r="H5" s="62"/>
      <c r="I5" s="63"/>
      <c r="J5" s="63" t="s">
        <v>96</v>
      </c>
      <c r="K5" s="65" t="s">
        <v>0</v>
      </c>
    </row>
    <row r="6" spans="1:11" ht="18" customHeight="1">
      <c r="A6" s="206" t="s">
        <v>91</v>
      </c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6.5" customHeight="1">
      <c r="A7" s="31">
        <v>1</v>
      </c>
      <c r="B7" s="66" t="s">
        <v>55</v>
      </c>
      <c r="C7" s="12">
        <v>170.4</v>
      </c>
      <c r="D7" s="12">
        <v>138.8</v>
      </c>
      <c r="E7" s="13">
        <f aca="true" t="shared" si="0" ref="E7:E17">D7/C7*100</f>
        <v>81.45539906103286</v>
      </c>
      <c r="F7" s="12">
        <v>116.1</v>
      </c>
      <c r="G7" s="13">
        <f aca="true" t="shared" si="1" ref="G7:G17">F7/D7*100</f>
        <v>83.64553314121036</v>
      </c>
      <c r="H7" s="17">
        <f>C7/'численность 1'!J6*1000</f>
        <v>946.6666666666666</v>
      </c>
      <c r="I7" s="17">
        <f>D7/'численность 1'!K6*1000</f>
        <v>771.1111111111112</v>
      </c>
      <c r="J7" s="13">
        <f aca="true" t="shared" si="2" ref="J7:J20">I7/H7*100</f>
        <v>81.45539906103288</v>
      </c>
      <c r="K7" s="12"/>
    </row>
    <row r="8" spans="1:11" ht="16.5" customHeight="1">
      <c r="A8" s="31">
        <v>2</v>
      </c>
      <c r="B8" s="66" t="s">
        <v>56</v>
      </c>
      <c r="C8" s="12">
        <v>104</v>
      </c>
      <c r="D8" s="12">
        <v>97.12</v>
      </c>
      <c r="E8" s="13">
        <f t="shared" si="0"/>
        <v>93.38461538461539</v>
      </c>
      <c r="F8" s="12">
        <v>79.41</v>
      </c>
      <c r="G8" s="13">
        <f t="shared" si="1"/>
        <v>81.7648270181219</v>
      </c>
      <c r="H8" s="17">
        <f>C8/'численность 1'!J7*1000</f>
        <v>990.4761904761905</v>
      </c>
      <c r="I8" s="13">
        <f>D8/'численность 1'!K7*1000</f>
        <v>924.952380952381</v>
      </c>
      <c r="J8" s="13">
        <f t="shared" si="2"/>
        <v>93.38461538461539</v>
      </c>
      <c r="K8" s="12"/>
    </row>
    <row r="9" spans="1:11" ht="16.5" customHeight="1">
      <c r="A9" s="31">
        <v>3</v>
      </c>
      <c r="B9" s="66" t="s">
        <v>57</v>
      </c>
      <c r="C9" s="12">
        <v>87</v>
      </c>
      <c r="D9" s="12">
        <v>80</v>
      </c>
      <c r="E9" s="13">
        <f t="shared" si="0"/>
        <v>91.95402298850574</v>
      </c>
      <c r="F9" s="12">
        <v>56</v>
      </c>
      <c r="G9" s="13">
        <f t="shared" si="1"/>
        <v>70</v>
      </c>
      <c r="H9" s="17">
        <f>C9/'численность 1'!J8*1000</f>
        <v>1450</v>
      </c>
      <c r="I9" s="13">
        <f>D9/'численность 1'!K8*1000</f>
        <v>1333.3333333333333</v>
      </c>
      <c r="J9" s="13">
        <f t="shared" si="2"/>
        <v>91.95402298850574</v>
      </c>
      <c r="K9" s="12"/>
    </row>
    <row r="10" spans="1:11" ht="16.5" customHeight="1">
      <c r="A10" s="31">
        <v>4</v>
      </c>
      <c r="B10" s="66" t="s">
        <v>58</v>
      </c>
      <c r="C10" s="12">
        <v>322.7</v>
      </c>
      <c r="D10" s="12">
        <v>392</v>
      </c>
      <c r="E10" s="13">
        <f t="shared" si="0"/>
        <v>121.47505422993493</v>
      </c>
      <c r="F10" s="12">
        <v>361.8</v>
      </c>
      <c r="G10" s="13">
        <f t="shared" si="1"/>
        <v>92.29591836734694</v>
      </c>
      <c r="H10" s="17">
        <f>C10/'численность 1'!J9*1000</f>
        <v>1047.7272727272725</v>
      </c>
      <c r="I10" s="13">
        <f>D10/'численность 1'!K9*1000</f>
        <v>1272.7272727272727</v>
      </c>
      <c r="J10" s="13">
        <f t="shared" si="2"/>
        <v>121.47505422993494</v>
      </c>
      <c r="K10" s="12"/>
    </row>
    <row r="11" spans="1:11" ht="16.5" customHeight="1">
      <c r="A11" s="31">
        <v>5</v>
      </c>
      <c r="B11" s="67" t="s">
        <v>59</v>
      </c>
      <c r="C11" s="12">
        <v>173</v>
      </c>
      <c r="D11" s="12">
        <v>119</v>
      </c>
      <c r="E11" s="13">
        <f t="shared" si="0"/>
        <v>68.78612716763006</v>
      </c>
      <c r="F11" s="12">
        <v>84</v>
      </c>
      <c r="G11" s="13">
        <f t="shared" si="1"/>
        <v>70.58823529411765</v>
      </c>
      <c r="H11" s="17">
        <f>C11/'численность 1'!J10*1000</f>
        <v>617.8571428571429</v>
      </c>
      <c r="I11" s="131">
        <f>D11/'численность 1'!K10*1000</f>
        <v>491.73553719008265</v>
      </c>
      <c r="J11" s="13">
        <f t="shared" si="2"/>
        <v>79.58725457411742</v>
      </c>
      <c r="K11" s="12"/>
    </row>
    <row r="12" spans="1:11" ht="16.5" customHeight="1">
      <c r="A12" s="31">
        <v>6</v>
      </c>
      <c r="B12" s="67" t="s">
        <v>71</v>
      </c>
      <c r="C12" s="16">
        <v>152</v>
      </c>
      <c r="D12" s="16">
        <v>143.1</v>
      </c>
      <c r="E12" s="13">
        <f t="shared" si="0"/>
        <v>94.14473684210526</v>
      </c>
      <c r="F12" s="16">
        <v>122.6</v>
      </c>
      <c r="G12" s="17">
        <f t="shared" si="1"/>
        <v>85.67435359888191</v>
      </c>
      <c r="H12" s="17">
        <f>C12/'численность 1'!J11*1000</f>
        <v>1788.235294117647</v>
      </c>
      <c r="I12" s="13">
        <f>D12/'численность 1'!K11*1000</f>
        <v>1683.5294117647056</v>
      </c>
      <c r="J12" s="13">
        <f t="shared" si="2"/>
        <v>94.14473684210525</v>
      </c>
      <c r="K12" s="132">
        <v>156.5</v>
      </c>
    </row>
    <row r="13" spans="1:11" ht="16.5" customHeight="1">
      <c r="A13" s="31">
        <v>7</v>
      </c>
      <c r="B13" s="67" t="s">
        <v>60</v>
      </c>
      <c r="C13" s="16">
        <v>100.7</v>
      </c>
      <c r="D13" s="16"/>
      <c r="E13" s="13"/>
      <c r="F13" s="16"/>
      <c r="G13" s="17"/>
      <c r="H13" s="17">
        <f>C13/'численность 1'!J12*1000</f>
        <v>1678.3333333333335</v>
      </c>
      <c r="I13" s="13"/>
      <c r="J13" s="13"/>
      <c r="K13" s="16"/>
    </row>
    <row r="14" spans="1:11" ht="16.5" customHeight="1">
      <c r="A14" s="31">
        <v>8</v>
      </c>
      <c r="B14" s="67" t="s">
        <v>85</v>
      </c>
      <c r="C14" s="16"/>
      <c r="D14" s="16">
        <v>131.916</v>
      </c>
      <c r="E14" s="13"/>
      <c r="F14" s="16">
        <v>89.433</v>
      </c>
      <c r="G14" s="17">
        <f t="shared" si="1"/>
        <v>67.79541526425909</v>
      </c>
      <c r="H14" s="17"/>
      <c r="I14" s="17">
        <f>D14/'численность 1'!K13*1000</f>
        <v>2029.4769230769232</v>
      </c>
      <c r="J14" s="13"/>
      <c r="K14" s="16">
        <v>16.1</v>
      </c>
    </row>
    <row r="15" spans="1:11" ht="16.5" customHeight="1">
      <c r="A15" s="31">
        <v>9</v>
      </c>
      <c r="B15" s="67" t="s">
        <v>70</v>
      </c>
      <c r="C15" s="16">
        <v>183.2</v>
      </c>
      <c r="D15" s="16">
        <v>182.83</v>
      </c>
      <c r="E15" s="17">
        <f t="shared" si="0"/>
        <v>99.79803493449782</v>
      </c>
      <c r="F15" s="16">
        <v>155.2</v>
      </c>
      <c r="G15" s="17">
        <f t="shared" si="1"/>
        <v>84.88760050319968</v>
      </c>
      <c r="H15" s="17">
        <f>C15/'численность 1'!J14*1000</f>
        <v>2348.7179487179483</v>
      </c>
      <c r="I15" s="17">
        <f>D15/'численность 1'!K14*1000</f>
        <v>2343.9743589743593</v>
      </c>
      <c r="J15" s="13">
        <f t="shared" si="2"/>
        <v>99.79803493449785</v>
      </c>
      <c r="K15" s="16"/>
    </row>
    <row r="16" spans="1:11" ht="16.5" customHeight="1">
      <c r="A16" s="31">
        <v>10</v>
      </c>
      <c r="B16" s="67" t="s">
        <v>61</v>
      </c>
      <c r="C16" s="16">
        <v>107.6</v>
      </c>
      <c r="D16" s="16">
        <v>109.4</v>
      </c>
      <c r="E16" s="13">
        <f t="shared" si="0"/>
        <v>101.6728624535316</v>
      </c>
      <c r="F16" s="16">
        <v>82.6</v>
      </c>
      <c r="G16" s="17">
        <f t="shared" si="1"/>
        <v>75.50274223034734</v>
      </c>
      <c r="H16" s="17">
        <f>C16/'численность 1'!J15*1000</f>
        <v>1075.9999999999998</v>
      </c>
      <c r="I16" s="13">
        <f>D16/'численность 1'!K15*1000</f>
        <v>1094</v>
      </c>
      <c r="J16" s="13">
        <f t="shared" si="2"/>
        <v>101.67286245353162</v>
      </c>
      <c r="K16" s="16"/>
    </row>
    <row r="17" spans="1:11" ht="16.5" customHeight="1">
      <c r="A17" s="31">
        <v>11</v>
      </c>
      <c r="B17" s="67" t="s">
        <v>62</v>
      </c>
      <c r="C17" s="16">
        <v>62.7</v>
      </c>
      <c r="D17" s="16">
        <v>55.4</v>
      </c>
      <c r="E17" s="13">
        <f t="shared" si="0"/>
        <v>88.3572567783094</v>
      </c>
      <c r="F17" s="16">
        <v>47</v>
      </c>
      <c r="G17" s="17">
        <f t="shared" si="1"/>
        <v>84.8375451263538</v>
      </c>
      <c r="H17" s="17">
        <f>C17/'численность 1'!J16*1000</f>
        <v>1492.857142857143</v>
      </c>
      <c r="I17" s="13">
        <f>D17/'численность 1'!K16*1000</f>
        <v>1319.047619047619</v>
      </c>
      <c r="J17" s="13">
        <f t="shared" si="2"/>
        <v>88.3572567783094</v>
      </c>
      <c r="K17" s="16"/>
    </row>
    <row r="18" spans="1:11" ht="57" customHeight="1">
      <c r="A18" s="160" t="s">
        <v>101</v>
      </c>
      <c r="B18" s="161"/>
      <c r="C18" s="16">
        <f>SUM(C7:C17)</f>
        <v>1463.3</v>
      </c>
      <c r="D18" s="68">
        <f>SUM(D7:D17)</f>
        <v>1449.5660000000003</v>
      </c>
      <c r="E18" s="13">
        <f>D18/C18*100</f>
        <v>99.06143647919089</v>
      </c>
      <c r="F18" s="68">
        <f>SUM(F7:F17)</f>
        <v>1194.1429999999998</v>
      </c>
      <c r="G18" s="13">
        <f>F18/D18*100</f>
        <v>82.37934664582362</v>
      </c>
      <c r="H18" s="13">
        <f>C18/'численность 1'!J19*1000</f>
        <v>1127.3497688751925</v>
      </c>
      <c r="I18" s="13">
        <f>D18/'численность 1'!K19*1000</f>
        <v>1145.9019762845853</v>
      </c>
      <c r="J18" s="13">
        <f t="shared" si="2"/>
        <v>101.64564786560459</v>
      </c>
      <c r="K18" s="68">
        <f>SUM(K7:K17)</f>
        <v>172.6</v>
      </c>
    </row>
    <row r="19" spans="1:11" ht="18">
      <c r="A19" s="206" t="s">
        <v>92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8"/>
    </row>
    <row r="20" spans="1:11" ht="17.25" customHeight="1">
      <c r="A20" s="121">
        <v>1</v>
      </c>
      <c r="B20" s="67" t="s">
        <v>70</v>
      </c>
      <c r="C20" s="121">
        <v>10.52</v>
      </c>
      <c r="D20" s="121">
        <v>24.25</v>
      </c>
      <c r="E20" s="13">
        <f>D20/C20*100</f>
        <v>230.51330798479088</v>
      </c>
      <c r="F20" s="121">
        <v>6.5</v>
      </c>
      <c r="G20" s="13">
        <f>F20/D20*100</f>
        <v>26.804123711340207</v>
      </c>
      <c r="H20" s="121">
        <f>C20*1000/50</f>
        <v>210.4</v>
      </c>
      <c r="I20" s="129">
        <f>D20*1000/82</f>
        <v>295.7317073170732</v>
      </c>
      <c r="J20" s="13">
        <f t="shared" si="2"/>
        <v>140.55689511267738</v>
      </c>
      <c r="K20" s="121"/>
    </row>
    <row r="21" spans="1:11" ht="37.5" customHeight="1">
      <c r="A21" s="200" t="s">
        <v>89</v>
      </c>
      <c r="B21" s="201"/>
      <c r="C21" s="121">
        <f>C18+C20</f>
        <v>1473.82</v>
      </c>
      <c r="D21" s="121">
        <f>D18+D20</f>
        <v>1473.8160000000003</v>
      </c>
      <c r="E21" s="13">
        <f>D21/C21*100</f>
        <v>99.99972859643648</v>
      </c>
      <c r="F21" s="121">
        <f>F18+F20</f>
        <v>1200.6429999999998</v>
      </c>
      <c r="G21" s="13">
        <f>F21/D21*100</f>
        <v>81.4649182801652</v>
      </c>
      <c r="H21" s="122" t="s">
        <v>93</v>
      </c>
      <c r="I21" s="122" t="s">
        <v>93</v>
      </c>
      <c r="J21" s="122" t="s">
        <v>93</v>
      </c>
      <c r="K21" s="121">
        <f>K18+K20</f>
        <v>172.6</v>
      </c>
    </row>
  </sheetData>
  <sheetProtection/>
  <mergeCells count="7">
    <mergeCell ref="A21:B21"/>
    <mergeCell ref="A3:A5"/>
    <mergeCell ref="B3:B5"/>
    <mergeCell ref="A18:B18"/>
    <mergeCell ref="C3:E3"/>
    <mergeCell ref="A6:K6"/>
    <mergeCell ref="A19:K19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2012-06-05T04:25:57Z</cp:lastPrinted>
  <dcterms:created xsi:type="dcterms:W3CDTF">2002-11-05T10:10:22Z</dcterms:created>
  <dcterms:modified xsi:type="dcterms:W3CDTF">2012-06-06T04:35:35Z</dcterms:modified>
  <cp:category/>
  <cp:version/>
  <cp:contentType/>
  <cp:contentStatus/>
</cp:coreProperties>
</file>