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'молоко'!$A$1:$K$16</definedName>
    <definedName name="_xlnm.Print_Area" localSheetId="9">'мясо'!$A$1:$K$19</definedName>
    <definedName name="_xlnm.Print_Area" localSheetId="7">'на 100 га'!$A$1:$F$16</definedName>
    <definedName name="_xlnm.Print_Area" localSheetId="0">'пало1'!$A$1:$V$18</definedName>
    <definedName name="_xlnm.Print_Area" localSheetId="1">'привес'!$A$1:$T$20</definedName>
    <definedName name="_xlnm.Print_Area" localSheetId="4">'приплод 2'!$A$1:$P$11</definedName>
    <definedName name="_xlnm.Print_Area" localSheetId="3">'численность 1'!$A$1:$U$19</definedName>
    <definedName name="_xlnm.Print_Area" localSheetId="2">'численность 2'!$A$1:$N$19</definedName>
  </definedNames>
  <calcPr fullCalcOnLoad="1"/>
</workbook>
</file>

<file path=xl/sharedStrings.xml><?xml version="1.0" encoding="utf-8"?>
<sst xmlns="http://schemas.openxmlformats.org/spreadsheetml/2006/main" count="274" uniqueCount="112">
  <si>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</si>
  <si>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</si>
  <si>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</si>
  <si>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</si>
  <si>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</si>
  <si>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</si>
  <si>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</si>
  <si>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</si>
  <si>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</si>
  <si>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</si>
  <si>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</si>
  <si>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По району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</si>
  <si>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</si>
  <si>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</si>
  <si>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</si>
  <si>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</si>
  <si>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</si>
  <si>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</si>
  <si>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</si>
  <si>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</si>
  <si>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</si>
  <si>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</si>
  <si>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</si>
  <si>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</si>
  <si>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</si>
  <si>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</si>
  <si>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</si>
  <si>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</si>
  <si>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</si>
  <si>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</si>
  <si>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</si>
  <si>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</si>
  <si>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</si>
  <si>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</si>
  <si>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</si>
  <si>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</si>
  <si>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</si>
  <si>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</si>
  <si>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</si>
  <si>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</si>
  <si>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</si>
  <si>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</si>
  <si>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</si>
  <si>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</si>
  <si>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</si>
  <si>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</si>
  <si>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</si>
  <si>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</si>
  <si>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</si>
  <si>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</si>
  <si>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</si>
  <si>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</si>
  <si>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</si>
  <si>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</si>
  <si>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</si>
  <si>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</si>
  <si>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</si>
  <si>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</si>
  <si>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по Ибресинскому району</t>
  </si>
  <si>
    <t xml:space="preserve">                      по Ибресинкому  району</t>
  </si>
  <si>
    <t xml:space="preserve">           по Ибресинскому району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</si>
  <si>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</si>
  <si>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</si>
  <si>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</si>
  <si>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</si>
  <si>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</si>
  <si>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</si>
  <si>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</si>
  <si>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</si>
  <si>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</si>
  <si>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</si>
  <si>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</si>
  <si>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</si>
  <si>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</si>
  <si>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Наличие кормов, ц.к.ед.</t>
  </si>
  <si>
    <t>в т.ч. конц.</t>
  </si>
  <si>
    <t>из них покуп.</t>
  </si>
  <si>
    <t>п/п</t>
  </si>
  <si>
    <t>ООО "Агропромкомплект"</t>
  </si>
  <si>
    <t>Итого по району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</si>
  <si>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</si>
  <si>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</si>
  <si>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</si>
  <si>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</si>
  <si>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</si>
  <si>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</si>
  <si>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</si>
  <si>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</si>
  <si>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по Ибресинскому  району</t>
  </si>
  <si>
    <t>лошади</t>
  </si>
  <si>
    <t>овцы и козы</t>
  </si>
  <si>
    <t>КФХ Ярчеев П.И.</t>
  </si>
  <si>
    <t>КРС</t>
  </si>
  <si>
    <t>свиней</t>
  </si>
  <si>
    <t>2011 в %</t>
  </si>
  <si>
    <t>к 2010 г.</t>
  </si>
  <si>
    <t>2010 г.</t>
  </si>
  <si>
    <t>с 2010 г.</t>
  </si>
  <si>
    <t>разница с 2010 г.</t>
  </si>
  <si>
    <t>в % к 2010 г.</t>
  </si>
  <si>
    <t>2011 к 2010 г. %</t>
  </si>
  <si>
    <t xml:space="preserve">КРС </t>
  </si>
  <si>
    <t xml:space="preserve">   Производство мяса за январь - март 2011г.</t>
  </si>
  <si>
    <t xml:space="preserve">            Производство молока за  январь - март  2011 г. по Ибресинскому району</t>
  </si>
  <si>
    <t>по Ибресинскому району за январь - март 2011 года (ц)</t>
  </si>
  <si>
    <t>Поступление приплода (телят) за январь- март  2011 г.</t>
  </si>
  <si>
    <t>СЛУЧЕНО И ОСЕМЕНЕНО за январь - март  2011 г.по Ибресинскому р-ну</t>
  </si>
  <si>
    <t>Поступление приплода (поросят) за январь - март 2011 г.</t>
  </si>
  <si>
    <t xml:space="preserve">      ЧИСЛЕННОСТЬ СКОТА по Ибресинскому району на 1.04.2011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</si>
  <si>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1.04.2011 г., (голов)</t>
    </r>
  </si>
  <si>
    <t>Показатели получения привесов за январь - март 2011 года</t>
  </si>
  <si>
    <t>ПАЛО И ПОГИБЛО - КУПЛЕНО- ПРОДАНО крс, свиней за январь - март 2011г.по Ибресинскому.р-ну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</si>
</sst>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15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16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Fill="1" applyBorder="1" applyAlignment="1">
      <alignment/>
    </xf>
    <xf numFmtId="0" fontId="0" fillId="0" borderId="3" xfId="0" applyBorder="1" applyAlignment="1">
      <alignment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72" fontId="4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3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view="pageBreakPreview" zoomScale="75"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5" sqref="E5"/>
    </sheetView>
  </sheetViews>
  <sheetFormatPr defaultColWidth="9.00390625" defaultRowHeight="12.75"/>
  <cols>
    <col min="1" max="1" width="4.00390625" style="56" customWidth="1"/>
    <col min="2" max="2" width="28.625" style="56" customWidth="1"/>
    <col min="3" max="3" width="7.00390625" style="56" customWidth="1"/>
    <col min="4" max="4" width="6.875" style="56" customWidth="1"/>
    <col min="5" max="5" width="8.875" style="56" customWidth="1"/>
    <col min="6" max="6" width="6.875" style="56" customWidth="1"/>
    <col min="7" max="7" width="6.375" style="56" customWidth="1"/>
    <col min="8" max="8" width="8.875" style="56" customWidth="1"/>
    <col min="9" max="9" width="7.125" style="56" customWidth="1"/>
    <col min="10" max="10" width="7.00390625" style="56" customWidth="1"/>
    <col min="11" max="12" width="6.875" style="56" customWidth="1"/>
    <col min="13" max="13" width="7.375" style="56" customWidth="1"/>
    <col min="14" max="14" width="7.00390625" style="56" customWidth="1"/>
    <col min="15" max="16" width="7.125" style="56" customWidth="1"/>
    <col min="17" max="18" width="6.625" style="56" customWidth="1"/>
    <col min="19" max="19" width="6.75390625" style="56" customWidth="1"/>
    <col min="20" max="20" width="7.125" style="56" customWidth="1"/>
    <col min="21" max="21" width="6.00390625" style="56" customWidth="1"/>
    <col min="22" max="22" width="6.375" style="56" customWidth="1"/>
    <col min="23" max="16384" width="9.125" style="56" customWidth="1"/>
  </cols>
  <sheetData>
    <row r="1" spans="3:18" ht="15">
      <c r="C1" s="141" t="s">
        <v>111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3:10" ht="15">
      <c r="C2" s="57"/>
      <c r="D2" s="57"/>
      <c r="E2" s="57"/>
      <c r="F2" s="57"/>
      <c r="G2" s="57"/>
      <c r="H2" s="57"/>
      <c r="I2" s="57"/>
      <c r="J2" s="57"/>
    </row>
    <row r="3" spans="1:22" s="21" customFormat="1" ht="18.75" customHeight="1">
      <c r="A3" s="35" t="s">
        <v>2</v>
      </c>
      <c r="B3" s="24" t="s">
        <v>3</v>
      </c>
      <c r="C3" s="147" t="s">
        <v>41</v>
      </c>
      <c r="D3" s="148"/>
      <c r="E3" s="149"/>
      <c r="F3" s="147" t="s">
        <v>55</v>
      </c>
      <c r="G3" s="148"/>
      <c r="H3" s="149"/>
      <c r="I3" s="147" t="s">
        <v>43</v>
      </c>
      <c r="J3" s="148"/>
      <c r="K3" s="148"/>
      <c r="L3" s="148"/>
      <c r="M3" s="148"/>
      <c r="N3" s="148"/>
      <c r="O3" s="148"/>
      <c r="P3" s="149"/>
      <c r="Q3" s="146" t="s">
        <v>44</v>
      </c>
      <c r="R3" s="146"/>
      <c r="S3" s="146"/>
      <c r="T3" s="146"/>
      <c r="U3" s="146"/>
      <c r="V3" s="146"/>
    </row>
    <row r="4" spans="1:22" s="21" customFormat="1" ht="18.75" customHeight="1">
      <c r="A4" s="40"/>
      <c r="B4" s="34"/>
      <c r="C4" s="142">
        <v>2010</v>
      </c>
      <c r="D4" s="142">
        <v>2011</v>
      </c>
      <c r="E4" s="97" t="s">
        <v>42</v>
      </c>
      <c r="F4" s="142">
        <v>2010</v>
      </c>
      <c r="G4" s="142">
        <v>2011</v>
      </c>
      <c r="H4" s="97" t="s">
        <v>42</v>
      </c>
      <c r="I4" s="144" t="s">
        <v>101</v>
      </c>
      <c r="J4" s="145"/>
      <c r="K4" s="144" t="s">
        <v>93</v>
      </c>
      <c r="L4" s="145"/>
      <c r="M4" s="144" t="s">
        <v>89</v>
      </c>
      <c r="N4" s="145"/>
      <c r="O4" s="144" t="s">
        <v>90</v>
      </c>
      <c r="P4" s="145"/>
      <c r="Q4" s="144" t="s">
        <v>92</v>
      </c>
      <c r="R4" s="145"/>
      <c r="S4" s="144" t="s">
        <v>93</v>
      </c>
      <c r="T4" s="145"/>
      <c r="U4" s="144" t="s">
        <v>90</v>
      </c>
      <c r="V4" s="145"/>
    </row>
    <row r="5" spans="1:22" s="21" customFormat="1" ht="18.75" customHeight="1">
      <c r="A5" s="31"/>
      <c r="B5" s="30"/>
      <c r="C5" s="143"/>
      <c r="D5" s="143"/>
      <c r="E5" s="98" t="s">
        <v>97</v>
      </c>
      <c r="F5" s="143"/>
      <c r="G5" s="143"/>
      <c r="H5" s="98" t="s">
        <v>97</v>
      </c>
      <c r="I5" s="99">
        <v>2010</v>
      </c>
      <c r="J5" s="100">
        <v>2011</v>
      </c>
      <c r="K5" s="99">
        <v>2010</v>
      </c>
      <c r="L5" s="100">
        <v>2011</v>
      </c>
      <c r="M5" s="99">
        <v>2010</v>
      </c>
      <c r="N5" s="100">
        <v>2011</v>
      </c>
      <c r="O5" s="99">
        <v>2010</v>
      </c>
      <c r="P5" s="100">
        <v>2011</v>
      </c>
      <c r="Q5" s="99">
        <v>2010</v>
      </c>
      <c r="R5" s="100">
        <v>2011</v>
      </c>
      <c r="S5" s="99">
        <v>2010</v>
      </c>
      <c r="T5" s="100">
        <v>2011</v>
      </c>
      <c r="U5" s="99">
        <v>2010</v>
      </c>
      <c r="V5" s="100">
        <v>2011</v>
      </c>
    </row>
    <row r="6" spans="1:22" s="21" customFormat="1" ht="15" customHeight="1">
      <c r="A6" s="32">
        <v>1</v>
      </c>
      <c r="B6" s="32" t="s">
        <v>61</v>
      </c>
      <c r="C6" s="102"/>
      <c r="D6" s="4"/>
      <c r="E6" s="12">
        <f aca="true" t="shared" si="0" ref="E6:E15">D6-C6</f>
        <v>0</v>
      </c>
      <c r="F6" s="102"/>
      <c r="G6" s="4"/>
      <c r="H6" s="4"/>
      <c r="I6" s="4"/>
      <c r="J6" s="4"/>
      <c r="K6" s="4"/>
      <c r="L6" s="4"/>
      <c r="M6" s="4"/>
      <c r="N6" s="4"/>
      <c r="O6" s="4"/>
      <c r="P6" s="4"/>
      <c r="Q6" s="102"/>
      <c r="R6" s="4"/>
      <c r="S6" s="102"/>
      <c r="T6" s="4"/>
      <c r="U6" s="4"/>
      <c r="V6" s="4"/>
    </row>
    <row r="7" spans="1:22" s="21" customFormat="1" ht="13.5" customHeight="1">
      <c r="A7" s="32">
        <v>2</v>
      </c>
      <c r="B7" s="32" t="s">
        <v>62</v>
      </c>
      <c r="C7" s="102">
        <v>2</v>
      </c>
      <c r="D7" s="4">
        <v>2</v>
      </c>
      <c r="E7" s="12">
        <f t="shared" si="0"/>
        <v>0</v>
      </c>
      <c r="F7" s="102"/>
      <c r="G7" s="4"/>
      <c r="H7" s="4"/>
      <c r="I7" s="4"/>
      <c r="J7" s="4"/>
      <c r="K7" s="4"/>
      <c r="L7" s="4"/>
      <c r="M7" s="4"/>
      <c r="N7" s="4"/>
      <c r="O7" s="4"/>
      <c r="P7" s="4"/>
      <c r="Q7" s="102">
        <v>25</v>
      </c>
      <c r="R7" s="4">
        <v>16</v>
      </c>
      <c r="S7" s="102"/>
      <c r="T7" s="4"/>
      <c r="U7" s="4"/>
      <c r="V7" s="4"/>
    </row>
    <row r="8" spans="1:22" s="21" customFormat="1" ht="13.5" customHeight="1">
      <c r="A8" s="32">
        <v>3</v>
      </c>
      <c r="B8" s="32" t="s">
        <v>63</v>
      </c>
      <c r="C8" s="102">
        <v>1</v>
      </c>
      <c r="D8" s="4"/>
      <c r="E8" s="12">
        <f t="shared" si="0"/>
        <v>-1</v>
      </c>
      <c r="F8" s="102"/>
      <c r="G8" s="4"/>
      <c r="H8" s="4"/>
      <c r="I8" s="4"/>
      <c r="J8" s="4"/>
      <c r="K8" s="4"/>
      <c r="L8" s="4"/>
      <c r="M8" s="4"/>
      <c r="N8" s="4"/>
      <c r="O8" s="4"/>
      <c r="P8" s="4"/>
      <c r="Q8" s="102">
        <v>3</v>
      </c>
      <c r="R8" s="4">
        <v>7</v>
      </c>
      <c r="S8" s="102"/>
      <c r="T8" s="4"/>
      <c r="U8" s="4"/>
      <c r="V8" s="4"/>
    </row>
    <row r="9" spans="1:22" s="21" customFormat="1" ht="12.75" customHeight="1">
      <c r="A9" s="32">
        <v>4</v>
      </c>
      <c r="B9" s="23" t="s">
        <v>64</v>
      </c>
      <c r="C9" s="102">
        <v>2</v>
      </c>
      <c r="D9" s="4">
        <v>2</v>
      </c>
      <c r="E9" s="12">
        <f t="shared" si="0"/>
        <v>0</v>
      </c>
      <c r="F9" s="102"/>
      <c r="G9" s="4"/>
      <c r="H9" s="4"/>
      <c r="I9" s="4"/>
      <c r="J9" s="4"/>
      <c r="K9" s="4"/>
      <c r="L9" s="4">
        <v>2</v>
      </c>
      <c r="M9" s="4"/>
      <c r="N9" s="4"/>
      <c r="O9" s="4"/>
      <c r="P9" s="4"/>
      <c r="Q9" s="102">
        <v>2</v>
      </c>
      <c r="R9" s="4"/>
      <c r="S9" s="102">
        <v>90</v>
      </c>
      <c r="T9" s="4">
        <v>39</v>
      </c>
      <c r="U9" s="4"/>
      <c r="V9" s="4"/>
    </row>
    <row r="10" spans="1:22" s="21" customFormat="1" ht="13.5" customHeight="1">
      <c r="A10" s="32">
        <v>5</v>
      </c>
      <c r="B10" s="81" t="s">
        <v>65</v>
      </c>
      <c r="C10" s="102"/>
      <c r="D10" s="4"/>
      <c r="E10" s="12">
        <f t="shared" si="0"/>
        <v>0</v>
      </c>
      <c r="F10" s="102">
        <v>61</v>
      </c>
      <c r="G10" s="76">
        <v>14</v>
      </c>
      <c r="H10" s="4">
        <f>G10-F10</f>
        <v>-47</v>
      </c>
      <c r="I10" s="12"/>
      <c r="J10" s="4"/>
      <c r="K10" s="12"/>
      <c r="L10" s="12"/>
      <c r="M10" s="12"/>
      <c r="N10" s="12"/>
      <c r="O10" s="12"/>
      <c r="P10" s="12"/>
      <c r="Q10" s="103"/>
      <c r="R10" s="12"/>
      <c r="S10" s="102">
        <v>60</v>
      </c>
      <c r="T10" s="4">
        <v>27</v>
      </c>
      <c r="U10" s="12"/>
      <c r="V10" s="12"/>
    </row>
    <row r="11" spans="1:22" s="21" customFormat="1" ht="12.75" customHeight="1">
      <c r="A11" s="32">
        <v>6</v>
      </c>
      <c r="B11" s="33" t="s">
        <v>81</v>
      </c>
      <c r="C11" s="102">
        <v>2</v>
      </c>
      <c r="D11" s="4"/>
      <c r="E11" s="12">
        <f t="shared" si="0"/>
        <v>-2</v>
      </c>
      <c r="F11" s="102"/>
      <c r="G11" s="4"/>
      <c r="H11" s="4"/>
      <c r="I11" s="76"/>
      <c r="J11" s="76"/>
      <c r="K11" s="76"/>
      <c r="L11" s="76"/>
      <c r="M11" s="76"/>
      <c r="N11" s="76"/>
      <c r="O11" s="76"/>
      <c r="P11" s="76"/>
      <c r="Q11" s="104"/>
      <c r="R11" s="76"/>
      <c r="S11" s="102"/>
      <c r="T11" s="4"/>
      <c r="U11" s="76"/>
      <c r="V11" s="76"/>
    </row>
    <row r="12" spans="1:22" s="21" customFormat="1" ht="12.75" customHeight="1">
      <c r="A12" s="32">
        <v>7</v>
      </c>
      <c r="B12" s="32" t="s">
        <v>66</v>
      </c>
      <c r="C12" s="102"/>
      <c r="D12" s="4"/>
      <c r="E12" s="12">
        <f t="shared" si="0"/>
        <v>0</v>
      </c>
      <c r="F12" s="102"/>
      <c r="G12" s="4"/>
      <c r="H12" s="4"/>
      <c r="I12" s="4"/>
      <c r="J12" s="4"/>
      <c r="K12" s="4"/>
      <c r="L12" s="4"/>
      <c r="M12" s="4"/>
      <c r="N12" s="4"/>
      <c r="O12" s="4"/>
      <c r="P12" s="4"/>
      <c r="Q12" s="102"/>
      <c r="R12" s="4"/>
      <c r="S12" s="102"/>
      <c r="T12" s="4"/>
      <c r="U12" s="4"/>
      <c r="V12" s="4"/>
    </row>
    <row r="13" spans="1:22" s="21" customFormat="1" ht="13.5" customHeight="1">
      <c r="A13" s="32">
        <v>8</v>
      </c>
      <c r="B13" s="33" t="s">
        <v>80</v>
      </c>
      <c r="C13" s="102"/>
      <c r="D13" s="4"/>
      <c r="E13" s="12">
        <f t="shared" si="0"/>
        <v>0</v>
      </c>
      <c r="F13" s="102"/>
      <c r="G13" s="4"/>
      <c r="H13" s="4"/>
      <c r="I13" s="4"/>
      <c r="J13" s="4"/>
      <c r="K13" s="4"/>
      <c r="L13" s="4"/>
      <c r="M13" s="4"/>
      <c r="N13" s="4"/>
      <c r="O13" s="4"/>
      <c r="P13" s="4"/>
      <c r="Q13" s="102">
        <v>14</v>
      </c>
      <c r="R13" s="4"/>
      <c r="S13" s="102"/>
      <c r="T13" s="4"/>
      <c r="U13" s="4"/>
      <c r="V13" s="4">
        <v>3</v>
      </c>
    </row>
    <row r="14" spans="1:22" s="21" customFormat="1" ht="12.75" customHeight="1">
      <c r="A14" s="32">
        <v>9</v>
      </c>
      <c r="B14" s="32" t="s">
        <v>67</v>
      </c>
      <c r="C14" s="102"/>
      <c r="D14" s="4"/>
      <c r="E14" s="12">
        <f t="shared" si="0"/>
        <v>0</v>
      </c>
      <c r="F14" s="102"/>
      <c r="G14" s="4"/>
      <c r="H14" s="4"/>
      <c r="I14" s="4"/>
      <c r="J14" s="4"/>
      <c r="K14" s="4"/>
      <c r="L14" s="4"/>
      <c r="M14" s="4"/>
      <c r="N14" s="4"/>
      <c r="O14" s="4"/>
      <c r="P14" s="4"/>
      <c r="Q14" s="102"/>
      <c r="R14" s="4"/>
      <c r="S14" s="102"/>
      <c r="T14" s="4"/>
      <c r="U14" s="4"/>
      <c r="V14" s="4"/>
    </row>
    <row r="15" spans="1:22" s="21" customFormat="1" ht="12.75" customHeight="1">
      <c r="A15" s="32">
        <v>10</v>
      </c>
      <c r="B15" s="32" t="s">
        <v>68</v>
      </c>
      <c r="C15" s="102"/>
      <c r="D15" s="4"/>
      <c r="E15" s="12">
        <f t="shared" si="0"/>
        <v>0</v>
      </c>
      <c r="F15" s="102"/>
      <c r="G15" s="4"/>
      <c r="H15" s="4"/>
      <c r="I15" s="4"/>
      <c r="J15" s="4"/>
      <c r="K15" s="4"/>
      <c r="L15" s="4"/>
      <c r="M15" s="4"/>
      <c r="N15" s="4"/>
      <c r="O15" s="4"/>
      <c r="P15" s="4"/>
      <c r="Q15" s="102"/>
      <c r="R15" s="4"/>
      <c r="S15" s="102"/>
      <c r="T15" s="4"/>
      <c r="U15" s="4"/>
      <c r="V15" s="4"/>
    </row>
    <row r="16" spans="1:22" s="21" customFormat="1" ht="12.75" customHeight="1">
      <c r="A16" s="32">
        <v>11</v>
      </c>
      <c r="B16" s="32" t="s">
        <v>69</v>
      </c>
      <c r="C16" s="102"/>
      <c r="D16" s="4"/>
      <c r="E16" s="12"/>
      <c r="F16" s="102">
        <v>235</v>
      </c>
      <c r="G16" s="4">
        <v>207</v>
      </c>
      <c r="H16" s="4">
        <f>G16-F16</f>
        <v>-28</v>
      </c>
      <c r="I16" s="4"/>
      <c r="J16" s="4"/>
      <c r="K16" s="4"/>
      <c r="L16" s="4"/>
      <c r="M16" s="4"/>
      <c r="N16" s="4"/>
      <c r="O16" s="4"/>
      <c r="P16" s="4"/>
      <c r="Q16" s="102"/>
      <c r="R16" s="4"/>
      <c r="S16" s="102">
        <v>310</v>
      </c>
      <c r="T16" s="4">
        <v>32</v>
      </c>
      <c r="U16" s="4"/>
      <c r="V16" s="4"/>
    </row>
    <row r="17" spans="1:22" s="21" customFormat="1" ht="12.75" customHeight="1">
      <c r="A17" s="32">
        <v>12</v>
      </c>
      <c r="B17" s="33" t="s">
        <v>78</v>
      </c>
      <c r="C17" s="102"/>
      <c r="D17" s="4"/>
      <c r="E17" s="12"/>
      <c r="F17" s="102"/>
      <c r="G17" s="4"/>
      <c r="H17" s="4"/>
      <c r="I17" s="4"/>
      <c r="J17" s="4"/>
      <c r="K17" s="4"/>
      <c r="L17" s="4"/>
      <c r="M17" s="102">
        <v>37</v>
      </c>
      <c r="N17" s="4"/>
      <c r="O17" s="4"/>
      <c r="P17" s="4"/>
      <c r="Q17" s="102"/>
      <c r="R17" s="4"/>
      <c r="S17" s="101"/>
      <c r="T17" s="23"/>
      <c r="U17" s="4"/>
      <c r="V17" s="4"/>
    </row>
    <row r="18" spans="1:22" s="21" customFormat="1" ht="13.5" customHeight="1">
      <c r="A18" s="32"/>
      <c r="B18" s="32" t="s">
        <v>11</v>
      </c>
      <c r="C18" s="4">
        <f>SUM(C6:C15)</f>
        <v>7</v>
      </c>
      <c r="D18" s="4">
        <f>SUM(D6:D16)</f>
        <v>4</v>
      </c>
      <c r="E18" s="12">
        <f>D18-C18</f>
        <v>-3</v>
      </c>
      <c r="F18" s="4">
        <f>SUM(F10:F17)</f>
        <v>296</v>
      </c>
      <c r="G18" s="4">
        <f>SUM(G10:G17)</f>
        <v>221</v>
      </c>
      <c r="H18" s="4">
        <f>G18-F18</f>
        <v>-75</v>
      </c>
      <c r="I18" s="4">
        <f>SUM(I6:I16)</f>
        <v>0</v>
      </c>
      <c r="J18" s="4">
        <f>SUM(J6:J16)</f>
        <v>0</v>
      </c>
      <c r="K18" s="4">
        <f>SUM(K6:K16)</f>
        <v>0</v>
      </c>
      <c r="L18" s="4">
        <f>SUM(L6:L16)</f>
        <v>2</v>
      </c>
      <c r="M18" s="4">
        <v>0</v>
      </c>
      <c r="N18" s="4">
        <f>SUM(N17)</f>
        <v>0</v>
      </c>
      <c r="O18" s="4">
        <f>SUM(O6:O16)</f>
        <v>0</v>
      </c>
      <c r="P18" s="4">
        <f>SUM(P6:P16)</f>
        <v>0</v>
      </c>
      <c r="Q18" s="4">
        <f>SUM(Q6:Q16)</f>
        <v>44</v>
      </c>
      <c r="R18" s="4">
        <f>SUM(R6:R16)</f>
        <v>23</v>
      </c>
      <c r="S18" s="4">
        <f>SUM(S9:S16)</f>
        <v>460</v>
      </c>
      <c r="T18" s="4">
        <f>SUM(T6:T16)</f>
        <v>98</v>
      </c>
      <c r="U18" s="4">
        <f>SUM(U6:U16)</f>
        <v>0</v>
      </c>
      <c r="V18" s="4">
        <f>SUM(V6:V16)</f>
        <v>3</v>
      </c>
    </row>
    <row r="19" ht="14.25">
      <c r="B19" s="59"/>
    </row>
  </sheetData>
  <mergeCells count="16">
    <mergeCell ref="U4:V4"/>
    <mergeCell ref="Q3:V3"/>
    <mergeCell ref="F3:H3"/>
    <mergeCell ref="C3:E3"/>
    <mergeCell ref="I3:P3"/>
    <mergeCell ref="I4:J4"/>
    <mergeCell ref="K4:L4"/>
    <mergeCell ref="C1:R1"/>
    <mergeCell ref="C4:C5"/>
    <mergeCell ref="D4:D5"/>
    <mergeCell ref="F4:F5"/>
    <mergeCell ref="G4:G5"/>
    <mergeCell ref="M4:N4"/>
    <mergeCell ref="O4:P4"/>
    <mergeCell ref="Q4:R4"/>
    <mergeCell ref="S4:T4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75" zoomScaleNormal="65" zoomScaleSheetLayoutView="75" workbookViewId="0" topLeftCell="A1">
      <selection activeCell="C9" sqref="C9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1"/>
      <c r="B1" s="21"/>
      <c r="C1" s="83" t="s">
        <v>102</v>
      </c>
      <c r="D1" s="83"/>
      <c r="E1" s="83"/>
      <c r="F1" s="83"/>
      <c r="G1" s="21"/>
      <c r="H1" s="21"/>
      <c r="I1" s="21"/>
      <c r="J1" s="21"/>
      <c r="K1" s="21"/>
      <c r="L1" s="21"/>
      <c r="M1" s="21"/>
    </row>
    <row r="2" spans="1:13" ht="15">
      <c r="A2" s="21"/>
      <c r="B2" s="21"/>
      <c r="C2" s="167" t="s">
        <v>60</v>
      </c>
      <c r="D2" s="167"/>
      <c r="E2" s="167"/>
      <c r="F2" s="167"/>
      <c r="G2" s="21"/>
      <c r="H2" s="21"/>
      <c r="I2" s="21"/>
      <c r="J2" s="21"/>
      <c r="K2" s="21"/>
      <c r="L2" s="21"/>
      <c r="M2" s="21"/>
    </row>
    <row r="3" spans="1:13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192" t="s">
        <v>2</v>
      </c>
      <c r="B4" s="192" t="s">
        <v>3</v>
      </c>
      <c r="C4" s="25" t="s">
        <v>22</v>
      </c>
      <c r="D4" s="26"/>
      <c r="E4" s="28"/>
      <c r="F4" s="25"/>
      <c r="G4" s="26"/>
      <c r="H4" s="26" t="s">
        <v>23</v>
      </c>
      <c r="I4" s="26"/>
      <c r="J4" s="26"/>
      <c r="K4" s="28"/>
      <c r="L4" s="21"/>
      <c r="M4" s="21"/>
    </row>
    <row r="5" spans="1:13" ht="15">
      <c r="A5" s="193"/>
      <c r="B5" s="193"/>
      <c r="C5" s="19">
        <v>2010</v>
      </c>
      <c r="D5" s="20">
        <v>2011</v>
      </c>
      <c r="E5" s="20" t="s">
        <v>94</v>
      </c>
      <c r="F5" s="25" t="s">
        <v>26</v>
      </c>
      <c r="G5" s="28"/>
      <c r="H5" s="25" t="s">
        <v>24</v>
      </c>
      <c r="I5" s="28"/>
      <c r="J5" s="25" t="s">
        <v>25</v>
      </c>
      <c r="K5" s="28"/>
      <c r="L5" s="21"/>
      <c r="M5" s="21"/>
    </row>
    <row r="6" spans="1:13" ht="15">
      <c r="A6" s="194"/>
      <c r="B6" s="194"/>
      <c r="C6" s="41"/>
      <c r="D6" s="12"/>
      <c r="E6" s="12" t="s">
        <v>95</v>
      </c>
      <c r="F6" s="19">
        <v>2010</v>
      </c>
      <c r="G6" s="20">
        <v>2011</v>
      </c>
      <c r="H6" s="19">
        <v>2010</v>
      </c>
      <c r="I6" s="20">
        <v>2011</v>
      </c>
      <c r="J6" s="19">
        <v>2010</v>
      </c>
      <c r="K6" s="20">
        <v>2011</v>
      </c>
      <c r="L6" s="21"/>
      <c r="M6" s="21"/>
    </row>
    <row r="7" spans="1:13" ht="16.5">
      <c r="A7" s="32">
        <v>1</v>
      </c>
      <c r="B7" s="32" t="s">
        <v>61</v>
      </c>
      <c r="C7" s="70">
        <v>8.1</v>
      </c>
      <c r="D7" s="70">
        <v>15</v>
      </c>
      <c r="E7" s="69">
        <f aca="true" t="shared" si="0" ref="E7:E19">D7*100/C7</f>
        <v>185.1851851851852</v>
      </c>
      <c r="F7" s="70">
        <v>7.8</v>
      </c>
      <c r="G7" s="70">
        <v>14.3</v>
      </c>
      <c r="H7" s="70"/>
      <c r="I7" s="70"/>
      <c r="J7" s="70">
        <v>0.3</v>
      </c>
      <c r="K7" s="70">
        <v>0.7</v>
      </c>
      <c r="L7" s="21"/>
      <c r="M7" s="21"/>
    </row>
    <row r="8" spans="1:13" ht="16.5">
      <c r="A8" s="32">
        <v>2</v>
      </c>
      <c r="B8" s="32" t="s">
        <v>62</v>
      </c>
      <c r="C8" s="70">
        <v>1</v>
      </c>
      <c r="D8" s="70">
        <v>4.7</v>
      </c>
      <c r="E8" s="69">
        <f t="shared" si="0"/>
        <v>470</v>
      </c>
      <c r="F8" s="70">
        <v>1</v>
      </c>
      <c r="G8" s="70">
        <v>4.7</v>
      </c>
      <c r="H8" s="70"/>
      <c r="I8" s="70"/>
      <c r="J8" s="70"/>
      <c r="K8" s="70"/>
      <c r="L8" s="21"/>
      <c r="M8" s="21"/>
    </row>
    <row r="9" spans="1:13" ht="16.5">
      <c r="A9" s="32">
        <v>3</v>
      </c>
      <c r="B9" s="32" t="s">
        <v>63</v>
      </c>
      <c r="C9" s="70">
        <v>0.54</v>
      </c>
      <c r="D9" s="70">
        <v>2.9</v>
      </c>
      <c r="E9" s="69">
        <f t="shared" si="0"/>
        <v>537.037037037037</v>
      </c>
      <c r="F9" s="70">
        <v>0.54</v>
      </c>
      <c r="G9" s="70">
        <v>2.9</v>
      </c>
      <c r="H9" s="70"/>
      <c r="I9" s="70"/>
      <c r="J9" s="70"/>
      <c r="K9" s="70"/>
      <c r="L9" s="21"/>
      <c r="M9" s="21"/>
    </row>
    <row r="10" spans="1:13" ht="16.5">
      <c r="A10" s="32">
        <v>4</v>
      </c>
      <c r="B10" s="42" t="s">
        <v>64</v>
      </c>
      <c r="C10" s="70">
        <v>18.6</v>
      </c>
      <c r="D10" s="70">
        <v>53.1</v>
      </c>
      <c r="E10" s="69">
        <f t="shared" si="0"/>
        <v>285.4838709677419</v>
      </c>
      <c r="F10" s="70">
        <v>17.8</v>
      </c>
      <c r="G10" s="70">
        <v>50.3</v>
      </c>
      <c r="H10" s="70">
        <v>0.8</v>
      </c>
      <c r="I10" s="70">
        <v>2.4</v>
      </c>
      <c r="J10" s="70"/>
      <c r="K10" s="70">
        <v>0.4</v>
      </c>
      <c r="L10" s="21"/>
      <c r="M10" s="21"/>
    </row>
    <row r="11" spans="1:13" ht="16.5">
      <c r="A11" s="32">
        <v>5</v>
      </c>
      <c r="B11" s="32" t="s">
        <v>65</v>
      </c>
      <c r="C11" s="70">
        <v>14.6</v>
      </c>
      <c r="D11" s="70">
        <v>18</v>
      </c>
      <c r="E11" s="69">
        <f t="shared" si="0"/>
        <v>123.28767123287672</v>
      </c>
      <c r="F11" s="70">
        <v>10</v>
      </c>
      <c r="G11" s="70">
        <v>11</v>
      </c>
      <c r="H11" s="70">
        <v>4</v>
      </c>
      <c r="I11" s="70">
        <v>4</v>
      </c>
      <c r="J11" s="70">
        <v>0.6</v>
      </c>
      <c r="K11" s="70">
        <v>3</v>
      </c>
      <c r="L11" s="21"/>
      <c r="M11" s="21"/>
    </row>
    <row r="12" spans="1:13" ht="16.5">
      <c r="A12" s="32">
        <v>6</v>
      </c>
      <c r="B12" s="33" t="s">
        <v>81</v>
      </c>
      <c r="C12" s="70">
        <v>8.8</v>
      </c>
      <c r="D12" s="70">
        <v>4.9</v>
      </c>
      <c r="E12" s="69">
        <f t="shared" si="0"/>
        <v>55.68181818181819</v>
      </c>
      <c r="F12" s="71">
        <v>8.5</v>
      </c>
      <c r="G12" s="71">
        <v>3.8</v>
      </c>
      <c r="H12" s="71"/>
      <c r="I12" s="71"/>
      <c r="J12" s="71">
        <v>0.3</v>
      </c>
      <c r="K12" s="71">
        <v>1.1</v>
      </c>
      <c r="L12" s="21"/>
      <c r="M12" s="21"/>
    </row>
    <row r="13" spans="1:13" ht="16.5">
      <c r="A13" s="32">
        <v>7</v>
      </c>
      <c r="B13" s="33" t="s">
        <v>66</v>
      </c>
      <c r="C13" s="70"/>
      <c r="D13" s="70"/>
      <c r="E13" s="69"/>
      <c r="F13" s="71"/>
      <c r="G13" s="71"/>
      <c r="H13" s="71"/>
      <c r="I13" s="71"/>
      <c r="J13" s="71"/>
      <c r="K13" s="71"/>
      <c r="L13" s="21"/>
      <c r="M13" s="21"/>
    </row>
    <row r="14" spans="1:13" ht="16.5">
      <c r="A14" s="32">
        <v>8</v>
      </c>
      <c r="B14" s="33" t="s">
        <v>80</v>
      </c>
      <c r="C14" s="70">
        <v>4.5</v>
      </c>
      <c r="D14" s="70">
        <v>5.2</v>
      </c>
      <c r="E14" s="69">
        <f t="shared" si="0"/>
        <v>115.55555555555556</v>
      </c>
      <c r="F14" s="71">
        <v>4.5</v>
      </c>
      <c r="G14" s="71">
        <v>5.2</v>
      </c>
      <c r="H14" s="71"/>
      <c r="I14" s="71"/>
      <c r="J14" s="71"/>
      <c r="K14" s="71"/>
      <c r="L14" s="21"/>
      <c r="M14" s="21"/>
    </row>
    <row r="15" spans="1:13" ht="16.5">
      <c r="A15" s="32">
        <v>9</v>
      </c>
      <c r="B15" s="33" t="s">
        <v>67</v>
      </c>
      <c r="C15" s="70">
        <v>5.2</v>
      </c>
      <c r="D15" s="70">
        <v>3</v>
      </c>
      <c r="E15" s="69">
        <f t="shared" si="0"/>
        <v>57.69230769230769</v>
      </c>
      <c r="F15" s="71">
        <v>5.2</v>
      </c>
      <c r="G15" s="71">
        <v>3</v>
      </c>
      <c r="H15" s="71"/>
      <c r="I15" s="71"/>
      <c r="J15" s="71"/>
      <c r="K15" s="71"/>
      <c r="L15" s="21"/>
      <c r="M15" s="21"/>
    </row>
    <row r="16" spans="1:13" ht="16.5">
      <c r="A16" s="32">
        <v>10</v>
      </c>
      <c r="B16" s="33" t="s">
        <v>68</v>
      </c>
      <c r="C16" s="70">
        <v>0.75</v>
      </c>
      <c r="D16" s="70">
        <v>3.08</v>
      </c>
      <c r="E16" s="69">
        <f t="shared" si="0"/>
        <v>410.6666666666667</v>
      </c>
      <c r="F16" s="128">
        <v>0.75</v>
      </c>
      <c r="G16" s="128">
        <v>3.08</v>
      </c>
      <c r="H16" s="71"/>
      <c r="I16" s="71"/>
      <c r="J16" s="71"/>
      <c r="K16" s="71"/>
      <c r="L16" s="21"/>
      <c r="M16" s="21"/>
    </row>
    <row r="17" spans="1:13" ht="16.5">
      <c r="A17" s="32">
        <v>11</v>
      </c>
      <c r="B17" s="33" t="s">
        <v>69</v>
      </c>
      <c r="C17" s="70">
        <v>172</v>
      </c>
      <c r="D17" s="70">
        <v>187</v>
      </c>
      <c r="E17" s="126">
        <f t="shared" si="0"/>
        <v>108.72093023255815</v>
      </c>
      <c r="F17" s="2"/>
      <c r="G17" s="2"/>
      <c r="H17" s="127">
        <v>172</v>
      </c>
      <c r="I17" s="71">
        <v>187</v>
      </c>
      <c r="J17" s="71"/>
      <c r="K17" s="71"/>
      <c r="L17" s="21"/>
      <c r="M17" s="21"/>
    </row>
    <row r="18" spans="1:13" ht="18">
      <c r="A18" s="32">
        <v>12</v>
      </c>
      <c r="B18" s="33" t="s">
        <v>78</v>
      </c>
      <c r="C18" s="3"/>
      <c r="D18" s="70">
        <v>1.1</v>
      </c>
      <c r="E18" s="69"/>
      <c r="F18" s="123"/>
      <c r="G18" s="129"/>
      <c r="H18" s="17"/>
      <c r="I18" s="71"/>
      <c r="J18" s="17"/>
      <c r="K18" s="71">
        <v>1.1</v>
      </c>
      <c r="L18" s="21"/>
      <c r="M18" s="21"/>
    </row>
    <row r="19" spans="1:13" ht="16.5">
      <c r="A19" s="180" t="s">
        <v>11</v>
      </c>
      <c r="B19" s="181"/>
      <c r="C19" s="73">
        <f>SUM(C7:C18)</f>
        <v>234.09</v>
      </c>
      <c r="D19" s="73">
        <f>SUM(D7:D18)</f>
        <v>297.98</v>
      </c>
      <c r="E19" s="69">
        <f t="shared" si="0"/>
        <v>127.29292152590884</v>
      </c>
      <c r="F19" s="72">
        <f>SUM(F7:F18)</f>
        <v>56.09</v>
      </c>
      <c r="G19" s="73">
        <f>SUM(G7:G18)</f>
        <v>98.27999999999999</v>
      </c>
      <c r="H19" s="73">
        <f>SUM(H7:H18)</f>
        <v>176.8</v>
      </c>
      <c r="I19" s="73">
        <f>SUM(I7:I18)</f>
        <v>193.4</v>
      </c>
      <c r="J19" s="73">
        <f>SUM(J7:J17)</f>
        <v>1.2</v>
      </c>
      <c r="K19" s="73">
        <f>SUM(K7:K18)</f>
        <v>6.299999999999999</v>
      </c>
      <c r="L19" s="87"/>
      <c r="M19" s="21"/>
    </row>
  </sheetData>
  <mergeCells count="4">
    <mergeCell ref="C2:F2"/>
    <mergeCell ref="A19:B19"/>
    <mergeCell ref="A4:A6"/>
    <mergeCell ref="B4:B6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F4" sqref="F4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4" width="7.125" style="0" customWidth="1"/>
    <col min="5" max="5" width="8.25390625" style="0" customWidth="1"/>
    <col min="6" max="7" width="7.125" style="0" customWidth="1"/>
    <col min="8" max="8" width="6.37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7.87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2:20" ht="15.75">
      <c r="B2" s="21"/>
      <c r="C2" s="21"/>
      <c r="D2" s="21"/>
      <c r="E2" s="21"/>
      <c r="F2" s="21"/>
      <c r="G2" s="1" t="s">
        <v>110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2:20" ht="15">
      <c r="B3" s="21"/>
      <c r="C3" s="21"/>
      <c r="D3" s="21"/>
      <c r="E3" s="21"/>
      <c r="F3" s="21"/>
      <c r="G3" s="21"/>
      <c r="H3" s="21"/>
      <c r="I3" s="21" t="s">
        <v>58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5">
      <c r="A4" s="64"/>
      <c r="B4" s="24" t="s">
        <v>3</v>
      </c>
      <c r="C4" s="27" t="s">
        <v>71</v>
      </c>
      <c r="D4" s="95"/>
      <c r="E4" s="95"/>
      <c r="F4" s="93"/>
      <c r="G4" s="93"/>
      <c r="H4" s="96"/>
      <c r="I4" s="88" t="s">
        <v>49</v>
      </c>
      <c r="J4" s="93"/>
      <c r="K4" s="95"/>
      <c r="L4" s="93"/>
      <c r="M4" s="93"/>
      <c r="N4" s="96"/>
      <c r="O4" s="88" t="s">
        <v>50</v>
      </c>
      <c r="P4" s="93"/>
      <c r="Q4" s="95"/>
      <c r="R4" s="93"/>
      <c r="S4" s="93"/>
      <c r="T4" s="96"/>
    </row>
    <row r="5" spans="1:20" ht="15" customHeight="1">
      <c r="A5" s="65" t="s">
        <v>2</v>
      </c>
      <c r="B5" s="34"/>
      <c r="C5" s="26" t="s">
        <v>51</v>
      </c>
      <c r="D5" s="93"/>
      <c r="E5" s="152" t="s">
        <v>100</v>
      </c>
      <c r="F5" s="88" t="s">
        <v>52</v>
      </c>
      <c r="G5" s="92"/>
      <c r="H5" s="152" t="s">
        <v>100</v>
      </c>
      <c r="I5" s="146" t="s">
        <v>51</v>
      </c>
      <c r="J5" s="146"/>
      <c r="K5" s="152" t="s">
        <v>100</v>
      </c>
      <c r="L5" s="146" t="s">
        <v>52</v>
      </c>
      <c r="M5" s="146"/>
      <c r="N5" s="152" t="s">
        <v>100</v>
      </c>
      <c r="O5" s="93" t="s">
        <v>51</v>
      </c>
      <c r="P5" s="93"/>
      <c r="Q5" s="152" t="s">
        <v>100</v>
      </c>
      <c r="R5" s="155" t="s">
        <v>52</v>
      </c>
      <c r="S5" s="156"/>
      <c r="T5" s="152" t="s">
        <v>100</v>
      </c>
    </row>
    <row r="6" spans="1:20" ht="15">
      <c r="A6" s="65" t="s">
        <v>77</v>
      </c>
      <c r="B6" s="34"/>
      <c r="C6" s="157">
        <v>2010</v>
      </c>
      <c r="D6" s="150">
        <v>2011</v>
      </c>
      <c r="E6" s="153"/>
      <c r="F6" s="150">
        <v>2010</v>
      </c>
      <c r="G6" s="150">
        <v>2011</v>
      </c>
      <c r="H6" s="153"/>
      <c r="I6" s="150">
        <v>2010</v>
      </c>
      <c r="J6" s="150">
        <v>2011</v>
      </c>
      <c r="K6" s="153"/>
      <c r="L6" s="150">
        <v>2010</v>
      </c>
      <c r="M6" s="150">
        <v>2011</v>
      </c>
      <c r="N6" s="153"/>
      <c r="O6" s="150">
        <v>2010</v>
      </c>
      <c r="P6" s="150">
        <v>2011</v>
      </c>
      <c r="Q6" s="153"/>
      <c r="R6" s="150">
        <v>2010</v>
      </c>
      <c r="S6" s="150">
        <v>2011</v>
      </c>
      <c r="T6" s="153"/>
    </row>
    <row r="7" spans="1:20" ht="15">
      <c r="A7" s="66"/>
      <c r="B7" s="30"/>
      <c r="C7" s="158"/>
      <c r="D7" s="151"/>
      <c r="E7" s="154"/>
      <c r="F7" s="151"/>
      <c r="G7" s="151"/>
      <c r="H7" s="154"/>
      <c r="I7" s="151"/>
      <c r="J7" s="151"/>
      <c r="K7" s="154"/>
      <c r="L7" s="151"/>
      <c r="M7" s="151"/>
      <c r="N7" s="154"/>
      <c r="O7" s="151"/>
      <c r="P7" s="151"/>
      <c r="Q7" s="154"/>
      <c r="R7" s="151"/>
      <c r="S7" s="151"/>
      <c r="T7" s="154"/>
    </row>
    <row r="8" spans="1:20" ht="15">
      <c r="A8" s="2">
        <v>1</v>
      </c>
      <c r="B8" s="23" t="s">
        <v>61</v>
      </c>
      <c r="C8" s="4">
        <v>60</v>
      </c>
      <c r="D8" s="4">
        <v>76</v>
      </c>
      <c r="E8" s="37">
        <f aca="true" t="shared" si="0" ref="E8:E17">D8/C8*100</f>
        <v>126.66666666666666</v>
      </c>
      <c r="F8" s="4"/>
      <c r="G8" s="4"/>
      <c r="H8" s="37"/>
      <c r="I8" s="4">
        <v>12181</v>
      </c>
      <c r="J8" s="4">
        <v>16899</v>
      </c>
      <c r="K8" s="37">
        <f>J8*100/I8</f>
        <v>138.732452179624</v>
      </c>
      <c r="L8" s="4"/>
      <c r="M8" s="4"/>
      <c r="N8" s="37"/>
      <c r="O8" s="37">
        <f aca="true" t="shared" si="1" ref="O8:O17">C8/I8*100000</f>
        <v>492.5703965191692</v>
      </c>
      <c r="P8" s="37">
        <f aca="true" t="shared" si="2" ref="P8:P16">D8/J8*100000</f>
        <v>449.7307532990118</v>
      </c>
      <c r="Q8" s="37">
        <f aca="true" t="shared" si="3" ref="Q8:Q17">P8/O8*100</f>
        <v>91.30283843225438</v>
      </c>
      <c r="R8" s="37"/>
      <c r="S8" s="37"/>
      <c r="T8" s="37"/>
    </row>
    <row r="9" spans="1:20" ht="15">
      <c r="A9" s="2">
        <v>2</v>
      </c>
      <c r="B9" s="23" t="s">
        <v>62</v>
      </c>
      <c r="C9" s="4">
        <v>13</v>
      </c>
      <c r="D9" s="4">
        <v>40.66</v>
      </c>
      <c r="E9" s="37">
        <f t="shared" si="0"/>
        <v>312.7692307692307</v>
      </c>
      <c r="F9" s="4"/>
      <c r="G9" s="4"/>
      <c r="H9" s="37"/>
      <c r="I9" s="4">
        <v>7937</v>
      </c>
      <c r="J9" s="4">
        <v>8346</v>
      </c>
      <c r="K9" s="37">
        <f aca="true" t="shared" si="4" ref="K9:K20">J9*100/I9</f>
        <v>105.15308050900845</v>
      </c>
      <c r="L9" s="4"/>
      <c r="M9" s="4"/>
      <c r="N9" s="37"/>
      <c r="O9" s="37">
        <f t="shared" si="1"/>
        <v>163.78984502960816</v>
      </c>
      <c r="P9" s="37">
        <f t="shared" si="2"/>
        <v>487.1794871794871</v>
      </c>
      <c r="Q9" s="37">
        <f t="shared" si="3"/>
        <v>297.44181459566073</v>
      </c>
      <c r="R9" s="37"/>
      <c r="S9" s="37"/>
      <c r="T9" s="37"/>
    </row>
    <row r="10" spans="1:20" ht="15">
      <c r="A10" s="2">
        <v>3</v>
      </c>
      <c r="B10" s="38" t="s">
        <v>63</v>
      </c>
      <c r="C10" s="20">
        <v>14.98</v>
      </c>
      <c r="D10" s="20">
        <v>30.21</v>
      </c>
      <c r="E10" s="37">
        <f t="shared" si="0"/>
        <v>201.66889185580774</v>
      </c>
      <c r="F10" s="20"/>
      <c r="G10" s="20"/>
      <c r="H10" s="37"/>
      <c r="I10" s="4">
        <v>2926</v>
      </c>
      <c r="J10" s="4">
        <v>4373</v>
      </c>
      <c r="K10" s="37">
        <f t="shared" si="4"/>
        <v>149.45317840054682</v>
      </c>
      <c r="L10" s="20"/>
      <c r="M10" s="20"/>
      <c r="N10" s="75"/>
      <c r="O10" s="37">
        <f t="shared" si="1"/>
        <v>511.96172248803833</v>
      </c>
      <c r="P10" s="37">
        <f t="shared" si="2"/>
        <v>690.8300937571462</v>
      </c>
      <c r="Q10" s="37">
        <f t="shared" si="3"/>
        <v>134.93784074321826</v>
      </c>
      <c r="R10" s="75"/>
      <c r="S10" s="75"/>
      <c r="T10" s="75"/>
    </row>
    <row r="11" spans="1:20" ht="15">
      <c r="A11" s="2">
        <v>4</v>
      </c>
      <c r="B11" s="23" t="s">
        <v>64</v>
      </c>
      <c r="C11" s="4">
        <v>185</v>
      </c>
      <c r="D11" s="4">
        <v>75</v>
      </c>
      <c r="E11" s="37">
        <f t="shared" si="0"/>
        <v>40.54054054054054</v>
      </c>
      <c r="F11" s="4">
        <v>52</v>
      </c>
      <c r="G11" s="4">
        <v>72</v>
      </c>
      <c r="H11" s="37">
        <f>G11/F11*100</f>
        <v>138.46153846153845</v>
      </c>
      <c r="I11" s="4">
        <v>46782</v>
      </c>
      <c r="J11" s="4">
        <v>37940</v>
      </c>
      <c r="K11" s="37">
        <f t="shared" si="4"/>
        <v>81.0995682099953</v>
      </c>
      <c r="L11" s="4">
        <v>15265</v>
      </c>
      <c r="M11" s="4">
        <v>16473</v>
      </c>
      <c r="N11" s="37">
        <f>M11/L11*100</f>
        <v>107.91352767769406</v>
      </c>
      <c r="O11" s="37">
        <f t="shared" si="1"/>
        <v>395.4512419306571</v>
      </c>
      <c r="P11" s="37">
        <f t="shared" si="2"/>
        <v>197.68054823405376</v>
      </c>
      <c r="Q11" s="37">
        <f t="shared" si="3"/>
        <v>49.988602202624335</v>
      </c>
      <c r="R11" s="37">
        <f>F11/L11*100000</f>
        <v>340.64854241729444</v>
      </c>
      <c r="S11" s="37">
        <f>G11/M11*100000</f>
        <v>437.078856310326</v>
      </c>
      <c r="T11" s="37">
        <f>S11/R11*100</f>
        <v>128.30786041494474</v>
      </c>
    </row>
    <row r="12" spans="1:20" ht="15">
      <c r="A12" s="2">
        <v>5</v>
      </c>
      <c r="B12" s="23" t="s">
        <v>65</v>
      </c>
      <c r="C12" s="76">
        <v>123</v>
      </c>
      <c r="D12" s="76">
        <v>60</v>
      </c>
      <c r="E12" s="77">
        <f t="shared" si="0"/>
        <v>48.78048780487805</v>
      </c>
      <c r="F12" s="76">
        <v>9</v>
      </c>
      <c r="G12" s="76">
        <v>49</v>
      </c>
      <c r="H12" s="37">
        <f>G12/F12*100</f>
        <v>544.4444444444445</v>
      </c>
      <c r="I12" s="4">
        <v>22107</v>
      </c>
      <c r="J12" s="4">
        <v>12250</v>
      </c>
      <c r="K12" s="37">
        <f t="shared" si="4"/>
        <v>55.412312842086216</v>
      </c>
      <c r="L12" s="4">
        <v>3963</v>
      </c>
      <c r="M12" s="4">
        <v>15037</v>
      </c>
      <c r="N12" s="37">
        <f>M12/L12*100</f>
        <v>379.4347716376482</v>
      </c>
      <c r="O12" s="37">
        <f t="shared" si="1"/>
        <v>556.3848554756412</v>
      </c>
      <c r="P12" s="37">
        <f t="shared" si="2"/>
        <v>489.7959183673469</v>
      </c>
      <c r="Q12" s="37">
        <f t="shared" si="3"/>
        <v>88.03185664509706</v>
      </c>
      <c r="R12" s="37">
        <f>F12/L12*100000</f>
        <v>227.1006813020439</v>
      </c>
      <c r="S12" s="37">
        <f>G12/M12*100000</f>
        <v>325.86287158342753</v>
      </c>
      <c r="T12" s="37">
        <f>S12/R12*100</f>
        <v>143.4882844539026</v>
      </c>
    </row>
    <row r="13" spans="1:20" ht="15">
      <c r="A13" s="2">
        <v>6</v>
      </c>
      <c r="B13" s="39" t="s">
        <v>81</v>
      </c>
      <c r="C13" s="76">
        <v>24.05</v>
      </c>
      <c r="D13" s="76">
        <v>25.94</v>
      </c>
      <c r="E13" s="77">
        <f t="shared" si="0"/>
        <v>107.85862785862786</v>
      </c>
      <c r="F13" s="76"/>
      <c r="G13" s="76"/>
      <c r="H13" s="77"/>
      <c r="I13" s="76">
        <v>12005</v>
      </c>
      <c r="J13" s="76">
        <v>11254</v>
      </c>
      <c r="K13" s="37">
        <f t="shared" si="4"/>
        <v>93.74427321949187</v>
      </c>
      <c r="L13" s="76"/>
      <c r="M13" s="76"/>
      <c r="N13" s="77"/>
      <c r="O13" s="37">
        <f t="shared" si="1"/>
        <v>200.33319450229072</v>
      </c>
      <c r="P13" s="37">
        <f t="shared" si="2"/>
        <v>230.4958237071264</v>
      </c>
      <c r="Q13" s="37">
        <f t="shared" si="3"/>
        <v>115.05623133488783</v>
      </c>
      <c r="R13" s="37"/>
      <c r="S13" s="37"/>
      <c r="T13" s="77"/>
    </row>
    <row r="14" spans="1:20" ht="15">
      <c r="A14" s="2">
        <v>7</v>
      </c>
      <c r="B14" s="39" t="s">
        <v>66</v>
      </c>
      <c r="C14" s="76">
        <v>24.8</v>
      </c>
      <c r="D14" s="76">
        <v>23.14</v>
      </c>
      <c r="E14" s="77">
        <f t="shared" si="0"/>
        <v>93.30645161290323</v>
      </c>
      <c r="F14" s="76"/>
      <c r="G14" s="76"/>
      <c r="H14" s="77"/>
      <c r="I14" s="76">
        <v>7791</v>
      </c>
      <c r="J14" s="76">
        <v>9492</v>
      </c>
      <c r="K14" s="37">
        <f t="shared" si="4"/>
        <v>121.83288409703503</v>
      </c>
      <c r="L14" s="76"/>
      <c r="M14" s="76"/>
      <c r="N14" s="77"/>
      <c r="O14" s="37">
        <f t="shared" si="1"/>
        <v>318.316005647542</v>
      </c>
      <c r="P14" s="37">
        <f t="shared" si="2"/>
        <v>243.7842393594606</v>
      </c>
      <c r="Q14" s="77">
        <f t="shared" si="3"/>
        <v>76.58560519554668</v>
      </c>
      <c r="R14" s="37"/>
      <c r="S14" s="74"/>
      <c r="T14" s="77"/>
    </row>
    <row r="15" spans="1:20" s="55" customFormat="1" ht="15">
      <c r="A15" s="2">
        <v>8</v>
      </c>
      <c r="B15" s="33" t="s">
        <v>80</v>
      </c>
      <c r="C15" s="78">
        <v>66.82</v>
      </c>
      <c r="D15" s="78">
        <v>34.02</v>
      </c>
      <c r="E15" s="79">
        <f t="shared" si="0"/>
        <v>50.91290032924275</v>
      </c>
      <c r="F15" s="78"/>
      <c r="G15" s="78"/>
      <c r="H15" s="79"/>
      <c r="I15" s="78">
        <v>10529</v>
      </c>
      <c r="J15" s="78">
        <v>7555</v>
      </c>
      <c r="K15" s="37">
        <f t="shared" si="4"/>
        <v>71.75420267831703</v>
      </c>
      <c r="L15" s="78"/>
      <c r="M15" s="78"/>
      <c r="N15" s="79"/>
      <c r="O15" s="37">
        <f t="shared" si="1"/>
        <v>634.6281698166966</v>
      </c>
      <c r="P15" s="37">
        <f t="shared" si="2"/>
        <v>450.29781601588354</v>
      </c>
      <c r="Q15" s="79">
        <f t="shared" si="3"/>
        <v>70.95459001543308</v>
      </c>
      <c r="R15" s="37"/>
      <c r="S15" s="37"/>
      <c r="T15" s="37"/>
    </row>
    <row r="16" spans="1:20" ht="15">
      <c r="A16" s="2">
        <v>9</v>
      </c>
      <c r="B16" s="39" t="s">
        <v>67</v>
      </c>
      <c r="C16" s="76">
        <v>50</v>
      </c>
      <c r="D16" s="76">
        <v>23</v>
      </c>
      <c r="E16" s="77">
        <f t="shared" si="0"/>
        <v>46</v>
      </c>
      <c r="F16" s="76"/>
      <c r="G16" s="76"/>
      <c r="H16" s="77"/>
      <c r="I16" s="76">
        <v>7727</v>
      </c>
      <c r="J16" s="76">
        <v>11490</v>
      </c>
      <c r="K16" s="37">
        <f t="shared" si="4"/>
        <v>148.69936585997152</v>
      </c>
      <c r="L16" s="76"/>
      <c r="M16" s="76"/>
      <c r="N16" s="77"/>
      <c r="O16" s="37">
        <f t="shared" si="1"/>
        <v>647.0816617057072</v>
      </c>
      <c r="P16" s="37">
        <f t="shared" si="2"/>
        <v>200.17406440382942</v>
      </c>
      <c r="Q16" s="77">
        <f t="shared" si="3"/>
        <v>30.9348999129678</v>
      </c>
      <c r="R16" s="37"/>
      <c r="S16" s="37"/>
      <c r="T16" s="77"/>
    </row>
    <row r="17" spans="1:20" ht="15">
      <c r="A17" s="2">
        <v>10</v>
      </c>
      <c r="B17" s="39" t="s">
        <v>68</v>
      </c>
      <c r="C17" s="76">
        <v>15</v>
      </c>
      <c r="D17" s="76">
        <v>15.9</v>
      </c>
      <c r="E17" s="77">
        <f t="shared" si="0"/>
        <v>106</v>
      </c>
      <c r="F17" s="76"/>
      <c r="G17" s="76"/>
      <c r="H17" s="77"/>
      <c r="I17" s="76">
        <v>3055</v>
      </c>
      <c r="J17" s="76">
        <v>4694</v>
      </c>
      <c r="K17" s="37">
        <f t="shared" si="4"/>
        <v>153.64975450081832</v>
      </c>
      <c r="L17" s="76"/>
      <c r="M17" s="76"/>
      <c r="N17" s="77"/>
      <c r="O17" s="37">
        <f t="shared" si="1"/>
        <v>490.99836333878886</v>
      </c>
      <c r="P17" s="37">
        <f>D17/J17*100000</f>
        <v>338.73029399233064</v>
      </c>
      <c r="Q17" s="77">
        <f t="shared" si="3"/>
        <v>68.988069876438</v>
      </c>
      <c r="R17" s="37"/>
      <c r="S17" s="37"/>
      <c r="T17" s="77"/>
    </row>
    <row r="18" spans="1:20" ht="15">
      <c r="A18" s="2">
        <v>11</v>
      </c>
      <c r="B18" s="67" t="s">
        <v>69</v>
      </c>
      <c r="C18" s="76"/>
      <c r="D18" s="76"/>
      <c r="E18" s="77"/>
      <c r="F18" s="76">
        <v>1804</v>
      </c>
      <c r="G18" s="76">
        <v>2127</v>
      </c>
      <c r="H18" s="77">
        <f>G18/F18*100</f>
        <v>117.90465631929045</v>
      </c>
      <c r="I18" s="4"/>
      <c r="J18" s="76"/>
      <c r="K18" s="37"/>
      <c r="L18" s="76">
        <v>483688</v>
      </c>
      <c r="M18" s="76">
        <v>556117</v>
      </c>
      <c r="N18" s="77">
        <f>M18/L18*100</f>
        <v>114.97432229040207</v>
      </c>
      <c r="O18" s="37"/>
      <c r="P18" s="37"/>
      <c r="Q18" s="77"/>
      <c r="R18" s="37">
        <f>F18/L18*100000</f>
        <v>372.9676981856073</v>
      </c>
      <c r="S18" s="37">
        <f>G18/M18*100000</f>
        <v>382.47347230888465</v>
      </c>
      <c r="T18" s="77">
        <f>S18/R18*100</f>
        <v>102.5486856286806</v>
      </c>
    </row>
    <row r="19" spans="1:20" ht="15">
      <c r="A19" s="2">
        <v>12</v>
      </c>
      <c r="B19" s="33" t="s">
        <v>91</v>
      </c>
      <c r="C19" s="86"/>
      <c r="D19" s="76"/>
      <c r="E19" s="77"/>
      <c r="F19" s="76"/>
      <c r="G19" s="76"/>
      <c r="H19" s="77"/>
      <c r="I19" s="4"/>
      <c r="J19" s="76"/>
      <c r="K19" s="37"/>
      <c r="L19" s="76"/>
      <c r="M19" s="76">
        <v>8230</v>
      </c>
      <c r="N19" s="77"/>
      <c r="O19" s="37"/>
      <c r="P19" s="37"/>
      <c r="Q19" s="77"/>
      <c r="R19" s="37"/>
      <c r="S19" s="37">
        <f>G19/M19*100000</f>
        <v>0</v>
      </c>
      <c r="T19" s="77"/>
    </row>
    <row r="20" spans="1:20" ht="15">
      <c r="A20" s="68"/>
      <c r="B20" s="28" t="s">
        <v>11</v>
      </c>
      <c r="C20" s="80">
        <f>SUM(C8:C18)</f>
        <v>576.6500000000001</v>
      </c>
      <c r="D20" s="4">
        <f>SUM(D8:D18)</f>
        <v>403.86999999999995</v>
      </c>
      <c r="E20" s="37">
        <f>D20/C20*100</f>
        <v>70.03728431457554</v>
      </c>
      <c r="F20" s="37">
        <f>SUM(F8:F18)</f>
        <v>1865</v>
      </c>
      <c r="G20" s="4">
        <f>SUM(G8:G19)</f>
        <v>2248</v>
      </c>
      <c r="H20" s="37">
        <f>G20/F20*100</f>
        <v>120.53619302949062</v>
      </c>
      <c r="I20" s="4">
        <f>SUM(I8:I17)</f>
        <v>133040</v>
      </c>
      <c r="J20" s="4">
        <f>SUM(J8:J18)</f>
        <v>124293</v>
      </c>
      <c r="K20" s="37">
        <f t="shared" si="4"/>
        <v>93.42528562838244</v>
      </c>
      <c r="L20" s="4">
        <f>SUM(L8:L18)</f>
        <v>502916</v>
      </c>
      <c r="M20" s="4">
        <f>SUM(M8:M19)</f>
        <v>595857</v>
      </c>
      <c r="N20" s="37">
        <f>M20/L20*100</f>
        <v>118.48042217785873</v>
      </c>
      <c r="O20" s="37">
        <f>C20/I20*100000</f>
        <v>433.44107035478055</v>
      </c>
      <c r="P20" s="37">
        <f>D20/J20*100000</f>
        <v>324.9338257182625</v>
      </c>
      <c r="Q20" s="37">
        <f>P20/O20*100</f>
        <v>74.96609065040776</v>
      </c>
      <c r="R20" s="37">
        <f>F20/L20*100000</f>
        <v>370.8372770005329</v>
      </c>
      <c r="S20" s="37">
        <f>G20/M20*100000</f>
        <v>377.2717279481486</v>
      </c>
      <c r="T20" s="37">
        <f>S20/R20*100</f>
        <v>101.73511438754484</v>
      </c>
    </row>
  </sheetData>
  <mergeCells count="21">
    <mergeCell ref="C6:C7"/>
    <mergeCell ref="D6:D7"/>
    <mergeCell ref="K5:K7"/>
    <mergeCell ref="E5:E7"/>
    <mergeCell ref="I5:J5"/>
    <mergeCell ref="I6:I7"/>
    <mergeCell ref="J6:J7"/>
    <mergeCell ref="Q5:Q7"/>
    <mergeCell ref="G6:G7"/>
    <mergeCell ref="H5:H7"/>
    <mergeCell ref="N5:N7"/>
    <mergeCell ref="R6:R7"/>
    <mergeCell ref="F6:F7"/>
    <mergeCell ref="T5:T7"/>
    <mergeCell ref="L5:M5"/>
    <mergeCell ref="R5:S5"/>
    <mergeCell ref="L6:L7"/>
    <mergeCell ref="M6:M7"/>
    <mergeCell ref="O6:O7"/>
    <mergeCell ref="P6:P7"/>
    <mergeCell ref="S6:S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75" zoomScaleNormal="50" zoomScaleSheetLayoutView="75" workbookViewId="0" topLeftCell="A1">
      <selection activeCell="D4" sqref="D4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6.25390625" style="0" customWidth="1"/>
    <col min="8" max="8" width="8.75390625" style="0" customWidth="1"/>
    <col min="9" max="9" width="7.25390625" style="0" customWidth="1"/>
    <col min="10" max="10" width="6.25390625" style="0" customWidth="1"/>
    <col min="11" max="11" width="8.875" style="0" customWidth="1"/>
    <col min="12" max="13" width="8.75390625" style="0" customWidth="1"/>
    <col min="14" max="14" width="9.125" style="58" customWidth="1"/>
  </cols>
  <sheetData>
    <row r="1" ht="15.75">
      <c r="C1" s="1" t="s">
        <v>109</v>
      </c>
    </row>
    <row r="2" spans="1:12" ht="15">
      <c r="A2" s="21"/>
      <c r="B2" s="21"/>
      <c r="C2" s="21"/>
      <c r="D2" s="21"/>
      <c r="E2" s="21"/>
      <c r="F2" s="21"/>
      <c r="G2" s="21"/>
      <c r="H2" s="11" t="s">
        <v>57</v>
      </c>
      <c r="I2" s="21"/>
      <c r="J2" s="21"/>
      <c r="K2" s="21"/>
      <c r="L2" s="21"/>
    </row>
    <row r="3" spans="1:14" ht="15" customHeight="1">
      <c r="A3" s="24" t="s">
        <v>2</v>
      </c>
      <c r="B3" s="24" t="s">
        <v>3</v>
      </c>
      <c r="C3" s="26"/>
      <c r="D3" s="26" t="s">
        <v>54</v>
      </c>
      <c r="E3" s="28"/>
      <c r="F3" s="159" t="s">
        <v>10</v>
      </c>
      <c r="G3" s="160"/>
      <c r="H3" s="161"/>
      <c r="I3" s="26" t="s">
        <v>6</v>
      </c>
      <c r="J3" s="22" t="s">
        <v>7</v>
      </c>
      <c r="K3" s="164" t="s">
        <v>74</v>
      </c>
      <c r="L3" s="165"/>
      <c r="M3" s="139"/>
      <c r="N3" s="162"/>
    </row>
    <row r="4" spans="1:14" ht="15">
      <c r="A4" s="34"/>
      <c r="B4" s="34"/>
      <c r="C4" s="10">
        <v>2010</v>
      </c>
      <c r="D4" s="43">
        <v>2011</v>
      </c>
      <c r="E4" s="20" t="s">
        <v>4</v>
      </c>
      <c r="F4" s="10">
        <v>2010</v>
      </c>
      <c r="G4" s="43">
        <v>2011</v>
      </c>
      <c r="H4" s="20" t="s">
        <v>4</v>
      </c>
      <c r="I4" s="10">
        <v>2010</v>
      </c>
      <c r="J4" s="43">
        <v>2011</v>
      </c>
      <c r="K4" s="140" t="s">
        <v>1</v>
      </c>
      <c r="L4" s="140" t="s">
        <v>75</v>
      </c>
      <c r="M4" s="131" t="s">
        <v>76</v>
      </c>
      <c r="N4" s="163"/>
    </row>
    <row r="5" spans="1:14" ht="15">
      <c r="A5" s="30"/>
      <c r="B5" s="30"/>
      <c r="C5" s="29"/>
      <c r="D5" s="36"/>
      <c r="E5" s="12">
        <v>2010</v>
      </c>
      <c r="F5" s="29"/>
      <c r="G5" s="36"/>
      <c r="H5" s="12">
        <v>2010</v>
      </c>
      <c r="I5" s="36"/>
      <c r="J5" s="30"/>
      <c r="K5" s="130"/>
      <c r="L5" s="130"/>
      <c r="M5" s="131"/>
      <c r="N5" s="163"/>
    </row>
    <row r="6" spans="1:14" ht="15">
      <c r="A6" s="4">
        <v>1</v>
      </c>
      <c r="B6" s="23" t="s">
        <v>61</v>
      </c>
      <c r="C6" s="4"/>
      <c r="D6" s="4"/>
      <c r="E6" s="37"/>
      <c r="F6" s="4">
        <v>26</v>
      </c>
      <c r="G6" s="4">
        <v>26</v>
      </c>
      <c r="H6" s="77">
        <f aca="true" t="shared" si="0" ref="H6:H17">G6*100/F6</f>
        <v>100</v>
      </c>
      <c r="I6" s="37">
        <f>F6+(C6*0.2)+('численность 1'!M6*0.3)+'численность 1'!G6+(('численность 1'!C6-'численность 1'!G6)*0.6)</f>
        <v>303.8</v>
      </c>
      <c r="J6" s="37">
        <f>G6+(D6*0.2)+('численность 1'!N6*0.3)+'численность 1'!H6+(('численность 1'!D6-'численность 1'!H6)*0.6)</f>
        <v>316.4</v>
      </c>
      <c r="K6" s="4">
        <v>1033</v>
      </c>
      <c r="L6" s="4">
        <v>50</v>
      </c>
      <c r="M6" s="37"/>
      <c r="N6" s="63"/>
    </row>
    <row r="7" spans="1:14" ht="15">
      <c r="A7" s="4">
        <v>2</v>
      </c>
      <c r="B7" s="23" t="s">
        <v>62</v>
      </c>
      <c r="C7" s="4"/>
      <c r="D7" s="4"/>
      <c r="E7" s="37"/>
      <c r="F7" s="4">
        <v>7</v>
      </c>
      <c r="G7" s="4">
        <v>5</v>
      </c>
      <c r="H7" s="77">
        <f t="shared" si="0"/>
        <v>71.42857142857143</v>
      </c>
      <c r="I7" s="37">
        <f>F7+(C7*0.2)+('численность 1'!M7*0.3)+'численность 1'!G7+(('численность 1'!C7-'численность 1'!G7)*0.6)</f>
        <v>169.6</v>
      </c>
      <c r="J7" s="37">
        <f>G7+(D7*0.2)+('численность 1'!N7*0.3)+'численность 1'!H7+(('численность 1'!D7-'численность 1'!H7)*0.6)</f>
        <v>192.2</v>
      </c>
      <c r="K7" s="4">
        <v>464</v>
      </c>
      <c r="L7" s="4">
        <v>37</v>
      </c>
      <c r="M7" s="37">
        <v>146</v>
      </c>
      <c r="N7" s="63"/>
    </row>
    <row r="8" spans="1:14" ht="15">
      <c r="A8" s="4">
        <v>3</v>
      </c>
      <c r="B8" s="23" t="s">
        <v>63</v>
      </c>
      <c r="C8" s="4"/>
      <c r="D8" s="4"/>
      <c r="E8" s="37"/>
      <c r="F8" s="4">
        <v>2</v>
      </c>
      <c r="G8" s="4">
        <v>1</v>
      </c>
      <c r="H8" s="77">
        <f t="shared" si="0"/>
        <v>50</v>
      </c>
      <c r="I8" s="37">
        <f>F8+(C8*0.2)+('численность 1'!M8*0.3)+'численность 1'!G8+(('численность 1'!C8-'численность 1'!G8)*0.6)</f>
        <v>86.6</v>
      </c>
      <c r="J8" s="37">
        <f>G8+(D8*0.2)+('численность 1'!N8*0.3)+'численность 1'!H8+(('численность 1'!D8-'численность 1'!H8)*0.6)</f>
        <v>98.8</v>
      </c>
      <c r="K8" s="4">
        <v>493</v>
      </c>
      <c r="L8" s="4">
        <v>173</v>
      </c>
      <c r="M8" s="37"/>
      <c r="N8" s="63"/>
    </row>
    <row r="9" spans="1:14" ht="15">
      <c r="A9" s="4">
        <v>4</v>
      </c>
      <c r="B9" s="23" t="s">
        <v>64</v>
      </c>
      <c r="C9" s="4"/>
      <c r="D9" s="4"/>
      <c r="E9" s="4"/>
      <c r="F9" s="4">
        <v>34</v>
      </c>
      <c r="G9" s="4">
        <v>24</v>
      </c>
      <c r="H9" s="77">
        <f t="shared" si="0"/>
        <v>70.58823529411765</v>
      </c>
      <c r="I9" s="37">
        <f>F9+(C9*0.2)+('численность 1'!M9*0.3)+'численность 1'!G9+(('численность 1'!C9-'численность 1'!G9)*0.6)</f>
        <v>819.2</v>
      </c>
      <c r="J9" s="37">
        <f>G9+(D9*0.2)+('численность 1'!N9*0.3)+'численность 1'!H9+(('численность 1'!D9-'численность 1'!H9)*0.6)</f>
        <v>766.0999999999999</v>
      </c>
      <c r="K9" s="76">
        <v>2256</v>
      </c>
      <c r="L9" s="76">
        <v>551</v>
      </c>
      <c r="M9" s="77"/>
      <c r="N9" s="63"/>
    </row>
    <row r="10" spans="1:14" ht="15">
      <c r="A10" s="4">
        <v>5</v>
      </c>
      <c r="B10" s="23" t="s">
        <v>65</v>
      </c>
      <c r="C10" s="4">
        <v>160</v>
      </c>
      <c r="D10" s="4">
        <v>190</v>
      </c>
      <c r="E10" s="77">
        <f>D10*100/C10</f>
        <v>118.75</v>
      </c>
      <c r="F10" s="4">
        <v>49</v>
      </c>
      <c r="G10" s="4">
        <v>48</v>
      </c>
      <c r="H10" s="77">
        <f t="shared" si="0"/>
        <v>97.95918367346938</v>
      </c>
      <c r="I10" s="37">
        <f>F10+(C10*0.2)+('численность 1'!M10*0.3)+'численность 1'!G10+(('численность 1'!C10-'численность 1'!G10)*0.6)</f>
        <v>575.8</v>
      </c>
      <c r="J10" s="37">
        <f>G10+(D10*0.2)+('численность 1'!N10*0.3)+'численность 1'!H10+(('численность 1'!D10-'численность 1'!H10)*0.6)</f>
        <v>628.2</v>
      </c>
      <c r="K10" s="4">
        <v>1021</v>
      </c>
      <c r="L10" s="4">
        <v>371</v>
      </c>
      <c r="M10" s="37">
        <v>650</v>
      </c>
      <c r="N10" s="63"/>
    </row>
    <row r="11" spans="1:14" ht="15">
      <c r="A11" s="4">
        <v>6</v>
      </c>
      <c r="B11" s="39" t="s">
        <v>81</v>
      </c>
      <c r="C11" s="76"/>
      <c r="D11" s="76"/>
      <c r="E11" s="77"/>
      <c r="F11" s="4">
        <v>15</v>
      </c>
      <c r="G11" s="4">
        <v>8</v>
      </c>
      <c r="H11" s="77">
        <f t="shared" si="0"/>
        <v>53.333333333333336</v>
      </c>
      <c r="I11" s="37">
        <f>F11+(C11*0.2)+('численность 1'!M11*0.3)+'численность 1'!G11+(('численность 1'!C11-'численность 1'!G11)*0.6)</f>
        <v>233.2</v>
      </c>
      <c r="J11" s="37">
        <f>G11+(D11*0.2)+('численность 1'!N11*0.3)+'численность 1'!H11+(('численность 1'!D11-'численность 1'!H11)*0.6)</f>
        <v>235.2</v>
      </c>
      <c r="K11" s="76">
        <v>2039</v>
      </c>
      <c r="L11" s="76">
        <v>998</v>
      </c>
      <c r="M11" s="77"/>
      <c r="N11" s="63"/>
    </row>
    <row r="12" spans="1:14" ht="15">
      <c r="A12" s="4">
        <v>7</v>
      </c>
      <c r="B12" s="39" t="s">
        <v>66</v>
      </c>
      <c r="C12" s="76"/>
      <c r="D12" s="76"/>
      <c r="E12" s="77"/>
      <c r="F12" s="76">
        <v>4</v>
      </c>
      <c r="G12" s="76">
        <v>3</v>
      </c>
      <c r="H12" s="77">
        <f t="shared" si="0"/>
        <v>75</v>
      </c>
      <c r="I12" s="37">
        <f>F12+(C12*0.2)+('численность 1'!M12*0.3)+'численность 1'!G12+(('численность 1'!C12-'численность 1'!G12)*0.6)</f>
        <v>115.4</v>
      </c>
      <c r="J12" s="37">
        <f>G12+(D12*0.2)+('численность 1'!N12*0.3)+'численность 1'!H12+(('численность 1'!D12-'численность 1'!H12)*0.6)</f>
        <v>143.39999999999998</v>
      </c>
      <c r="K12" s="76">
        <v>610</v>
      </c>
      <c r="L12" s="76">
        <v>374</v>
      </c>
      <c r="M12" s="37"/>
      <c r="N12" s="63"/>
    </row>
    <row r="13" spans="1:14" ht="15">
      <c r="A13" s="4">
        <v>8</v>
      </c>
      <c r="B13" s="33" t="s">
        <v>80</v>
      </c>
      <c r="C13" s="76">
        <v>114</v>
      </c>
      <c r="D13" s="76">
        <v>154</v>
      </c>
      <c r="E13" s="77">
        <f>D13*100/C13</f>
        <v>135.08771929824562</v>
      </c>
      <c r="F13" s="4">
        <v>4</v>
      </c>
      <c r="G13" s="4">
        <v>5</v>
      </c>
      <c r="H13" s="77">
        <f t="shared" si="0"/>
        <v>125</v>
      </c>
      <c r="I13" s="37">
        <f>F13+(C13*0.2)+('численность 1'!M13*0.3)+'численность 1'!G13+(('численность 1'!C13-'численность 1'!G13)*0.6)</f>
        <v>167.2</v>
      </c>
      <c r="J13" s="37">
        <f>G13+(D13*0.1)+('численность 1'!N13*0.3)+'численность 1'!H13+(('численность 1'!D13-'численность 1'!H13)*0.6)</f>
        <v>181.8</v>
      </c>
      <c r="K13" s="76">
        <v>805</v>
      </c>
      <c r="L13" s="76">
        <v>500</v>
      </c>
      <c r="M13" s="37"/>
      <c r="N13" s="63"/>
    </row>
    <row r="14" spans="1:14" ht="15">
      <c r="A14" s="4">
        <v>9</v>
      </c>
      <c r="B14" s="39" t="s">
        <v>67</v>
      </c>
      <c r="C14" s="76"/>
      <c r="D14" s="76"/>
      <c r="E14" s="77"/>
      <c r="F14" s="4">
        <v>15</v>
      </c>
      <c r="G14" s="4">
        <v>3</v>
      </c>
      <c r="H14" s="77">
        <f t="shared" si="0"/>
        <v>20</v>
      </c>
      <c r="I14" s="37">
        <f>F14+(C14*0.2)+('численность 1'!M14*0.3)+'численность 1'!G14+(('численность 1'!C14-'численность 1'!G14)*0.6)</f>
        <v>185.8</v>
      </c>
      <c r="J14" s="37">
        <f>G14+(D14*0.2)+('численность 1'!N14*0.3)+'численность 1'!H14+(('численность 1'!D14-'численность 1'!H14)*0.6)</f>
        <v>193.6</v>
      </c>
      <c r="K14" s="76">
        <v>424</v>
      </c>
      <c r="L14" s="76">
        <v>356</v>
      </c>
      <c r="M14" s="37">
        <v>24</v>
      </c>
      <c r="N14" s="63"/>
    </row>
    <row r="15" spans="1:14" ht="15">
      <c r="A15" s="4">
        <v>10</v>
      </c>
      <c r="B15" s="39" t="s">
        <v>68</v>
      </c>
      <c r="C15" s="76"/>
      <c r="D15" s="76"/>
      <c r="E15" s="77"/>
      <c r="F15" s="4">
        <v>3</v>
      </c>
      <c r="G15" s="4">
        <v>2</v>
      </c>
      <c r="H15" s="77">
        <f t="shared" si="0"/>
        <v>66.66666666666667</v>
      </c>
      <c r="I15" s="37">
        <f>F15+(C15*0.2)+('численность 1'!M15*0.3)+'численность 1'!G15+(('численность 1'!C15-'численность 1'!G15)*0.6)</f>
        <v>69.6</v>
      </c>
      <c r="J15" s="37">
        <f>G15+(D15*0.2)+('численность 1'!N15*0.3)+'численность 1'!H15+(('численность 1'!D15-'численность 1'!H15)*0.6)</f>
        <v>79.4</v>
      </c>
      <c r="K15" s="76">
        <v>270</v>
      </c>
      <c r="L15" s="76">
        <v>90</v>
      </c>
      <c r="M15" s="37"/>
      <c r="N15" s="63"/>
    </row>
    <row r="16" spans="1:14" ht="15">
      <c r="A16" s="4">
        <v>11</v>
      </c>
      <c r="B16" s="39" t="s">
        <v>69</v>
      </c>
      <c r="C16" s="76"/>
      <c r="D16" s="76"/>
      <c r="E16" s="77"/>
      <c r="F16" s="4">
        <v>1</v>
      </c>
      <c r="G16" s="4">
        <v>1</v>
      </c>
      <c r="H16" s="77">
        <f t="shared" si="0"/>
        <v>100</v>
      </c>
      <c r="I16" s="37">
        <f>F16+(C16*0.2)+('численность 1'!M16*0.3)+'численность 1'!G16+(('численность 1'!C16-'численность 1'!G16)*0.6)</f>
        <v>2278.2999999999997</v>
      </c>
      <c r="J16" s="37">
        <f>G16+(D16*0.2)+('численность 1'!N16*0.3)+'численность 1'!H16+(('численность 1'!D16-'численность 1'!H16)*0.6)</f>
        <v>2761.6</v>
      </c>
      <c r="K16" s="76">
        <v>11525</v>
      </c>
      <c r="L16" s="76">
        <v>11525</v>
      </c>
      <c r="M16" s="77">
        <v>11525</v>
      </c>
      <c r="N16" s="63"/>
    </row>
    <row r="17" spans="1:14" ht="15">
      <c r="A17" s="4">
        <v>12</v>
      </c>
      <c r="B17" s="33" t="s">
        <v>78</v>
      </c>
      <c r="C17" s="76"/>
      <c r="D17" s="76"/>
      <c r="E17" s="77"/>
      <c r="F17" s="4">
        <v>40</v>
      </c>
      <c r="G17" s="4">
        <v>112</v>
      </c>
      <c r="H17" s="77">
        <f t="shared" si="0"/>
        <v>280</v>
      </c>
      <c r="I17" s="37">
        <f>F17+(C17*0.2)+('численность 1'!M17*0.3)+'численность 1'!G17+(('численность 1'!C17-'численность 1'!G17)*0.6)</f>
        <v>40</v>
      </c>
      <c r="J17" s="37">
        <f>G17+(D17*0.2)+('численность 1'!N17*0.3)+'численность 1'!H17+(('численность 1'!D17-'численность 1'!H17)*0.6)</f>
        <v>112</v>
      </c>
      <c r="K17" s="76">
        <v>969</v>
      </c>
      <c r="L17" s="76"/>
      <c r="M17" s="37"/>
      <c r="N17" s="63"/>
    </row>
    <row r="18" spans="1:14" ht="15">
      <c r="A18" s="4">
        <v>13</v>
      </c>
      <c r="B18" s="33" t="s">
        <v>91</v>
      </c>
      <c r="C18" s="76"/>
      <c r="D18" s="76"/>
      <c r="E18" s="77"/>
      <c r="F18" s="4"/>
      <c r="G18" s="4"/>
      <c r="H18" s="77"/>
      <c r="I18" s="37"/>
      <c r="J18" s="37">
        <f>G18+(D18*0.2)+('численность 1'!N18*0.3)+'численность 1'!H18+(('численность 1'!D18-'численность 1'!H18)*0.6)</f>
        <v>33</v>
      </c>
      <c r="K18" s="76">
        <v>16</v>
      </c>
      <c r="L18" s="76">
        <v>16</v>
      </c>
      <c r="M18" s="37"/>
      <c r="N18" s="63"/>
    </row>
    <row r="19" spans="1:14" ht="15">
      <c r="A19" s="23"/>
      <c r="B19" s="23" t="s">
        <v>11</v>
      </c>
      <c r="C19" s="4">
        <f>SUM(C6:C16)</f>
        <v>274</v>
      </c>
      <c r="D19" s="4">
        <f>SUM(D6:D16)</f>
        <v>344</v>
      </c>
      <c r="E19" s="37">
        <f>D19/C19*100</f>
        <v>125.54744525547446</v>
      </c>
      <c r="F19" s="4">
        <f>SUM(F6:F17)</f>
        <v>200</v>
      </c>
      <c r="G19" s="4">
        <f>SUM(G6:G17)</f>
        <v>238</v>
      </c>
      <c r="H19" s="77">
        <f>G19*100/F19</f>
        <v>119</v>
      </c>
      <c r="I19" s="37">
        <f>F19+(C19*0.2)+('численность 1'!M19*0.3)+'численность 1'!G19+(('численность 1'!C19-'численность 1'!G19)*0.6)</f>
        <v>5044.5</v>
      </c>
      <c r="J19" s="37">
        <f>G19+(D19*0.2)+('численность 1'!N19*0.3)+'численность 1'!H19+(('численность 1'!D19-'численность 1'!H19)*0.6)</f>
        <v>5757.1</v>
      </c>
      <c r="K19" s="4">
        <f>SUM(K6:K18)</f>
        <v>21925</v>
      </c>
      <c r="L19" s="4">
        <f>SUM(L6:L18)</f>
        <v>15041</v>
      </c>
      <c r="M19" s="37">
        <f>SUM(M6:M18)</f>
        <v>12345</v>
      </c>
      <c r="N19" s="63"/>
    </row>
  </sheetData>
  <mergeCells count="6">
    <mergeCell ref="F3:H3"/>
    <mergeCell ref="N3:N5"/>
    <mergeCell ref="K3:M3"/>
    <mergeCell ref="K4:K5"/>
    <mergeCell ref="L4:L5"/>
    <mergeCell ref="M4:M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9"/>
  <sheetViews>
    <sheetView view="pageBreakPreview" zoomScale="60" zoomScaleNormal="50" workbookViewId="0" topLeftCell="A1">
      <selection activeCell="E4" sqref="E4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8" t="s">
        <v>108</v>
      </c>
      <c r="F1" s="48"/>
      <c r="G1" s="48"/>
      <c r="H1" s="47"/>
      <c r="I1" s="47"/>
      <c r="J1" s="47"/>
      <c r="K1" s="47"/>
      <c r="L1" s="47"/>
      <c r="M1" s="47"/>
      <c r="N1" s="47"/>
      <c r="O1" s="47"/>
      <c r="P1" s="15"/>
      <c r="Q1" s="44"/>
      <c r="R1" s="1"/>
    </row>
    <row r="2" spans="5:17" ht="20.25">
      <c r="E2" s="47"/>
      <c r="F2" s="47"/>
      <c r="G2" s="47"/>
      <c r="H2" s="49" t="s">
        <v>56</v>
      </c>
      <c r="I2" s="49"/>
      <c r="J2" s="49"/>
      <c r="K2" s="49"/>
      <c r="L2" s="49"/>
      <c r="M2" s="49"/>
      <c r="N2" s="47"/>
      <c r="O2" s="47"/>
      <c r="P2" s="15"/>
      <c r="Q2" s="15"/>
    </row>
    <row r="3" spans="1:21" s="21" customFormat="1" ht="44.25" customHeight="1">
      <c r="A3" s="24" t="s">
        <v>2</v>
      </c>
      <c r="B3" s="150" t="s">
        <v>3</v>
      </c>
      <c r="C3" s="147" t="s">
        <v>83</v>
      </c>
      <c r="D3" s="137"/>
      <c r="E3" s="138"/>
      <c r="F3" s="152" t="s">
        <v>82</v>
      </c>
      <c r="G3" s="147" t="s">
        <v>8</v>
      </c>
      <c r="H3" s="137"/>
      <c r="I3" s="138"/>
      <c r="J3" s="132" t="s">
        <v>73</v>
      </c>
      <c r="K3" s="133"/>
      <c r="L3" s="134"/>
      <c r="M3" s="147" t="s">
        <v>9</v>
      </c>
      <c r="N3" s="137"/>
      <c r="O3" s="137"/>
      <c r="P3" s="137"/>
      <c r="Q3" s="137"/>
      <c r="R3" s="137"/>
      <c r="S3" s="137"/>
      <c r="T3" s="137"/>
      <c r="U3" s="138"/>
    </row>
    <row r="4" spans="1:21" s="21" customFormat="1" ht="23.25" customHeight="1">
      <c r="A4" s="34"/>
      <c r="B4" s="166"/>
      <c r="C4" s="150">
        <v>2010</v>
      </c>
      <c r="D4" s="150">
        <v>2011</v>
      </c>
      <c r="E4" s="91" t="s">
        <v>4</v>
      </c>
      <c r="F4" s="153"/>
      <c r="G4" s="150">
        <v>2010</v>
      </c>
      <c r="H4" s="150">
        <v>2011</v>
      </c>
      <c r="I4" s="91" t="s">
        <v>4</v>
      </c>
      <c r="J4" s="150">
        <v>2010</v>
      </c>
      <c r="K4" s="150">
        <v>2011</v>
      </c>
      <c r="L4" s="152" t="s">
        <v>99</v>
      </c>
      <c r="M4" s="150">
        <v>2010</v>
      </c>
      <c r="N4" s="150">
        <v>2011</v>
      </c>
      <c r="O4" s="152" t="s">
        <v>99</v>
      </c>
      <c r="P4" s="88" t="s">
        <v>5</v>
      </c>
      <c r="Q4" s="92" t="s">
        <v>72</v>
      </c>
      <c r="R4" s="152" t="s">
        <v>99</v>
      </c>
      <c r="S4" s="88" t="s">
        <v>53</v>
      </c>
      <c r="T4" s="93"/>
      <c r="U4" s="152" t="s">
        <v>99</v>
      </c>
    </row>
    <row r="5" spans="1:21" s="21" customFormat="1" ht="23.25" customHeight="1">
      <c r="A5" s="30"/>
      <c r="B5" s="151"/>
      <c r="C5" s="135"/>
      <c r="D5" s="135"/>
      <c r="E5" s="94">
        <v>2010</v>
      </c>
      <c r="F5" s="154"/>
      <c r="G5" s="135"/>
      <c r="H5" s="135"/>
      <c r="I5" s="94">
        <v>2010</v>
      </c>
      <c r="J5" s="135"/>
      <c r="K5" s="135"/>
      <c r="L5" s="136"/>
      <c r="M5" s="135"/>
      <c r="N5" s="135"/>
      <c r="O5" s="136"/>
      <c r="P5" s="89">
        <v>2010</v>
      </c>
      <c r="Q5" s="89">
        <v>2011</v>
      </c>
      <c r="R5" s="136"/>
      <c r="S5" s="89">
        <v>2010</v>
      </c>
      <c r="T5" s="89">
        <v>2011</v>
      </c>
      <c r="U5" s="136"/>
    </row>
    <row r="6" spans="1:34" s="21" customFormat="1" ht="24.75" customHeight="1">
      <c r="A6" s="4">
        <v>1</v>
      </c>
      <c r="B6" s="23" t="s">
        <v>61</v>
      </c>
      <c r="C6" s="13">
        <v>343</v>
      </c>
      <c r="D6" s="4">
        <v>364</v>
      </c>
      <c r="E6" s="37">
        <f aca="true" t="shared" si="0" ref="E6:E15">D6*100/C6</f>
        <v>106.12244897959184</v>
      </c>
      <c r="F6" s="4">
        <v>0</v>
      </c>
      <c r="G6" s="13">
        <v>180</v>
      </c>
      <c r="H6" s="4">
        <v>180</v>
      </c>
      <c r="I6" s="37">
        <f aca="true" t="shared" si="1" ref="I6:I15">H6*100/G6</f>
        <v>100</v>
      </c>
      <c r="J6" s="13">
        <v>180</v>
      </c>
      <c r="K6" s="84">
        <v>180</v>
      </c>
      <c r="L6" s="37">
        <f aca="true" t="shared" si="2" ref="L6:L19">K6*100/J6</f>
        <v>100</v>
      </c>
      <c r="M6" s="13"/>
      <c r="N6" s="4"/>
      <c r="O6" s="37"/>
      <c r="P6" s="13"/>
      <c r="Q6" s="4"/>
      <c r="R6" s="37"/>
      <c r="S6" s="14"/>
      <c r="T6" s="37"/>
      <c r="U6" s="37"/>
      <c r="AH6" s="74"/>
    </row>
    <row r="7" spans="1:34" s="21" customFormat="1" ht="24.75" customHeight="1">
      <c r="A7" s="4">
        <v>2</v>
      </c>
      <c r="B7" s="23" t="s">
        <v>62</v>
      </c>
      <c r="C7" s="13">
        <v>201</v>
      </c>
      <c r="D7" s="4">
        <v>242</v>
      </c>
      <c r="E7" s="37">
        <f t="shared" si="0"/>
        <v>120.39800995024876</v>
      </c>
      <c r="F7" s="4">
        <v>25</v>
      </c>
      <c r="G7" s="13">
        <v>105</v>
      </c>
      <c r="H7" s="4">
        <v>105</v>
      </c>
      <c r="I7" s="37">
        <f t="shared" si="1"/>
        <v>100</v>
      </c>
      <c r="J7" s="13">
        <v>105</v>
      </c>
      <c r="K7" s="84">
        <v>105</v>
      </c>
      <c r="L7" s="37">
        <f t="shared" si="2"/>
        <v>100</v>
      </c>
      <c r="M7" s="13"/>
      <c r="N7" s="4"/>
      <c r="O7" s="37"/>
      <c r="P7" s="13"/>
      <c r="Q7" s="4"/>
      <c r="R7" s="37"/>
      <c r="S7" s="14"/>
      <c r="T7" s="37"/>
      <c r="U7" s="37"/>
      <c r="AH7" s="74"/>
    </row>
    <row r="8" spans="1:34" s="21" customFormat="1" ht="24.75" customHeight="1">
      <c r="A8" s="4">
        <v>3</v>
      </c>
      <c r="B8" s="23" t="s">
        <v>63</v>
      </c>
      <c r="C8" s="13">
        <v>105</v>
      </c>
      <c r="D8" s="4">
        <v>123</v>
      </c>
      <c r="E8" s="37">
        <f t="shared" si="0"/>
        <v>117.14285714285714</v>
      </c>
      <c r="F8" s="76">
        <v>0</v>
      </c>
      <c r="G8" s="13">
        <v>54</v>
      </c>
      <c r="H8" s="4">
        <v>60</v>
      </c>
      <c r="I8" s="37">
        <f t="shared" si="1"/>
        <v>111.11111111111111</v>
      </c>
      <c r="J8" s="13">
        <v>54</v>
      </c>
      <c r="K8" s="84">
        <v>60</v>
      </c>
      <c r="L8" s="37">
        <f t="shared" si="2"/>
        <v>111.11111111111111</v>
      </c>
      <c r="M8" s="13"/>
      <c r="N8" s="4"/>
      <c r="O8" s="90"/>
      <c r="P8" s="13"/>
      <c r="Q8" s="4"/>
      <c r="R8" s="37"/>
      <c r="S8" s="14"/>
      <c r="T8" s="37"/>
      <c r="U8" s="37"/>
      <c r="AH8" s="74"/>
    </row>
    <row r="9" spans="1:34" s="21" customFormat="1" ht="24.75" customHeight="1">
      <c r="A9" s="4">
        <v>4</v>
      </c>
      <c r="B9" s="23" t="s">
        <v>64</v>
      </c>
      <c r="C9" s="13">
        <v>884</v>
      </c>
      <c r="D9" s="4">
        <v>797</v>
      </c>
      <c r="E9" s="37">
        <f t="shared" si="0"/>
        <v>90.15837104072398</v>
      </c>
      <c r="F9" s="4">
        <v>48</v>
      </c>
      <c r="G9" s="13">
        <v>304</v>
      </c>
      <c r="H9" s="4">
        <v>308</v>
      </c>
      <c r="I9" s="37">
        <f t="shared" si="1"/>
        <v>101.3157894736842</v>
      </c>
      <c r="J9" s="13">
        <v>304</v>
      </c>
      <c r="K9" s="84">
        <v>308</v>
      </c>
      <c r="L9" s="37">
        <f t="shared" si="2"/>
        <v>101.3157894736842</v>
      </c>
      <c r="M9" s="13">
        <v>444</v>
      </c>
      <c r="N9" s="4">
        <v>469</v>
      </c>
      <c r="O9" s="37">
        <f>N9*100/M9</f>
        <v>105.63063063063063</v>
      </c>
      <c r="P9" s="13">
        <v>27</v>
      </c>
      <c r="Q9" s="4">
        <v>20</v>
      </c>
      <c r="R9" s="37">
        <f>Q9*100/P9</f>
        <v>74.07407407407408</v>
      </c>
      <c r="S9" s="13">
        <v>30</v>
      </c>
      <c r="T9" s="4">
        <v>25</v>
      </c>
      <c r="U9" s="37">
        <f>T9*100/S9</f>
        <v>83.33333333333333</v>
      </c>
      <c r="AH9" s="74"/>
    </row>
    <row r="10" spans="1:34" s="21" customFormat="1" ht="24.75" customHeight="1">
      <c r="A10" s="4">
        <v>5</v>
      </c>
      <c r="B10" s="23" t="s">
        <v>65</v>
      </c>
      <c r="C10" s="13">
        <v>495</v>
      </c>
      <c r="D10" s="4">
        <v>500</v>
      </c>
      <c r="E10" s="37">
        <f t="shared" si="0"/>
        <v>101.01010101010101</v>
      </c>
      <c r="F10" s="76">
        <v>7</v>
      </c>
      <c r="G10" s="13">
        <v>250</v>
      </c>
      <c r="H10" s="4">
        <v>280</v>
      </c>
      <c r="I10" s="37">
        <f t="shared" si="1"/>
        <v>112</v>
      </c>
      <c r="J10" s="13">
        <v>250</v>
      </c>
      <c r="K10" s="84">
        <v>280</v>
      </c>
      <c r="L10" s="37">
        <f t="shared" si="2"/>
        <v>112</v>
      </c>
      <c r="M10" s="13">
        <v>326</v>
      </c>
      <c r="N10" s="4">
        <v>434</v>
      </c>
      <c r="O10" s="37">
        <f>N10*100/M10</f>
        <v>133.12883435582822</v>
      </c>
      <c r="P10" s="13">
        <v>80</v>
      </c>
      <c r="Q10" s="4">
        <v>80</v>
      </c>
      <c r="R10" s="37">
        <f>Q10*100/P10</f>
        <v>100</v>
      </c>
      <c r="S10" s="13">
        <v>43</v>
      </c>
      <c r="T10" s="4">
        <v>7</v>
      </c>
      <c r="U10" s="37">
        <f>T10*100/S10</f>
        <v>16.27906976744186</v>
      </c>
      <c r="AH10" s="74"/>
    </row>
    <row r="11" spans="1:34" s="21" customFormat="1" ht="24.75" customHeight="1">
      <c r="A11" s="4">
        <v>6</v>
      </c>
      <c r="B11" s="39" t="s">
        <v>81</v>
      </c>
      <c r="C11" s="13">
        <v>307</v>
      </c>
      <c r="D11" s="4">
        <v>322</v>
      </c>
      <c r="E11" s="37">
        <f t="shared" si="0"/>
        <v>104.88599348534201</v>
      </c>
      <c r="F11" s="76">
        <v>26</v>
      </c>
      <c r="G11" s="13">
        <v>85</v>
      </c>
      <c r="H11" s="4">
        <v>85</v>
      </c>
      <c r="I11" s="37">
        <f t="shared" si="1"/>
        <v>100</v>
      </c>
      <c r="J11" s="13">
        <v>85</v>
      </c>
      <c r="K11" s="84">
        <v>85</v>
      </c>
      <c r="L11" s="37">
        <f t="shared" si="2"/>
        <v>100</v>
      </c>
      <c r="M11" s="13"/>
      <c r="N11" s="4"/>
      <c r="O11" s="37"/>
      <c r="P11" s="13"/>
      <c r="Q11" s="4"/>
      <c r="R11" s="37"/>
      <c r="S11" s="13"/>
      <c r="T11" s="4"/>
      <c r="U11" s="37"/>
      <c r="AH11" s="74"/>
    </row>
    <row r="12" spans="1:34" s="21" customFormat="1" ht="24.75" customHeight="1">
      <c r="A12" s="4">
        <v>7</v>
      </c>
      <c r="B12" s="23" t="s">
        <v>66</v>
      </c>
      <c r="C12" s="13">
        <v>151</v>
      </c>
      <c r="D12" s="4">
        <v>194</v>
      </c>
      <c r="E12" s="37">
        <f t="shared" si="0"/>
        <v>128.47682119205297</v>
      </c>
      <c r="F12" s="4">
        <v>16</v>
      </c>
      <c r="G12" s="13">
        <v>52</v>
      </c>
      <c r="H12" s="4">
        <v>60</v>
      </c>
      <c r="I12" s="37">
        <f t="shared" si="1"/>
        <v>115.38461538461539</v>
      </c>
      <c r="J12" s="13">
        <v>52</v>
      </c>
      <c r="K12" s="84">
        <v>60</v>
      </c>
      <c r="L12" s="37">
        <f t="shared" si="2"/>
        <v>115.38461538461539</v>
      </c>
      <c r="M12" s="13"/>
      <c r="N12" s="4"/>
      <c r="O12" s="37"/>
      <c r="P12" s="13"/>
      <c r="Q12" s="4"/>
      <c r="R12" s="37"/>
      <c r="S12" s="13"/>
      <c r="T12" s="4"/>
      <c r="U12" s="37"/>
      <c r="AH12" s="74"/>
    </row>
    <row r="13" spans="1:34" s="21" customFormat="1" ht="24.75" customHeight="1">
      <c r="A13" s="4">
        <v>8</v>
      </c>
      <c r="B13" s="33" t="s">
        <v>80</v>
      </c>
      <c r="C13" s="13">
        <v>194</v>
      </c>
      <c r="D13" s="4">
        <v>217</v>
      </c>
      <c r="E13" s="37">
        <f t="shared" si="0"/>
        <v>111.85567010309278</v>
      </c>
      <c r="F13" s="4">
        <v>22</v>
      </c>
      <c r="G13" s="13">
        <v>60</v>
      </c>
      <c r="H13" s="4">
        <v>78</v>
      </c>
      <c r="I13" s="37">
        <f t="shared" si="1"/>
        <v>130</v>
      </c>
      <c r="J13" s="13">
        <v>60</v>
      </c>
      <c r="K13" s="84">
        <v>78</v>
      </c>
      <c r="L13" s="37">
        <f t="shared" si="2"/>
        <v>130</v>
      </c>
      <c r="M13" s="13"/>
      <c r="N13" s="4"/>
      <c r="O13" s="37"/>
      <c r="P13" s="13"/>
      <c r="Q13" s="4"/>
      <c r="R13" s="37"/>
      <c r="S13" s="13"/>
      <c r="T13" s="4"/>
      <c r="U13" s="37"/>
      <c r="AH13" s="74"/>
    </row>
    <row r="14" spans="1:34" s="21" customFormat="1" ht="24.75" customHeight="1">
      <c r="A14" s="4">
        <v>9</v>
      </c>
      <c r="B14" s="23" t="s">
        <v>67</v>
      </c>
      <c r="C14" s="13">
        <v>218</v>
      </c>
      <c r="D14" s="4">
        <v>251</v>
      </c>
      <c r="E14" s="37">
        <f t="shared" si="0"/>
        <v>115.13761467889908</v>
      </c>
      <c r="F14" s="4">
        <v>16</v>
      </c>
      <c r="G14" s="13">
        <v>100</v>
      </c>
      <c r="H14" s="4">
        <v>100</v>
      </c>
      <c r="I14" s="37">
        <f t="shared" si="1"/>
        <v>100</v>
      </c>
      <c r="J14" s="13">
        <v>100</v>
      </c>
      <c r="K14" s="84">
        <v>100</v>
      </c>
      <c r="L14" s="37">
        <f t="shared" si="2"/>
        <v>100</v>
      </c>
      <c r="M14" s="13"/>
      <c r="N14" s="4"/>
      <c r="O14" s="37"/>
      <c r="P14" s="13"/>
      <c r="Q14" s="4"/>
      <c r="R14" s="37"/>
      <c r="S14" s="13"/>
      <c r="T14" s="4"/>
      <c r="U14" s="37"/>
      <c r="AH14" s="74"/>
    </row>
    <row r="15" spans="1:34" s="21" customFormat="1" ht="24.75" customHeight="1">
      <c r="A15" s="4">
        <v>10</v>
      </c>
      <c r="B15" s="23" t="s">
        <v>68</v>
      </c>
      <c r="C15" s="13">
        <v>83</v>
      </c>
      <c r="D15" s="4">
        <v>101</v>
      </c>
      <c r="E15" s="37">
        <f t="shared" si="0"/>
        <v>121.6867469879518</v>
      </c>
      <c r="F15" s="4">
        <v>8</v>
      </c>
      <c r="G15" s="13">
        <v>42</v>
      </c>
      <c r="H15" s="4">
        <v>42</v>
      </c>
      <c r="I15" s="37">
        <f t="shared" si="1"/>
        <v>100</v>
      </c>
      <c r="J15" s="13">
        <v>42</v>
      </c>
      <c r="K15" s="84">
        <v>42</v>
      </c>
      <c r="L15" s="37">
        <f t="shared" si="2"/>
        <v>100</v>
      </c>
      <c r="M15" s="13"/>
      <c r="N15" s="4"/>
      <c r="O15" s="37"/>
      <c r="P15" s="13"/>
      <c r="Q15" s="4"/>
      <c r="R15" s="37"/>
      <c r="S15" s="13"/>
      <c r="T15" s="4"/>
      <c r="U15" s="37"/>
      <c r="AH15" s="74"/>
    </row>
    <row r="16" spans="1:34" s="21" customFormat="1" ht="24.75" customHeight="1">
      <c r="A16" s="4">
        <v>11</v>
      </c>
      <c r="B16" s="23" t="s">
        <v>69</v>
      </c>
      <c r="C16" s="4"/>
      <c r="D16" s="4"/>
      <c r="E16" s="37"/>
      <c r="F16" s="4"/>
      <c r="G16" s="4"/>
      <c r="H16" s="4"/>
      <c r="I16" s="37"/>
      <c r="J16" s="4"/>
      <c r="K16" s="84"/>
      <c r="L16" s="37"/>
      <c r="M16" s="13">
        <v>7591</v>
      </c>
      <c r="N16" s="4">
        <v>9202</v>
      </c>
      <c r="O16" s="37">
        <f>N16*100/M16</f>
        <v>121.22250032933738</v>
      </c>
      <c r="P16" s="13">
        <v>220</v>
      </c>
      <c r="Q16" s="4">
        <v>240</v>
      </c>
      <c r="R16" s="37">
        <f>Q16*100/P16</f>
        <v>109.0909090909091</v>
      </c>
      <c r="S16" s="13">
        <v>450</v>
      </c>
      <c r="T16" s="4">
        <v>513</v>
      </c>
      <c r="U16" s="37">
        <f>T16*100/S16</f>
        <v>114</v>
      </c>
      <c r="AH16" s="74"/>
    </row>
    <row r="17" spans="1:34" s="21" customFormat="1" ht="24.75" customHeight="1">
      <c r="A17" s="4">
        <v>12</v>
      </c>
      <c r="B17" s="33" t="s">
        <v>78</v>
      </c>
      <c r="C17" s="4"/>
      <c r="D17" s="4"/>
      <c r="E17" s="37"/>
      <c r="F17" s="4"/>
      <c r="G17" s="4"/>
      <c r="H17" s="4"/>
      <c r="I17" s="37"/>
      <c r="J17" s="4"/>
      <c r="K17" s="4"/>
      <c r="L17" s="37"/>
      <c r="M17" s="4"/>
      <c r="N17" s="4"/>
      <c r="O17" s="37"/>
      <c r="P17" s="4"/>
      <c r="Q17" s="4"/>
      <c r="R17" s="37"/>
      <c r="S17" s="4"/>
      <c r="T17" s="4"/>
      <c r="U17" s="37"/>
      <c r="AH17" s="74"/>
    </row>
    <row r="18" spans="1:34" s="21" customFormat="1" ht="24.75" customHeight="1">
      <c r="A18" s="4">
        <v>13</v>
      </c>
      <c r="B18" s="33" t="s">
        <v>91</v>
      </c>
      <c r="C18" s="4"/>
      <c r="D18" s="4"/>
      <c r="E18" s="37"/>
      <c r="F18" s="4"/>
      <c r="G18" s="4"/>
      <c r="H18" s="4"/>
      <c r="I18" s="37"/>
      <c r="J18" s="4"/>
      <c r="K18" s="4"/>
      <c r="L18" s="37"/>
      <c r="M18" s="4"/>
      <c r="N18" s="4">
        <v>110</v>
      </c>
      <c r="O18" s="37"/>
      <c r="P18" s="4"/>
      <c r="Q18" s="4">
        <v>10</v>
      </c>
      <c r="R18" s="37"/>
      <c r="S18" s="4"/>
      <c r="T18" s="4">
        <v>2</v>
      </c>
      <c r="U18" s="37"/>
      <c r="AH18" s="74"/>
    </row>
    <row r="19" spans="1:21" s="21" customFormat="1" ht="21.75" customHeight="1">
      <c r="A19" s="23"/>
      <c r="B19" s="23" t="s">
        <v>11</v>
      </c>
      <c r="C19" s="4">
        <f>SUM(C6:C16)</f>
        <v>2981</v>
      </c>
      <c r="D19" s="4">
        <f>SUM(D6:D16)</f>
        <v>3111</v>
      </c>
      <c r="E19" s="37">
        <f>D19*100/C19</f>
        <v>104.3609527004361</v>
      </c>
      <c r="F19" s="4">
        <f>SUM(F6:F16)</f>
        <v>168</v>
      </c>
      <c r="G19" s="4">
        <f>SUM(G6:G16)</f>
        <v>1232</v>
      </c>
      <c r="H19" s="4">
        <f>SUM(H6:H16)</f>
        <v>1298</v>
      </c>
      <c r="I19" s="37">
        <f>H19*100/G19</f>
        <v>105.35714285714286</v>
      </c>
      <c r="J19" s="4">
        <v>1232</v>
      </c>
      <c r="K19" s="37">
        <f>SUM(K6:K18)</f>
        <v>1298</v>
      </c>
      <c r="L19" s="37">
        <f t="shared" si="2"/>
        <v>105.35714285714286</v>
      </c>
      <c r="M19" s="4">
        <f>SUM(M9:M16)</f>
        <v>8361</v>
      </c>
      <c r="N19" s="4">
        <f>SUM(N6:N18)</f>
        <v>10215</v>
      </c>
      <c r="O19" s="37">
        <f>N19*100/M19</f>
        <v>122.17438105489774</v>
      </c>
      <c r="P19" s="4">
        <f>SUM(P6:P16)</f>
        <v>327</v>
      </c>
      <c r="Q19" s="4">
        <f>SUM(Q6:Q18)</f>
        <v>350</v>
      </c>
      <c r="R19" s="37">
        <f>Q19*100/P19</f>
        <v>107.03363914373088</v>
      </c>
      <c r="S19" s="4">
        <f>SUM(S6:S16)</f>
        <v>523</v>
      </c>
      <c r="T19" s="37">
        <f>SUM(T6:T18)</f>
        <v>547</v>
      </c>
      <c r="U19" s="37">
        <f>T19*100/S19</f>
        <v>104.58891013384321</v>
      </c>
    </row>
  </sheetData>
  <mergeCells count="18">
    <mergeCell ref="M4:M5"/>
    <mergeCell ref="B3:B5"/>
    <mergeCell ref="G4:G5"/>
    <mergeCell ref="H4:H5"/>
    <mergeCell ref="D4:D5"/>
    <mergeCell ref="C4:C5"/>
    <mergeCell ref="G3:I3"/>
    <mergeCell ref="F3:F5"/>
    <mergeCell ref="C3:E3"/>
    <mergeCell ref="J3:L3"/>
    <mergeCell ref="J4:J5"/>
    <mergeCell ref="K4:K5"/>
    <mergeCell ref="L4:L5"/>
    <mergeCell ref="M3:U3"/>
    <mergeCell ref="O4:O5"/>
    <mergeCell ref="N4:N5"/>
    <mergeCell ref="R4:R5"/>
    <mergeCell ref="U4:U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1"/>
  <sheetViews>
    <sheetView view="pageBreakPreview" zoomScale="75" zoomScaleNormal="75" zoomScaleSheetLayoutView="75" workbookViewId="0" topLeftCell="A1">
      <selection activeCell="D6" sqref="D6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1"/>
      <c r="B2" s="21"/>
      <c r="C2" s="21"/>
      <c r="D2" s="1" t="s">
        <v>107</v>
      </c>
      <c r="E2" s="1"/>
      <c r="F2" s="1"/>
      <c r="G2" s="1"/>
      <c r="H2" s="1"/>
      <c r="I2" s="1"/>
      <c r="J2" s="1"/>
      <c r="K2" s="1"/>
      <c r="L2" s="21"/>
      <c r="M2" s="21"/>
      <c r="N2" s="21"/>
    </row>
    <row r="3" spans="1:14" ht="15">
      <c r="A3" s="167" t="s">
        <v>59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12.75">
      <c r="A4" s="150" t="s">
        <v>2</v>
      </c>
      <c r="B4" s="152" t="s">
        <v>3</v>
      </c>
      <c r="C4" s="155" t="s">
        <v>87</v>
      </c>
      <c r="D4" s="176"/>
      <c r="E4" s="173"/>
      <c r="F4" s="168" t="s">
        <v>70</v>
      </c>
      <c r="G4" s="169"/>
      <c r="H4" s="168" t="s">
        <v>86</v>
      </c>
      <c r="I4" s="172"/>
      <c r="J4" s="173"/>
      <c r="K4" s="168" t="s">
        <v>84</v>
      </c>
      <c r="L4" s="169"/>
      <c r="M4" s="168" t="s">
        <v>85</v>
      </c>
      <c r="N4" s="169"/>
    </row>
    <row r="5" spans="1:14" ht="31.5" customHeight="1">
      <c r="A5" s="166"/>
      <c r="B5" s="153"/>
      <c r="C5" s="177"/>
      <c r="D5" s="178"/>
      <c r="E5" s="179"/>
      <c r="F5" s="170"/>
      <c r="G5" s="171"/>
      <c r="H5" s="170"/>
      <c r="I5" s="174"/>
      <c r="J5" s="175"/>
      <c r="K5" s="170"/>
      <c r="L5" s="171"/>
      <c r="M5" s="170"/>
      <c r="N5" s="171"/>
    </row>
    <row r="6" spans="1:14" ht="30">
      <c r="A6" s="151"/>
      <c r="B6" s="154"/>
      <c r="C6" s="4">
        <v>2010</v>
      </c>
      <c r="D6" s="20">
        <v>2011</v>
      </c>
      <c r="E6" s="85" t="s">
        <v>98</v>
      </c>
      <c r="F6" s="4">
        <v>2010</v>
      </c>
      <c r="G6" s="20">
        <v>2011</v>
      </c>
      <c r="H6" s="4">
        <v>2010</v>
      </c>
      <c r="I6" s="20">
        <v>2011</v>
      </c>
      <c r="J6" s="85" t="s">
        <v>98</v>
      </c>
      <c r="K6" s="23" t="s">
        <v>1</v>
      </c>
      <c r="L6" s="25" t="s">
        <v>35</v>
      </c>
      <c r="M6" s="39" t="s">
        <v>47</v>
      </c>
      <c r="N6" s="52" t="s">
        <v>48</v>
      </c>
    </row>
    <row r="7" spans="1:14" ht="16.5" customHeight="1">
      <c r="A7" s="32">
        <v>1</v>
      </c>
      <c r="B7" s="23" t="s">
        <v>64</v>
      </c>
      <c r="C7" s="32">
        <v>162</v>
      </c>
      <c r="D7" s="32">
        <v>106</v>
      </c>
      <c r="E7" s="32">
        <f>D7-C7</f>
        <v>-56</v>
      </c>
      <c r="F7" s="32">
        <v>67</v>
      </c>
      <c r="G7" s="32">
        <v>106</v>
      </c>
      <c r="H7" s="61">
        <f>F7*100/27</f>
        <v>248.14814814814815</v>
      </c>
      <c r="I7" s="61">
        <f>G7*100/20</f>
        <v>530</v>
      </c>
      <c r="J7" s="60">
        <f>I7-H7</f>
        <v>281.85185185185185</v>
      </c>
      <c r="K7" s="32">
        <v>13</v>
      </c>
      <c r="L7" s="32">
        <v>13</v>
      </c>
      <c r="M7" s="82">
        <f>G7/L7</f>
        <v>8.153846153846153</v>
      </c>
      <c r="N7" s="82"/>
    </row>
    <row r="8" spans="1:15" ht="16.5" customHeight="1">
      <c r="A8" s="32">
        <v>2</v>
      </c>
      <c r="B8" s="32" t="s">
        <v>65</v>
      </c>
      <c r="C8" s="32">
        <v>160</v>
      </c>
      <c r="D8" s="32">
        <v>80</v>
      </c>
      <c r="E8" s="32">
        <f>D8-C8</f>
        <v>-80</v>
      </c>
      <c r="F8" s="32">
        <v>128</v>
      </c>
      <c r="G8" s="32">
        <v>80</v>
      </c>
      <c r="H8" s="61">
        <f>F8*100/80</f>
        <v>160</v>
      </c>
      <c r="I8" s="61">
        <f>G8*100/80</f>
        <v>100</v>
      </c>
      <c r="J8" s="60">
        <f>I8-H8</f>
        <v>-60</v>
      </c>
      <c r="K8" s="33">
        <v>13</v>
      </c>
      <c r="L8" s="33">
        <v>13</v>
      </c>
      <c r="M8" s="82">
        <f>G8/L8</f>
        <v>6.153846153846154</v>
      </c>
      <c r="N8" s="82"/>
      <c r="O8" s="16"/>
    </row>
    <row r="9" spans="1:14" ht="16.5" customHeight="1">
      <c r="A9" s="32">
        <v>3</v>
      </c>
      <c r="B9" s="33" t="s">
        <v>69</v>
      </c>
      <c r="C9" s="32">
        <v>1631</v>
      </c>
      <c r="D9" s="32">
        <v>2569</v>
      </c>
      <c r="E9" s="32">
        <f>D9-C9</f>
        <v>938</v>
      </c>
      <c r="F9" s="32">
        <v>929</v>
      </c>
      <c r="G9" s="32">
        <v>1565</v>
      </c>
      <c r="H9" s="61">
        <f>F9*100/200</f>
        <v>464.5</v>
      </c>
      <c r="I9" s="61">
        <f>G9*100/226</f>
        <v>692.4778761061947</v>
      </c>
      <c r="J9" s="60">
        <f>I9-H9</f>
        <v>227.97787610619469</v>
      </c>
      <c r="K9" s="33">
        <v>307</v>
      </c>
      <c r="L9" s="33">
        <v>172</v>
      </c>
      <c r="M9" s="82">
        <f>G9/L9</f>
        <v>9.098837209302326</v>
      </c>
      <c r="N9" s="82">
        <f>(D9-G9)/(K9-L9)</f>
        <v>7.437037037037037</v>
      </c>
    </row>
    <row r="10" spans="1:14" ht="16.5" customHeight="1">
      <c r="A10" s="32">
        <v>4</v>
      </c>
      <c r="B10" s="33" t="s">
        <v>91</v>
      </c>
      <c r="C10" s="32"/>
      <c r="D10" s="32">
        <v>15</v>
      </c>
      <c r="E10" s="32"/>
      <c r="F10" s="32"/>
      <c r="G10" s="32">
        <v>15</v>
      </c>
      <c r="H10" s="61"/>
      <c r="I10" s="61">
        <f>G10*100/11</f>
        <v>136.36363636363637</v>
      </c>
      <c r="J10" s="60"/>
      <c r="K10" s="33">
        <v>2</v>
      </c>
      <c r="L10" s="33">
        <v>2</v>
      </c>
      <c r="M10" s="82">
        <f>G10/L10</f>
        <v>7.5</v>
      </c>
      <c r="N10" s="82"/>
    </row>
    <row r="11" spans="1:14" ht="15" customHeight="1">
      <c r="A11" s="21"/>
      <c r="B11" s="32" t="s">
        <v>11</v>
      </c>
      <c r="C11" s="32">
        <f>SUM(C7:C9)</f>
        <v>1953</v>
      </c>
      <c r="D11" s="32">
        <f>SUM(D7:D10)</f>
        <v>2770</v>
      </c>
      <c r="E11" s="32">
        <f>D11-C11</f>
        <v>817</v>
      </c>
      <c r="F11" s="32">
        <f>SUM(F7:F9)</f>
        <v>1124</v>
      </c>
      <c r="G11" s="32">
        <f>SUM(G7:G10)</f>
        <v>1766</v>
      </c>
      <c r="H11" s="61">
        <f>F11*100/307</f>
        <v>366.1237785016287</v>
      </c>
      <c r="I11" s="61">
        <f>G11*100/337</f>
        <v>524.0356083086053</v>
      </c>
      <c r="J11" s="60">
        <f>I11-H11</f>
        <v>157.91182980697664</v>
      </c>
      <c r="K11" s="60">
        <f>SUM(K7:K10)</f>
        <v>335</v>
      </c>
      <c r="L11" s="60">
        <f>SUM(L7:L10)</f>
        <v>200</v>
      </c>
      <c r="M11" s="82">
        <f>G11/L11</f>
        <v>8.83</v>
      </c>
      <c r="N11" s="82">
        <f>(D11-G11)/(K11-L11)</f>
        <v>7.437037037037037</v>
      </c>
    </row>
  </sheetData>
  <mergeCells count="8">
    <mergeCell ref="A3:N3"/>
    <mergeCell ref="F4:G5"/>
    <mergeCell ref="K4:L5"/>
    <mergeCell ref="M4:N5"/>
    <mergeCell ref="B4:B6"/>
    <mergeCell ref="A4:A6"/>
    <mergeCell ref="H4:J5"/>
    <mergeCell ref="C4:E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5" zoomScaleSheetLayoutView="65" workbookViewId="0" topLeftCell="A1">
      <selection activeCell="D6" sqref="D6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>
      <c r="A1" s="21"/>
      <c r="B1" s="21"/>
      <c r="C1" s="1" t="s">
        <v>106</v>
      </c>
      <c r="D1" s="1"/>
      <c r="E1" s="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150" t="s">
        <v>2</v>
      </c>
      <c r="B2" s="150" t="s">
        <v>3</v>
      </c>
      <c r="C2" s="25" t="s">
        <v>37</v>
      </c>
      <c r="D2" s="26"/>
      <c r="E2" s="28"/>
      <c r="F2" s="50" t="s">
        <v>38</v>
      </c>
      <c r="G2" s="26"/>
      <c r="H2" s="28"/>
      <c r="I2" s="25" t="s">
        <v>39</v>
      </c>
      <c r="J2" s="26"/>
      <c r="K2" s="28"/>
      <c r="L2" s="25" t="s">
        <v>40</v>
      </c>
      <c r="M2" s="26"/>
      <c r="N2" s="28"/>
    </row>
    <row r="3" spans="1:14" ht="15">
      <c r="A3" s="166"/>
      <c r="B3" s="166"/>
      <c r="C3" s="19">
        <v>2010</v>
      </c>
      <c r="D3" s="20">
        <v>2011</v>
      </c>
      <c r="E3" s="10" t="s">
        <v>36</v>
      </c>
      <c r="F3" s="19">
        <v>2010</v>
      </c>
      <c r="G3" s="20">
        <v>2011</v>
      </c>
      <c r="H3" s="10" t="s">
        <v>36</v>
      </c>
      <c r="I3" s="19">
        <v>2010</v>
      </c>
      <c r="J3" s="20">
        <v>2011</v>
      </c>
      <c r="K3" s="10" t="s">
        <v>36</v>
      </c>
      <c r="L3" s="19">
        <v>2010</v>
      </c>
      <c r="M3" s="20">
        <v>2011</v>
      </c>
      <c r="N3" s="10" t="s">
        <v>36</v>
      </c>
    </row>
    <row r="4" spans="1:14" ht="15">
      <c r="A4" s="151"/>
      <c r="B4" s="151"/>
      <c r="C4" s="30"/>
      <c r="D4" s="30"/>
      <c r="E4" s="46" t="s">
        <v>97</v>
      </c>
      <c r="F4" s="30"/>
      <c r="G4" s="30"/>
      <c r="H4" s="46" t="s">
        <v>97</v>
      </c>
      <c r="I4" s="30"/>
      <c r="J4" s="30"/>
      <c r="K4" s="46" t="s">
        <v>97</v>
      </c>
      <c r="L4" s="30"/>
      <c r="M4" s="30"/>
      <c r="N4" s="46" t="s">
        <v>97</v>
      </c>
    </row>
    <row r="5" spans="1:14" ht="16.5" customHeight="1">
      <c r="A5" s="32">
        <v>1</v>
      </c>
      <c r="B5" s="32" t="s">
        <v>61</v>
      </c>
      <c r="C5" s="13">
        <v>53</v>
      </c>
      <c r="D5" s="13">
        <v>50</v>
      </c>
      <c r="E5" s="17">
        <f aca="true" t="shared" si="0" ref="E5:E14">D5-C5</f>
        <v>-3</v>
      </c>
      <c r="F5" s="13">
        <v>17</v>
      </c>
      <c r="G5" s="13">
        <v>6</v>
      </c>
      <c r="H5" s="17">
        <f aca="true" t="shared" si="1" ref="H5:H14">G5-F5</f>
        <v>-11</v>
      </c>
      <c r="I5" s="13"/>
      <c r="J5" s="13"/>
      <c r="K5" s="13"/>
      <c r="L5" s="13"/>
      <c r="M5" s="13"/>
      <c r="N5" s="13"/>
    </row>
    <row r="6" spans="1:14" ht="16.5" customHeight="1">
      <c r="A6" s="32">
        <v>2</v>
      </c>
      <c r="B6" s="32" t="s">
        <v>62</v>
      </c>
      <c r="C6" s="13">
        <v>40</v>
      </c>
      <c r="D6" s="13">
        <v>27</v>
      </c>
      <c r="E6" s="17">
        <f t="shared" si="0"/>
        <v>-13</v>
      </c>
      <c r="F6" s="13"/>
      <c r="G6" s="13">
        <v>9</v>
      </c>
      <c r="H6" s="17">
        <f t="shared" si="1"/>
        <v>9</v>
      </c>
      <c r="I6" s="13"/>
      <c r="J6" s="13"/>
      <c r="K6" s="13"/>
      <c r="L6" s="13"/>
      <c r="M6" s="13"/>
      <c r="N6" s="13"/>
    </row>
    <row r="7" spans="1:14" ht="16.5" customHeight="1">
      <c r="A7" s="32">
        <v>3</v>
      </c>
      <c r="B7" s="32" t="s">
        <v>63</v>
      </c>
      <c r="C7" s="13">
        <v>16</v>
      </c>
      <c r="D7" s="13">
        <v>16</v>
      </c>
      <c r="E7" s="17">
        <f t="shared" si="0"/>
        <v>0</v>
      </c>
      <c r="F7" s="13">
        <v>2</v>
      </c>
      <c r="G7" s="13"/>
      <c r="H7" s="17">
        <f t="shared" si="1"/>
        <v>-2</v>
      </c>
      <c r="I7" s="13"/>
      <c r="J7" s="13"/>
      <c r="K7" s="13"/>
      <c r="L7" s="13"/>
      <c r="M7" s="13"/>
      <c r="N7" s="13"/>
    </row>
    <row r="8" spans="1:14" ht="16.5" customHeight="1">
      <c r="A8" s="32">
        <v>4</v>
      </c>
      <c r="B8" s="23" t="s">
        <v>64</v>
      </c>
      <c r="C8" s="13">
        <v>122</v>
      </c>
      <c r="D8" s="13">
        <v>81</v>
      </c>
      <c r="E8" s="17">
        <f t="shared" si="0"/>
        <v>-41</v>
      </c>
      <c r="F8" s="13">
        <v>14</v>
      </c>
      <c r="G8" s="13"/>
      <c r="H8" s="17">
        <f t="shared" si="1"/>
        <v>-14</v>
      </c>
      <c r="I8" s="13">
        <v>15</v>
      </c>
      <c r="J8" s="13">
        <v>29</v>
      </c>
      <c r="K8" s="13">
        <f>J8-I8</f>
        <v>14</v>
      </c>
      <c r="L8" s="13"/>
      <c r="M8" s="13">
        <v>8</v>
      </c>
      <c r="N8" s="13">
        <f>M8-L8</f>
        <v>8</v>
      </c>
    </row>
    <row r="9" spans="1:14" ht="16.5" customHeight="1">
      <c r="A9" s="32">
        <v>5</v>
      </c>
      <c r="B9" s="32" t="s">
        <v>65</v>
      </c>
      <c r="C9" s="13">
        <v>126</v>
      </c>
      <c r="D9" s="13">
        <v>72</v>
      </c>
      <c r="E9" s="17">
        <f t="shared" si="0"/>
        <v>-54</v>
      </c>
      <c r="F9" s="13">
        <v>5</v>
      </c>
      <c r="G9" s="13"/>
      <c r="H9" s="17">
        <f t="shared" si="1"/>
        <v>-5</v>
      </c>
      <c r="I9" s="13">
        <v>55</v>
      </c>
      <c r="J9" s="13">
        <v>38</v>
      </c>
      <c r="K9" s="13">
        <f>J9-I9</f>
        <v>-17</v>
      </c>
      <c r="L9" s="13">
        <v>1</v>
      </c>
      <c r="M9" s="13"/>
      <c r="N9" s="13">
        <f>M9-L9</f>
        <v>-1</v>
      </c>
    </row>
    <row r="10" spans="1:14" ht="16.5" customHeight="1">
      <c r="A10" s="32">
        <v>6</v>
      </c>
      <c r="B10" s="33" t="s">
        <v>81</v>
      </c>
      <c r="C10" s="13">
        <v>34</v>
      </c>
      <c r="D10" s="13">
        <v>16</v>
      </c>
      <c r="E10" s="17">
        <f t="shared" si="0"/>
        <v>-18</v>
      </c>
      <c r="F10" s="13">
        <v>6</v>
      </c>
      <c r="G10" s="13"/>
      <c r="H10" s="17">
        <f t="shared" si="1"/>
        <v>-6</v>
      </c>
      <c r="I10" s="13"/>
      <c r="J10" s="13"/>
      <c r="K10" s="13"/>
      <c r="L10" s="13"/>
      <c r="M10" s="13"/>
      <c r="N10" s="13"/>
    </row>
    <row r="11" spans="1:14" ht="16.5" customHeight="1">
      <c r="A11" s="32">
        <v>7</v>
      </c>
      <c r="B11" s="33" t="s">
        <v>66</v>
      </c>
      <c r="C11" s="13">
        <v>16</v>
      </c>
      <c r="D11" s="13">
        <v>20</v>
      </c>
      <c r="E11" s="17">
        <f t="shared" si="0"/>
        <v>4</v>
      </c>
      <c r="F11" s="13"/>
      <c r="G11" s="13">
        <v>1</v>
      </c>
      <c r="H11" s="17">
        <f t="shared" si="1"/>
        <v>1</v>
      </c>
      <c r="I11" s="13"/>
      <c r="J11" s="13"/>
      <c r="K11" s="13"/>
      <c r="L11" s="13"/>
      <c r="M11" s="13"/>
      <c r="N11" s="13"/>
    </row>
    <row r="12" spans="1:14" ht="16.5" customHeight="1">
      <c r="A12" s="32">
        <v>8</v>
      </c>
      <c r="B12" s="33" t="s">
        <v>80</v>
      </c>
      <c r="C12" s="13">
        <v>69</v>
      </c>
      <c r="D12" s="17">
        <v>27</v>
      </c>
      <c r="E12" s="17">
        <f t="shared" si="0"/>
        <v>-42</v>
      </c>
      <c r="F12" s="13">
        <v>16</v>
      </c>
      <c r="G12" s="13"/>
      <c r="H12" s="17">
        <f t="shared" si="1"/>
        <v>-16</v>
      </c>
      <c r="I12" s="13"/>
      <c r="J12" s="13"/>
      <c r="K12" s="13"/>
      <c r="L12" s="13"/>
      <c r="M12" s="13"/>
      <c r="N12" s="13"/>
    </row>
    <row r="13" spans="1:14" ht="16.5" customHeight="1">
      <c r="A13" s="32">
        <v>9</v>
      </c>
      <c r="B13" s="33" t="s">
        <v>67</v>
      </c>
      <c r="C13" s="13">
        <v>24</v>
      </c>
      <c r="D13" s="13">
        <v>25</v>
      </c>
      <c r="E13" s="17">
        <f t="shared" si="0"/>
        <v>1</v>
      </c>
      <c r="F13" s="13">
        <v>10</v>
      </c>
      <c r="G13" s="13">
        <v>5</v>
      </c>
      <c r="H13" s="17">
        <f t="shared" si="1"/>
        <v>-5</v>
      </c>
      <c r="I13" s="13"/>
      <c r="J13" s="13"/>
      <c r="K13" s="13"/>
      <c r="L13" s="13"/>
      <c r="M13" s="13"/>
      <c r="N13" s="13"/>
    </row>
    <row r="14" spans="1:14" ht="16.5" customHeight="1">
      <c r="A14" s="32">
        <v>10</v>
      </c>
      <c r="B14" s="33" t="s">
        <v>68</v>
      </c>
      <c r="C14" s="13">
        <v>30</v>
      </c>
      <c r="D14" s="13">
        <v>13</v>
      </c>
      <c r="E14" s="17">
        <f t="shared" si="0"/>
        <v>-17</v>
      </c>
      <c r="F14" s="13"/>
      <c r="G14" s="13"/>
      <c r="H14" s="17">
        <f t="shared" si="1"/>
        <v>0</v>
      </c>
      <c r="I14" s="13"/>
      <c r="J14" s="13"/>
      <c r="K14" s="13"/>
      <c r="L14" s="13"/>
      <c r="M14" s="13"/>
      <c r="N14" s="13"/>
    </row>
    <row r="15" spans="1:14" ht="16.5" customHeight="1">
      <c r="A15" s="32">
        <v>11</v>
      </c>
      <c r="B15" s="33" t="s">
        <v>69</v>
      </c>
      <c r="C15" s="13"/>
      <c r="D15" s="17"/>
      <c r="E15" s="17"/>
      <c r="F15" s="17"/>
      <c r="G15" s="17"/>
      <c r="H15" s="17"/>
      <c r="I15" s="13">
        <v>560</v>
      </c>
      <c r="J15" s="13">
        <v>558</v>
      </c>
      <c r="K15" s="13">
        <f>J15-I15</f>
        <v>-2</v>
      </c>
      <c r="L15" s="13">
        <v>270</v>
      </c>
      <c r="M15" s="13">
        <v>210</v>
      </c>
      <c r="N15" s="13">
        <f>M15-L15</f>
        <v>-60</v>
      </c>
    </row>
    <row r="16" spans="1:14" ht="16.5" customHeight="1">
      <c r="A16" s="32">
        <v>12</v>
      </c>
      <c r="B16" s="33" t="s">
        <v>91</v>
      </c>
      <c r="C16" s="13"/>
      <c r="D16" s="17"/>
      <c r="E16" s="17"/>
      <c r="F16" s="17"/>
      <c r="G16" s="17"/>
      <c r="H16" s="17"/>
      <c r="I16" s="13"/>
      <c r="J16" s="13"/>
      <c r="K16" s="13"/>
      <c r="L16" s="13"/>
      <c r="M16" s="13"/>
      <c r="N16" s="13"/>
    </row>
    <row r="17" spans="1:14" ht="21" customHeight="1">
      <c r="A17" s="180" t="s">
        <v>11</v>
      </c>
      <c r="B17" s="181"/>
      <c r="C17" s="13">
        <f>SUM(C5:C14)</f>
        <v>530</v>
      </c>
      <c r="D17" s="13">
        <f>SUM(D5:D16)</f>
        <v>347</v>
      </c>
      <c r="E17" s="13">
        <f>D17-C17</f>
        <v>-183</v>
      </c>
      <c r="F17" s="13">
        <f>SUM(F5:F15)</f>
        <v>70</v>
      </c>
      <c r="G17" s="13">
        <f>SUM(G5:G16)</f>
        <v>21</v>
      </c>
      <c r="H17" s="13">
        <f>G17-F17</f>
        <v>-49</v>
      </c>
      <c r="I17" s="13">
        <f>SUM(I5:I15)</f>
        <v>630</v>
      </c>
      <c r="J17" s="13">
        <f>SUM(J5:J16)</f>
        <v>625</v>
      </c>
      <c r="K17" s="13">
        <f>J17-I17</f>
        <v>-5</v>
      </c>
      <c r="L17" s="13">
        <f>SUM(L8:L15)</f>
        <v>271</v>
      </c>
      <c r="M17" s="13">
        <f>SUM(M5:M16)</f>
        <v>218</v>
      </c>
      <c r="N17" s="13">
        <f>M17-L17</f>
        <v>-53</v>
      </c>
    </row>
  </sheetData>
  <mergeCells count="3">
    <mergeCell ref="B2:B4"/>
    <mergeCell ref="A2:A4"/>
    <mergeCell ref="A17:B17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5" zoomScaleSheetLayoutView="65" workbookViewId="0" topLeftCell="A1">
      <selection activeCell="E8" sqref="E8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82" t="s">
        <v>105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">
      <c r="A2" s="167" t="s">
        <v>88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">
      <c r="A4" s="146" t="s">
        <v>2</v>
      </c>
      <c r="B4" s="146" t="s">
        <v>3</v>
      </c>
      <c r="C4" s="25" t="s">
        <v>27</v>
      </c>
      <c r="D4" s="26"/>
      <c r="E4" s="28"/>
      <c r="F4" s="6" t="s">
        <v>28</v>
      </c>
      <c r="G4" s="8"/>
      <c r="H4" s="24" t="s">
        <v>30</v>
      </c>
      <c r="I4" s="35" t="s">
        <v>31</v>
      </c>
      <c r="J4" s="22"/>
      <c r="K4" s="24" t="s">
        <v>30</v>
      </c>
      <c r="L4" s="51" t="s">
        <v>33</v>
      </c>
      <c r="M4" s="22"/>
      <c r="N4" s="24" t="s">
        <v>30</v>
      </c>
    </row>
    <row r="5" spans="1:14" ht="15">
      <c r="A5" s="184"/>
      <c r="B5" s="184"/>
      <c r="C5" s="19">
        <v>2010</v>
      </c>
      <c r="D5" s="20">
        <v>2011</v>
      </c>
      <c r="E5" s="20" t="s">
        <v>94</v>
      </c>
      <c r="F5" s="19">
        <v>2010</v>
      </c>
      <c r="G5" s="20">
        <v>2011</v>
      </c>
      <c r="H5" s="45" t="s">
        <v>29</v>
      </c>
      <c r="I5" s="31" t="s">
        <v>32</v>
      </c>
      <c r="J5" s="29"/>
      <c r="K5" s="45" t="s">
        <v>29</v>
      </c>
      <c r="L5" s="53" t="s">
        <v>34</v>
      </c>
      <c r="M5" s="29"/>
      <c r="N5" s="45" t="s">
        <v>29</v>
      </c>
    </row>
    <row r="6" spans="1:14" ht="15">
      <c r="A6" s="184"/>
      <c r="B6" s="184"/>
      <c r="C6" s="41"/>
      <c r="D6" s="12"/>
      <c r="E6" s="12" t="s">
        <v>95</v>
      </c>
      <c r="F6" s="30"/>
      <c r="G6" s="29"/>
      <c r="H6" s="30" t="s">
        <v>96</v>
      </c>
      <c r="I6" s="19">
        <v>2010</v>
      </c>
      <c r="J6" s="20">
        <v>2011</v>
      </c>
      <c r="K6" s="30" t="s">
        <v>96</v>
      </c>
      <c r="L6" s="19">
        <v>2010</v>
      </c>
      <c r="M6" s="20">
        <v>2011</v>
      </c>
      <c r="N6" s="30" t="s">
        <v>96</v>
      </c>
    </row>
    <row r="7" spans="1:14" ht="16.5" customHeight="1">
      <c r="A7" s="32">
        <v>1</v>
      </c>
      <c r="B7" s="32" t="s">
        <v>61</v>
      </c>
      <c r="C7" s="37">
        <v>60</v>
      </c>
      <c r="D7" s="37">
        <v>72</v>
      </c>
      <c r="E7" s="37">
        <f aca="true" t="shared" si="0" ref="E7:E17">D7*100/C7</f>
        <v>120</v>
      </c>
      <c r="F7" s="37">
        <v>60</v>
      </c>
      <c r="G7" s="37">
        <v>62</v>
      </c>
      <c r="H7" s="37">
        <f aca="true" t="shared" si="1" ref="H7:H17">G7-F7</f>
        <v>2</v>
      </c>
      <c r="I7" s="37">
        <f>F7*100/180</f>
        <v>33.333333333333336</v>
      </c>
      <c r="J7" s="37">
        <f>G7*100/180</f>
        <v>34.44444444444444</v>
      </c>
      <c r="K7" s="37">
        <f aca="true" t="shared" si="2" ref="K7:K17">J7-I7</f>
        <v>1.1111111111111072</v>
      </c>
      <c r="L7" s="37">
        <f>(C7-F7)*100/180</f>
        <v>0</v>
      </c>
      <c r="M7" s="37">
        <f>(D7-G7)*100/180</f>
        <v>5.555555555555555</v>
      </c>
      <c r="N7" s="37">
        <f>M7-L7</f>
        <v>5.555555555555555</v>
      </c>
    </row>
    <row r="8" spans="1:14" ht="16.5" customHeight="1">
      <c r="A8" s="32">
        <v>2</v>
      </c>
      <c r="B8" s="32" t="s">
        <v>62</v>
      </c>
      <c r="C8" s="37">
        <v>39</v>
      </c>
      <c r="D8" s="37">
        <v>62</v>
      </c>
      <c r="E8" s="37">
        <f t="shared" si="0"/>
        <v>158.97435897435898</v>
      </c>
      <c r="F8" s="37">
        <v>39</v>
      </c>
      <c r="G8" s="37">
        <v>53</v>
      </c>
      <c r="H8" s="37">
        <f t="shared" si="1"/>
        <v>14</v>
      </c>
      <c r="I8" s="37">
        <f>F8*100/105</f>
        <v>37.142857142857146</v>
      </c>
      <c r="J8" s="37">
        <f>G8*100/105</f>
        <v>50.476190476190474</v>
      </c>
      <c r="K8" s="37">
        <f>J8-I8</f>
        <v>13.333333333333329</v>
      </c>
      <c r="L8" s="37">
        <f>(C8-F8)*100/105</f>
        <v>0</v>
      </c>
      <c r="M8" s="37">
        <f>(D8-G8)*100/105</f>
        <v>8.571428571428571</v>
      </c>
      <c r="N8" s="37">
        <f>M8-L8</f>
        <v>8.571428571428571</v>
      </c>
    </row>
    <row r="9" spans="1:14" ht="16.5" customHeight="1">
      <c r="A9" s="32">
        <v>3</v>
      </c>
      <c r="B9" s="32" t="s">
        <v>63</v>
      </c>
      <c r="C9" s="37">
        <v>16</v>
      </c>
      <c r="D9" s="37">
        <v>25</v>
      </c>
      <c r="E9" s="37">
        <f t="shared" si="0"/>
        <v>156.25</v>
      </c>
      <c r="F9" s="37">
        <v>16</v>
      </c>
      <c r="G9" s="37">
        <v>25</v>
      </c>
      <c r="H9" s="37">
        <f t="shared" si="1"/>
        <v>9</v>
      </c>
      <c r="I9" s="37">
        <f>F9*100/54</f>
        <v>29.62962962962963</v>
      </c>
      <c r="J9" s="37">
        <f>G9*100/60</f>
        <v>41.666666666666664</v>
      </c>
      <c r="K9" s="37">
        <f>J9-I9</f>
        <v>12.037037037037035</v>
      </c>
      <c r="L9" s="37">
        <f>(C9-F9)*100/54</f>
        <v>0</v>
      </c>
      <c r="M9" s="37">
        <f>(D9-G9)*100/60</f>
        <v>0</v>
      </c>
      <c r="N9" s="37">
        <f>M9-L9</f>
        <v>0</v>
      </c>
    </row>
    <row r="10" spans="1:14" ht="16.5" customHeight="1">
      <c r="A10" s="32">
        <v>4</v>
      </c>
      <c r="B10" s="23" t="s">
        <v>64</v>
      </c>
      <c r="C10" s="37">
        <v>37</v>
      </c>
      <c r="D10" s="37">
        <v>67</v>
      </c>
      <c r="E10" s="37">
        <f t="shared" si="0"/>
        <v>181.0810810810811</v>
      </c>
      <c r="F10" s="37">
        <v>36</v>
      </c>
      <c r="G10" s="37">
        <v>60</v>
      </c>
      <c r="H10" s="37">
        <f t="shared" si="1"/>
        <v>24</v>
      </c>
      <c r="I10" s="37">
        <f>F10*100/304</f>
        <v>11.842105263157896</v>
      </c>
      <c r="J10" s="37">
        <f>G10*100/308</f>
        <v>19.48051948051948</v>
      </c>
      <c r="K10" s="37">
        <f t="shared" si="2"/>
        <v>7.638414217361584</v>
      </c>
      <c r="L10" s="37">
        <f>(C10-F10)*100/304</f>
        <v>0.32894736842105265</v>
      </c>
      <c r="M10" s="37">
        <f>(D10-G10)*100/308</f>
        <v>2.272727272727273</v>
      </c>
      <c r="N10" s="37">
        <f aca="true" t="shared" si="3" ref="N10:N17">M10-L10</f>
        <v>1.9437799043062203</v>
      </c>
    </row>
    <row r="11" spans="1:14" ht="16.5" customHeight="1">
      <c r="A11" s="32">
        <v>5</v>
      </c>
      <c r="B11" s="32" t="s">
        <v>65</v>
      </c>
      <c r="C11" s="37">
        <v>44</v>
      </c>
      <c r="D11" s="37">
        <v>43</v>
      </c>
      <c r="E11" s="37">
        <f t="shared" si="0"/>
        <v>97.72727272727273</v>
      </c>
      <c r="F11" s="37">
        <v>36</v>
      </c>
      <c r="G11" s="37">
        <v>43</v>
      </c>
      <c r="H11" s="37">
        <f t="shared" si="1"/>
        <v>7</v>
      </c>
      <c r="I11" s="37">
        <f>F11*100/250</f>
        <v>14.4</v>
      </c>
      <c r="J11" s="37">
        <f>G11*100/280</f>
        <v>15.357142857142858</v>
      </c>
      <c r="K11" s="37">
        <f t="shared" si="2"/>
        <v>0.9571428571428573</v>
      </c>
      <c r="L11" s="37">
        <f>(C11-F11)*100/250</f>
        <v>3.2</v>
      </c>
      <c r="M11" s="37">
        <f>(D11-G11)*100/280</f>
        <v>0</v>
      </c>
      <c r="N11" s="37">
        <f t="shared" si="3"/>
        <v>-3.2</v>
      </c>
    </row>
    <row r="12" spans="1:14" ht="16.5" customHeight="1">
      <c r="A12" s="32">
        <v>6</v>
      </c>
      <c r="B12" s="33" t="s">
        <v>81</v>
      </c>
      <c r="C12" s="77">
        <v>40</v>
      </c>
      <c r="D12" s="77">
        <v>27</v>
      </c>
      <c r="E12" s="37">
        <f t="shared" si="0"/>
        <v>67.5</v>
      </c>
      <c r="F12" s="77">
        <v>39</v>
      </c>
      <c r="G12" s="77">
        <v>27</v>
      </c>
      <c r="H12" s="37">
        <f t="shared" si="1"/>
        <v>-12</v>
      </c>
      <c r="I12" s="77">
        <f>F12*100/85</f>
        <v>45.88235294117647</v>
      </c>
      <c r="J12" s="77">
        <f>G12*100/85</f>
        <v>31.764705882352942</v>
      </c>
      <c r="K12" s="37">
        <f t="shared" si="2"/>
        <v>-14.117647058823529</v>
      </c>
      <c r="L12" s="37">
        <f>(C12-F12)*100/85</f>
        <v>1.1764705882352942</v>
      </c>
      <c r="M12" s="37">
        <f>(D12-G12)*100/85</f>
        <v>0</v>
      </c>
      <c r="N12" s="77">
        <f t="shared" si="3"/>
        <v>-1.1764705882352942</v>
      </c>
    </row>
    <row r="13" spans="1:14" ht="16.5" customHeight="1">
      <c r="A13" s="32">
        <v>7</v>
      </c>
      <c r="B13" s="33" t="s">
        <v>66</v>
      </c>
      <c r="C13" s="77">
        <v>20</v>
      </c>
      <c r="D13" s="77">
        <v>48</v>
      </c>
      <c r="E13" s="37">
        <f t="shared" si="0"/>
        <v>240</v>
      </c>
      <c r="F13" s="77">
        <v>20</v>
      </c>
      <c r="G13" s="77">
        <v>42</v>
      </c>
      <c r="H13" s="37">
        <f t="shared" si="1"/>
        <v>22</v>
      </c>
      <c r="I13" s="77">
        <f>F13*100/52</f>
        <v>38.46153846153846</v>
      </c>
      <c r="J13" s="77">
        <f>G13*100/60</f>
        <v>70</v>
      </c>
      <c r="K13" s="37">
        <f t="shared" si="2"/>
        <v>31.53846153846154</v>
      </c>
      <c r="L13" s="37">
        <f>(C13-F13)*100/52</f>
        <v>0</v>
      </c>
      <c r="M13" s="37">
        <f>(D13-G13)*100/60</f>
        <v>10</v>
      </c>
      <c r="N13" s="77">
        <f t="shared" si="3"/>
        <v>10</v>
      </c>
    </row>
    <row r="14" spans="1:14" ht="16.5" customHeight="1">
      <c r="A14" s="32">
        <v>8</v>
      </c>
      <c r="B14" s="33" t="s">
        <v>80</v>
      </c>
      <c r="C14" s="77">
        <v>45</v>
      </c>
      <c r="D14" s="77">
        <v>48</v>
      </c>
      <c r="E14" s="37">
        <f t="shared" si="0"/>
        <v>106.66666666666667</v>
      </c>
      <c r="F14" s="77">
        <v>45</v>
      </c>
      <c r="G14" s="77">
        <v>48</v>
      </c>
      <c r="H14" s="37">
        <f t="shared" si="1"/>
        <v>3</v>
      </c>
      <c r="I14" s="77">
        <f>F14*100/60</f>
        <v>75</v>
      </c>
      <c r="J14" s="77">
        <f>G14*100/78</f>
        <v>61.53846153846154</v>
      </c>
      <c r="K14" s="37">
        <f t="shared" si="2"/>
        <v>-13.46153846153846</v>
      </c>
      <c r="L14" s="37">
        <f>(C14-F14)*100/60</f>
        <v>0</v>
      </c>
      <c r="M14" s="37">
        <f>(D14-G14)*100/78</f>
        <v>0</v>
      </c>
      <c r="N14" s="77">
        <f t="shared" si="3"/>
        <v>0</v>
      </c>
    </row>
    <row r="15" spans="1:14" ht="16.5" customHeight="1">
      <c r="A15" s="32">
        <v>9</v>
      </c>
      <c r="B15" s="33" t="s">
        <v>67</v>
      </c>
      <c r="C15" s="77">
        <v>34</v>
      </c>
      <c r="D15" s="77">
        <v>25</v>
      </c>
      <c r="E15" s="37">
        <f t="shared" si="0"/>
        <v>73.52941176470588</v>
      </c>
      <c r="F15" s="77">
        <v>32</v>
      </c>
      <c r="G15" s="77">
        <v>25</v>
      </c>
      <c r="H15" s="37">
        <f t="shared" si="1"/>
        <v>-7</v>
      </c>
      <c r="I15" s="77">
        <f>F15*100/100</f>
        <v>32</v>
      </c>
      <c r="J15" s="77">
        <f>G15*100/100</f>
        <v>25</v>
      </c>
      <c r="K15" s="37">
        <f t="shared" si="2"/>
        <v>-7</v>
      </c>
      <c r="L15" s="37">
        <f>(C15-F15)*100/100</f>
        <v>2</v>
      </c>
      <c r="M15" s="37">
        <f>(D15-G15)*100/100</f>
        <v>0</v>
      </c>
      <c r="N15" s="77">
        <f t="shared" si="3"/>
        <v>-2</v>
      </c>
    </row>
    <row r="16" spans="1:14" ht="16.5" customHeight="1">
      <c r="A16" s="32">
        <v>10</v>
      </c>
      <c r="B16" s="33" t="s">
        <v>68</v>
      </c>
      <c r="C16" s="77">
        <v>24</v>
      </c>
      <c r="D16" s="77">
        <v>26</v>
      </c>
      <c r="E16" s="37">
        <f t="shared" si="0"/>
        <v>108.33333333333333</v>
      </c>
      <c r="F16" s="77">
        <v>24</v>
      </c>
      <c r="G16" s="77">
        <v>26</v>
      </c>
      <c r="H16" s="37">
        <f t="shared" si="1"/>
        <v>2</v>
      </c>
      <c r="I16" s="77">
        <f>F16*100/42</f>
        <v>57.142857142857146</v>
      </c>
      <c r="J16" s="77">
        <f>G16*100/42</f>
        <v>61.904761904761905</v>
      </c>
      <c r="K16" s="37">
        <f t="shared" si="2"/>
        <v>4.761904761904759</v>
      </c>
      <c r="L16" s="37">
        <f>(C16-F16)*100/42</f>
        <v>0</v>
      </c>
      <c r="M16" s="37">
        <f>(D16-G16)*100/42</f>
        <v>0</v>
      </c>
      <c r="N16" s="77">
        <f t="shared" si="3"/>
        <v>0</v>
      </c>
    </row>
    <row r="17" spans="1:14" ht="16.5" customHeight="1">
      <c r="A17" s="180" t="s">
        <v>79</v>
      </c>
      <c r="B17" s="183"/>
      <c r="C17" s="37">
        <f>SUM(C7:C16)</f>
        <v>359</v>
      </c>
      <c r="D17" s="4">
        <f>SUM(D7:D16)</f>
        <v>443</v>
      </c>
      <c r="E17" s="37">
        <f t="shared" si="0"/>
        <v>123.3983286908078</v>
      </c>
      <c r="F17" s="4">
        <f>SUM(F7:F16)</f>
        <v>347</v>
      </c>
      <c r="G17" s="4">
        <f>SUM(G7:G16)</f>
        <v>411</v>
      </c>
      <c r="H17" s="37">
        <f t="shared" si="1"/>
        <v>64</v>
      </c>
      <c r="I17" s="37">
        <f>F17*100/1232</f>
        <v>28.165584415584416</v>
      </c>
      <c r="J17" s="37">
        <f>G17*100/1298</f>
        <v>31.664098613251156</v>
      </c>
      <c r="K17" s="37">
        <f t="shared" si="2"/>
        <v>3.49851419766674</v>
      </c>
      <c r="L17" s="37">
        <f>(C17-F17)*100/1232</f>
        <v>0.974025974025974</v>
      </c>
      <c r="M17" s="37">
        <f>(D17-G17)*100/1298</f>
        <v>2.4653312788906008</v>
      </c>
      <c r="N17" s="37">
        <f t="shared" si="3"/>
        <v>1.4913053048646268</v>
      </c>
    </row>
  </sheetData>
  <mergeCells count="5">
    <mergeCell ref="A2:N2"/>
    <mergeCell ref="A1:N1"/>
    <mergeCell ref="A17:B17"/>
    <mergeCell ref="B4:B6"/>
    <mergeCell ref="A4:A6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70" zoomScaleNormal="75" zoomScaleSheetLayoutView="70" workbookViewId="0" topLeftCell="A1">
      <selection activeCell="C5" sqref="C5"/>
    </sheetView>
  </sheetViews>
  <sheetFormatPr defaultColWidth="9.00390625" defaultRowHeight="12.75"/>
  <cols>
    <col min="1" max="1" width="3.75390625" style="21" customWidth="1"/>
    <col min="2" max="2" width="29.75390625" style="21" customWidth="1"/>
    <col min="3" max="3" width="12.125" style="21" customWidth="1"/>
    <col min="4" max="4" width="14.625" style="21" customWidth="1"/>
    <col min="5" max="5" width="13.00390625" style="21" customWidth="1"/>
    <col min="6" max="6" width="13.25390625" style="21" customWidth="1"/>
    <col min="7" max="16384" width="9.125" style="21" customWidth="1"/>
  </cols>
  <sheetData>
    <row r="1" spans="1:9" ht="15.75" customHeight="1">
      <c r="A1" s="167" t="s">
        <v>12</v>
      </c>
      <c r="B1" s="167"/>
      <c r="C1" s="167"/>
      <c r="D1" s="167"/>
      <c r="E1" s="167"/>
      <c r="F1" s="167"/>
      <c r="G1" s="62"/>
      <c r="H1" s="62"/>
      <c r="I1" s="62"/>
    </row>
    <row r="2" spans="1:9" ht="15.75">
      <c r="A2" s="185" t="s">
        <v>104</v>
      </c>
      <c r="B2" s="185"/>
      <c r="C2" s="185"/>
      <c r="D2" s="185"/>
      <c r="E2" s="185"/>
      <c r="F2" s="185"/>
      <c r="G2" s="62"/>
      <c r="H2" s="62"/>
      <c r="I2" s="62"/>
    </row>
    <row r="3" spans="1:9" ht="15">
      <c r="A3" s="5" t="s">
        <v>2</v>
      </c>
      <c r="B3" s="5" t="s">
        <v>3</v>
      </c>
      <c r="C3" s="6" t="s">
        <v>45</v>
      </c>
      <c r="D3" s="7"/>
      <c r="E3" s="6" t="s">
        <v>46</v>
      </c>
      <c r="F3" s="8"/>
      <c r="G3" s="62"/>
      <c r="H3" s="62"/>
      <c r="I3" s="62"/>
    </row>
    <row r="4" spans="1:9" ht="15">
      <c r="A4" s="9"/>
      <c r="B4" s="9"/>
      <c r="C4" s="19">
        <v>2010</v>
      </c>
      <c r="D4" s="20">
        <v>2011</v>
      </c>
      <c r="E4" s="19">
        <v>2010</v>
      </c>
      <c r="F4" s="20">
        <v>2011</v>
      </c>
      <c r="G4" s="62"/>
      <c r="H4" s="62"/>
      <c r="I4" s="62"/>
    </row>
    <row r="5" spans="1:9" ht="15">
      <c r="A5" s="4">
        <v>1</v>
      </c>
      <c r="B5" s="23" t="s">
        <v>61</v>
      </c>
      <c r="C5" s="37">
        <f>(молоко!C6*1000)/1875</f>
        <v>45.70666666666666</v>
      </c>
      <c r="D5" s="37">
        <f>(молоко!D6*1000)/1875</f>
        <v>51.946666666666665</v>
      </c>
      <c r="E5" s="37">
        <f>(мясо!C7*1000)/1875</f>
        <v>4.32</v>
      </c>
      <c r="F5" s="37">
        <f>(мясо!D7*1000)/1875</f>
        <v>8</v>
      </c>
      <c r="H5" s="62"/>
      <c r="I5" s="62"/>
    </row>
    <row r="6" spans="1:9" ht="15">
      <c r="A6" s="4">
        <v>2</v>
      </c>
      <c r="B6" s="23" t="s">
        <v>62</v>
      </c>
      <c r="C6" s="37">
        <f>(молоко!C7*1000)/799</f>
        <v>83.85481852315394</v>
      </c>
      <c r="D6" s="37">
        <f>(молоко!D7*1000)/799</f>
        <v>65.08135168961202</v>
      </c>
      <c r="E6" s="37">
        <f>(мясо!C8*1000)/799</f>
        <v>1.2515644555694618</v>
      </c>
      <c r="F6" s="37">
        <f>(мясо!D8*1000)/799</f>
        <v>5.882352941176471</v>
      </c>
      <c r="H6" s="62"/>
      <c r="I6" s="62"/>
    </row>
    <row r="7" spans="1:9" ht="15">
      <c r="A7" s="4">
        <v>3</v>
      </c>
      <c r="B7" s="23" t="s">
        <v>63</v>
      </c>
      <c r="C7" s="37">
        <f>(молоко!C8*1000)/2025</f>
        <v>20.493827160493826</v>
      </c>
      <c r="D7" s="37">
        <f>(молоко!D8*1000)/2025</f>
        <v>25.679012345679013</v>
      </c>
      <c r="E7" s="37">
        <f>(мясо!C9*1000)/2025</f>
        <v>0.26666666666666666</v>
      </c>
      <c r="F7" s="37">
        <f>(мясо!D9*1000)/2025</f>
        <v>1.4320987654320987</v>
      </c>
      <c r="H7" s="62"/>
      <c r="I7" s="62"/>
    </row>
    <row r="8" spans="1:9" ht="15">
      <c r="A8" s="4">
        <v>4</v>
      </c>
      <c r="B8" s="39" t="s">
        <v>64</v>
      </c>
      <c r="C8" s="37">
        <f>(молоко!C9*1000)/2478</f>
        <v>90.27441485068604</v>
      </c>
      <c r="D8" s="37">
        <f>(молоко!D9*1000)/2478</f>
        <v>69.04761904761905</v>
      </c>
      <c r="E8" s="37">
        <f>(мясо!C10*1000)/2478</f>
        <v>7.506053268765133</v>
      </c>
      <c r="F8" s="37">
        <f>(мясо!D10*1000)/2478</f>
        <v>21.428571428571427</v>
      </c>
      <c r="H8" s="62"/>
      <c r="I8" s="62"/>
    </row>
    <row r="9" spans="1:9" ht="15">
      <c r="A9" s="4">
        <v>5</v>
      </c>
      <c r="B9" s="23" t="s">
        <v>65</v>
      </c>
      <c r="C9" s="37">
        <f>(молоко!C10*1000)/2157</f>
        <v>74.17709782104775</v>
      </c>
      <c r="D9" s="37">
        <f>(молоко!D10*1000)/2157</f>
        <v>50.99675475197033</v>
      </c>
      <c r="E9" s="37">
        <f>(мясо!C11*1000)/2157</f>
        <v>6.768660176170608</v>
      </c>
      <c r="F9" s="37">
        <f>(мясо!D11*1000)/2157</f>
        <v>8.344923504867872</v>
      </c>
      <c r="H9" s="62"/>
      <c r="I9" s="62"/>
    </row>
    <row r="10" spans="1:9" ht="15">
      <c r="A10" s="4">
        <v>6</v>
      </c>
      <c r="B10" s="39" t="s">
        <v>81</v>
      </c>
      <c r="C10" s="37">
        <f>(молоко!C11*1000)/859</f>
        <v>110.12805587892899</v>
      </c>
      <c r="D10" s="37">
        <f>(молоко!D11*1000)/859</f>
        <v>105.82072176949941</v>
      </c>
      <c r="E10" s="37">
        <f>(мясо!C12*1000)/859</f>
        <v>10.244470314318976</v>
      </c>
      <c r="F10" s="37">
        <f>(мясо!D12*1000)/859</f>
        <v>5.70430733410943</v>
      </c>
      <c r="H10" s="62"/>
      <c r="I10" s="62"/>
    </row>
    <row r="11" spans="1:9" ht="15">
      <c r="A11" s="4">
        <v>7</v>
      </c>
      <c r="B11" s="39" t="s">
        <v>66</v>
      </c>
      <c r="C11" s="37">
        <f>(молоко!C12*1000)/1482</f>
        <v>26.11336032388664</v>
      </c>
      <c r="D11" s="37">
        <f>(молоко!D12*1000)/1482</f>
        <v>43.04993252361673</v>
      </c>
      <c r="E11" s="37">
        <f>(мясо!C13*1000)/1482</f>
        <v>0</v>
      </c>
      <c r="F11" s="37">
        <f>(мясо!D13*1000)/1482</f>
        <v>0</v>
      </c>
      <c r="H11" s="62"/>
      <c r="I11" s="62"/>
    </row>
    <row r="12" spans="1:9" ht="15.75" customHeight="1">
      <c r="A12" s="4">
        <v>8</v>
      </c>
      <c r="B12" s="33" t="s">
        <v>80</v>
      </c>
      <c r="C12" s="77">
        <f>(молоко!C13*1000)/1077</f>
        <v>76.32311977715878</v>
      </c>
      <c r="D12" s="77">
        <f>(молоко!D13*1000)/1077</f>
        <v>99.322191272052</v>
      </c>
      <c r="E12" s="77">
        <f>(мясо!C14*1000)/1077</f>
        <v>4.178272980501393</v>
      </c>
      <c r="F12" s="37">
        <f>(мясо!D14*1000)/1077</f>
        <v>4.8282265552460535</v>
      </c>
      <c r="H12" s="62"/>
      <c r="I12" s="62"/>
    </row>
    <row r="13" spans="1:9" ht="15">
      <c r="A13" s="4">
        <v>9</v>
      </c>
      <c r="B13" s="39" t="s">
        <v>67</v>
      </c>
      <c r="C13" s="77">
        <f>(молоко!C14*1000)/1084</f>
        <v>34.77859778597786</v>
      </c>
      <c r="D13" s="77">
        <f>(молоко!D14*1000)/1084</f>
        <v>59.96309963099631</v>
      </c>
      <c r="E13" s="77">
        <f>(мясо!C15*1000)/1084</f>
        <v>4.797047970479705</v>
      </c>
      <c r="F13" s="37">
        <f>(мясо!D15*1000)/1084</f>
        <v>2.7675276752767526</v>
      </c>
      <c r="H13" s="62"/>
      <c r="I13" s="62"/>
    </row>
    <row r="14" spans="1:9" ht="15">
      <c r="A14" s="4">
        <v>10</v>
      </c>
      <c r="B14" s="39" t="s">
        <v>68</v>
      </c>
      <c r="C14" s="77">
        <f>(молоко!C15*1000)/674</f>
        <v>59.05044510385757</v>
      </c>
      <c r="D14" s="77">
        <f>(молоко!D15*1000)/674</f>
        <v>52.07715133531157</v>
      </c>
      <c r="E14" s="77">
        <f>(мясо!C16*1000)/674</f>
        <v>1.1127596439169138</v>
      </c>
      <c r="F14" s="37">
        <f>(мясо!D16*1000)/674</f>
        <v>4.56973293768546</v>
      </c>
      <c r="H14" s="62"/>
      <c r="I14" s="62"/>
    </row>
    <row r="15" spans="1:9" ht="15">
      <c r="A15" s="4">
        <v>11</v>
      </c>
      <c r="B15" s="39" t="s">
        <v>69</v>
      </c>
      <c r="C15" s="77"/>
      <c r="D15" s="77"/>
      <c r="E15" s="77">
        <f>(мясо!C17*1000)/983</f>
        <v>174.97456765005086</v>
      </c>
      <c r="F15" s="37">
        <f>(мясо!D17*1000)/983</f>
        <v>190.23397761953206</v>
      </c>
      <c r="H15" s="62"/>
      <c r="I15" s="62"/>
    </row>
    <row r="16" spans="1:6" ht="15">
      <c r="A16" s="180" t="s">
        <v>11</v>
      </c>
      <c r="B16" s="181"/>
      <c r="C16" s="77">
        <f>(молоко!C16*1000)/22877</f>
        <v>38.06880272763038</v>
      </c>
      <c r="D16" s="77">
        <f>(молоко!D16*1000)/22877</f>
        <v>36.904751497136864</v>
      </c>
      <c r="E16" s="77">
        <f>(мясо!C19*1000)/22877</f>
        <v>10.232547973947632</v>
      </c>
      <c r="F16" s="37">
        <f>(мясо!D19*1000)/22877</f>
        <v>13.025309262578135</v>
      </c>
    </row>
  </sheetData>
  <mergeCells count="3">
    <mergeCell ref="A1:F1"/>
    <mergeCell ref="A2:F2"/>
    <mergeCell ref="A16:B16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Normal="75" zoomScaleSheetLayoutView="70" workbookViewId="0" topLeftCell="A1">
      <selection activeCell="D5" sqref="D5"/>
    </sheetView>
  </sheetViews>
  <sheetFormatPr defaultColWidth="9.00390625" defaultRowHeight="12.75"/>
  <cols>
    <col min="1" max="1" width="3.375" style="109" customWidth="1"/>
    <col min="2" max="2" width="32.25390625" style="109" customWidth="1"/>
    <col min="3" max="3" width="10.375" style="109" customWidth="1"/>
    <col min="4" max="4" width="11.375" style="109" customWidth="1"/>
    <col min="5" max="5" width="14.25390625" style="109" customWidth="1"/>
    <col min="6" max="6" width="13.875" style="109" customWidth="1"/>
    <col min="7" max="7" width="12.25390625" style="109" customWidth="1"/>
    <col min="8" max="8" width="11.125" style="109" customWidth="1"/>
    <col min="9" max="9" width="10.625" style="109" customWidth="1"/>
    <col min="10" max="10" width="14.75390625" style="109" customWidth="1"/>
    <col min="11" max="11" width="13.625" style="109" customWidth="1"/>
    <col min="12" max="12" width="7.75390625" style="109" customWidth="1"/>
    <col min="13" max="13" width="7.875" style="109" customWidth="1"/>
    <col min="14" max="16384" width="9.125" style="109" customWidth="1"/>
  </cols>
  <sheetData>
    <row r="1" spans="1:11" ht="18">
      <c r="A1" s="106"/>
      <c r="B1" s="107"/>
      <c r="C1" s="108" t="s">
        <v>103</v>
      </c>
      <c r="D1" s="108"/>
      <c r="E1" s="108"/>
      <c r="F1" s="107"/>
      <c r="G1" s="107"/>
      <c r="H1" s="107"/>
      <c r="I1" s="107"/>
      <c r="J1" s="107"/>
      <c r="K1" s="107"/>
    </row>
    <row r="2" spans="1:11" ht="18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8">
      <c r="A3" s="186" t="s">
        <v>2</v>
      </c>
      <c r="B3" s="189" t="s">
        <v>3</v>
      </c>
      <c r="C3" s="110" t="s">
        <v>13</v>
      </c>
      <c r="D3" s="111"/>
      <c r="E3" s="112"/>
      <c r="F3" s="113" t="s">
        <v>14</v>
      </c>
      <c r="G3" s="114" t="s">
        <v>17</v>
      </c>
      <c r="H3" s="115" t="s">
        <v>19</v>
      </c>
      <c r="I3" s="116"/>
      <c r="J3" s="117"/>
      <c r="K3" s="117" t="s">
        <v>20</v>
      </c>
    </row>
    <row r="4" spans="1:11" ht="18">
      <c r="A4" s="187"/>
      <c r="B4" s="187"/>
      <c r="C4" s="118">
        <v>2010</v>
      </c>
      <c r="D4" s="113">
        <v>2011</v>
      </c>
      <c r="E4" s="113" t="s">
        <v>94</v>
      </c>
      <c r="F4" s="119" t="s">
        <v>15</v>
      </c>
      <c r="G4" s="120" t="s">
        <v>18</v>
      </c>
      <c r="H4" s="118">
        <v>2010</v>
      </c>
      <c r="I4" s="113">
        <v>2011</v>
      </c>
      <c r="J4" s="113" t="s">
        <v>94</v>
      </c>
      <c r="K4" s="121" t="s">
        <v>21</v>
      </c>
    </row>
    <row r="5" spans="1:11" ht="18">
      <c r="A5" s="188"/>
      <c r="B5" s="188"/>
      <c r="C5" s="122"/>
      <c r="D5" s="123"/>
      <c r="E5" s="123" t="s">
        <v>95</v>
      </c>
      <c r="F5" s="123" t="s">
        <v>16</v>
      </c>
      <c r="G5" s="124"/>
      <c r="H5" s="122"/>
      <c r="I5" s="123"/>
      <c r="J5" s="123" t="s">
        <v>95</v>
      </c>
      <c r="K5" s="125" t="s">
        <v>0</v>
      </c>
    </row>
    <row r="6" spans="1:11" ht="16.5" customHeight="1">
      <c r="A6" s="33">
        <v>1</v>
      </c>
      <c r="B6" s="54" t="s">
        <v>61</v>
      </c>
      <c r="C6" s="17">
        <v>85.7</v>
      </c>
      <c r="D6" s="17">
        <v>97.4</v>
      </c>
      <c r="E6" s="18">
        <f aca="true" t="shared" si="0" ref="E6:E15">D6/C6*100</f>
        <v>113.65227537922988</v>
      </c>
      <c r="F6" s="17">
        <v>68.7</v>
      </c>
      <c r="G6" s="18">
        <f aca="true" t="shared" si="1" ref="G6:G15">F6/D6*100</f>
        <v>70.53388090349075</v>
      </c>
      <c r="H6" s="18">
        <f>C6/'численность 1'!J6*1000</f>
        <v>476.11111111111114</v>
      </c>
      <c r="I6" s="18">
        <f>D6/'численность 1'!K6*1000</f>
        <v>541.1111111111111</v>
      </c>
      <c r="J6" s="18">
        <f aca="true" t="shared" si="2" ref="J6:J16">I6/H6*100</f>
        <v>113.65227537922986</v>
      </c>
      <c r="K6" s="17">
        <v>130.3</v>
      </c>
    </row>
    <row r="7" spans="1:11" ht="16.5" customHeight="1">
      <c r="A7" s="33">
        <v>2</v>
      </c>
      <c r="B7" s="54" t="s">
        <v>62</v>
      </c>
      <c r="C7" s="17">
        <v>67</v>
      </c>
      <c r="D7" s="17">
        <v>52</v>
      </c>
      <c r="E7" s="18">
        <f t="shared" si="0"/>
        <v>77.61194029850746</v>
      </c>
      <c r="F7" s="17">
        <v>38</v>
      </c>
      <c r="G7" s="18">
        <f t="shared" si="1"/>
        <v>73.07692307692307</v>
      </c>
      <c r="H7" s="18">
        <f>C7/'численность 1'!J7*1000</f>
        <v>638.0952380952381</v>
      </c>
      <c r="I7" s="18">
        <f>D7/'численность 1'!K7*1000</f>
        <v>495.23809523809524</v>
      </c>
      <c r="J7" s="18">
        <f t="shared" si="2"/>
        <v>77.61194029850746</v>
      </c>
      <c r="K7" s="17"/>
    </row>
    <row r="8" spans="1:11" ht="16.5" customHeight="1">
      <c r="A8" s="33">
        <v>3</v>
      </c>
      <c r="B8" s="54" t="s">
        <v>63</v>
      </c>
      <c r="C8" s="17">
        <v>41.5</v>
      </c>
      <c r="D8" s="17">
        <v>52</v>
      </c>
      <c r="E8" s="18">
        <f t="shared" si="0"/>
        <v>125.30120481927712</v>
      </c>
      <c r="F8" s="17">
        <v>34</v>
      </c>
      <c r="G8" s="18">
        <f t="shared" si="1"/>
        <v>65.38461538461539</v>
      </c>
      <c r="H8" s="18">
        <f>C8/'численность 1'!J8*1000</f>
        <v>768.5185185185185</v>
      </c>
      <c r="I8" s="18">
        <f>D8/'численность 1'!K8*1000</f>
        <v>866.6666666666667</v>
      </c>
      <c r="J8" s="18">
        <f t="shared" si="2"/>
        <v>112.77108433734941</v>
      </c>
      <c r="K8" s="17"/>
    </row>
    <row r="9" spans="1:11" ht="16.5" customHeight="1">
      <c r="A9" s="33">
        <v>4</v>
      </c>
      <c r="B9" s="54" t="s">
        <v>64</v>
      </c>
      <c r="C9" s="17">
        <v>223.7</v>
      </c>
      <c r="D9" s="17">
        <v>171.1</v>
      </c>
      <c r="E9" s="18">
        <f t="shared" si="0"/>
        <v>76.48636566830577</v>
      </c>
      <c r="F9" s="17">
        <v>154.5</v>
      </c>
      <c r="G9" s="18">
        <f t="shared" si="1"/>
        <v>90.29807130333138</v>
      </c>
      <c r="H9" s="18">
        <f>C9/'численность 1'!J9*1000</f>
        <v>735.8552631578947</v>
      </c>
      <c r="I9" s="18">
        <f>D9/'численность 1'!K9*1000</f>
        <v>555.5194805194806</v>
      </c>
      <c r="J9" s="18">
        <f t="shared" si="2"/>
        <v>75.49303624404206</v>
      </c>
      <c r="K9" s="17"/>
    </row>
    <row r="10" spans="1:11" ht="16.5" customHeight="1">
      <c r="A10" s="33">
        <v>5</v>
      </c>
      <c r="B10" s="54" t="s">
        <v>65</v>
      </c>
      <c r="C10" s="17">
        <v>160</v>
      </c>
      <c r="D10" s="17">
        <v>110</v>
      </c>
      <c r="E10" s="18">
        <f t="shared" si="0"/>
        <v>68.75</v>
      </c>
      <c r="F10" s="17">
        <v>89</v>
      </c>
      <c r="G10" s="18">
        <f t="shared" si="1"/>
        <v>80.9090909090909</v>
      </c>
      <c r="H10" s="18">
        <f>C10/'численность 1'!J10*1000</f>
        <v>640</v>
      </c>
      <c r="I10" s="18">
        <f>D10/'численность 1'!K10*1000</f>
        <v>392.85714285714283</v>
      </c>
      <c r="J10" s="18">
        <f t="shared" si="2"/>
        <v>61.38392857142857</v>
      </c>
      <c r="K10" s="17"/>
    </row>
    <row r="11" spans="1:11" ht="16.5" customHeight="1">
      <c r="A11" s="33">
        <v>6</v>
      </c>
      <c r="B11" s="54" t="s">
        <v>81</v>
      </c>
      <c r="C11" s="17">
        <v>94.6</v>
      </c>
      <c r="D11" s="17">
        <v>90.9</v>
      </c>
      <c r="E11" s="18">
        <f t="shared" si="0"/>
        <v>96.08879492600424</v>
      </c>
      <c r="F11" s="17">
        <v>66.1</v>
      </c>
      <c r="G11" s="18">
        <f t="shared" si="1"/>
        <v>72.7172717271727</v>
      </c>
      <c r="H11" s="18">
        <f>C11/'численность 1'!J11*1000</f>
        <v>1112.941176470588</v>
      </c>
      <c r="I11" s="18">
        <f>D11/'численность 1'!K11*1000</f>
        <v>1069.4117647058824</v>
      </c>
      <c r="J11" s="18">
        <f t="shared" si="2"/>
        <v>96.08879492600425</v>
      </c>
      <c r="K11" s="17">
        <v>25.5</v>
      </c>
    </row>
    <row r="12" spans="1:11" ht="16.5" customHeight="1">
      <c r="A12" s="33">
        <v>7</v>
      </c>
      <c r="B12" s="54" t="s">
        <v>66</v>
      </c>
      <c r="C12" s="17">
        <v>38.7</v>
      </c>
      <c r="D12" s="17">
        <v>63.8</v>
      </c>
      <c r="E12" s="18">
        <f t="shared" si="0"/>
        <v>164.85788113695088</v>
      </c>
      <c r="F12" s="17">
        <v>54.3</v>
      </c>
      <c r="G12" s="18">
        <f t="shared" si="1"/>
        <v>85.10971786833855</v>
      </c>
      <c r="H12" s="18">
        <f>C12/'численность 1'!J12*1000</f>
        <v>744.2307692307693</v>
      </c>
      <c r="I12" s="18">
        <f>D12/'численность 1'!K12*1000</f>
        <v>1063.3333333333333</v>
      </c>
      <c r="J12" s="18">
        <f t="shared" si="2"/>
        <v>142.87683031869076</v>
      </c>
      <c r="K12" s="17"/>
    </row>
    <row r="13" spans="1:11" ht="16.5" customHeight="1">
      <c r="A13" s="33">
        <v>8</v>
      </c>
      <c r="B13" s="54" t="s">
        <v>80</v>
      </c>
      <c r="C13" s="17">
        <v>82.2</v>
      </c>
      <c r="D13" s="17">
        <v>106.97</v>
      </c>
      <c r="E13" s="18">
        <f t="shared" si="0"/>
        <v>130.13381995133818</v>
      </c>
      <c r="F13" s="17">
        <v>90</v>
      </c>
      <c r="G13" s="18">
        <f t="shared" si="1"/>
        <v>84.13573899224082</v>
      </c>
      <c r="H13" s="18">
        <f>C13/'численность 1'!J13*1000</f>
        <v>1370</v>
      </c>
      <c r="I13" s="18">
        <f>D13/'численность 1'!K13*1000</f>
        <v>1371.4102564102564</v>
      </c>
      <c r="J13" s="18">
        <f t="shared" si="2"/>
        <v>100.10293842410631</v>
      </c>
      <c r="K13" s="17"/>
    </row>
    <row r="14" spans="1:11" ht="16.5" customHeight="1">
      <c r="A14" s="33">
        <v>9</v>
      </c>
      <c r="B14" s="54" t="s">
        <v>67</v>
      </c>
      <c r="C14" s="17">
        <v>37.7</v>
      </c>
      <c r="D14" s="17">
        <v>65</v>
      </c>
      <c r="E14" s="18">
        <f t="shared" si="0"/>
        <v>172.41379310344826</v>
      </c>
      <c r="F14" s="17">
        <v>46</v>
      </c>
      <c r="G14" s="18">
        <f t="shared" si="1"/>
        <v>70.76923076923077</v>
      </c>
      <c r="H14" s="18">
        <f>C14/'численность 1'!J14*1000</f>
        <v>377</v>
      </c>
      <c r="I14" s="18">
        <f>D14/'численность 1'!K14*1000</f>
        <v>650</v>
      </c>
      <c r="J14" s="18">
        <f t="shared" si="2"/>
        <v>172.41379310344826</v>
      </c>
      <c r="K14" s="17"/>
    </row>
    <row r="15" spans="1:11" ht="16.5" customHeight="1">
      <c r="A15" s="33">
        <v>10</v>
      </c>
      <c r="B15" s="54" t="s">
        <v>68</v>
      </c>
      <c r="C15" s="17">
        <v>39.8</v>
      </c>
      <c r="D15" s="17">
        <v>35.1</v>
      </c>
      <c r="E15" s="18">
        <f t="shared" si="0"/>
        <v>88.19095477386935</v>
      </c>
      <c r="F15" s="17">
        <v>18.5</v>
      </c>
      <c r="G15" s="18">
        <f t="shared" si="1"/>
        <v>52.7065527065527</v>
      </c>
      <c r="H15" s="18">
        <f>C15/'численность 1'!J15*1000</f>
        <v>947.6190476190476</v>
      </c>
      <c r="I15" s="18">
        <f>D15/'численность 1'!K15*1000</f>
        <v>835.7142857142858</v>
      </c>
      <c r="J15" s="18">
        <f t="shared" si="2"/>
        <v>88.19095477386935</v>
      </c>
      <c r="K15" s="17"/>
    </row>
    <row r="16" spans="1:11" ht="18">
      <c r="A16" s="190" t="s">
        <v>11</v>
      </c>
      <c r="B16" s="191"/>
      <c r="C16" s="17">
        <f>SUM(C6:C15)</f>
        <v>870.9000000000001</v>
      </c>
      <c r="D16" s="105">
        <f>SUM(D6:D15)</f>
        <v>844.27</v>
      </c>
      <c r="E16" s="18">
        <f>D16/C16*100</f>
        <v>96.94224365598805</v>
      </c>
      <c r="F16" s="105">
        <f>SUM(F6:F15)</f>
        <v>659.0999999999999</v>
      </c>
      <c r="G16" s="18">
        <f>F16/D16*100</f>
        <v>78.0674428796475</v>
      </c>
      <c r="H16" s="18">
        <f>C16/'численность 1'!J19*1000</f>
        <v>706.8993506493507</v>
      </c>
      <c r="I16" s="18">
        <f>D16/'численность 1'!K19*1000</f>
        <v>650.4391371340523</v>
      </c>
      <c r="J16" s="18">
        <f t="shared" si="2"/>
        <v>92.01297702941238</v>
      </c>
      <c r="K16" s="105">
        <f>SUM(K6:K15)</f>
        <v>155.8</v>
      </c>
    </row>
  </sheetData>
  <mergeCells count="3">
    <mergeCell ref="A3:A5"/>
    <mergeCell ref="B3:B5"/>
    <mergeCell ref="A16:B16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cp:lastPrinted>2011-04-13T12:39:44Z</cp:lastPrinted>
  <dcterms:created xsi:type="dcterms:W3CDTF">2002-11-05T10:10:22Z</dcterms:created>
  <dcterms:modified xsi:type="dcterms:W3CDTF">2011-08-31T09:28:28Z</dcterms:modified>
  <cp:category/>
  <cp:version/>
  <cp:contentType/>
  <cp:contentStatus/>
</cp:coreProperties>
</file>