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0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'молоко'!$A$1:$K$21</definedName>
    <definedName name="_xlnm.Print_Area" localSheetId="9">'мясо'!$A$1:$K$23</definedName>
    <definedName name="_xlnm.Print_Area" localSheetId="7">'на 100 га'!$A$1:$F$17</definedName>
    <definedName name="_xlnm.Print_Area" localSheetId="0">'пало1'!$A$1:$V$23</definedName>
    <definedName name="_xlnm.Print_Area" localSheetId="1">'привес'!$A$1:$T$23</definedName>
    <definedName name="_xlnm.Print_Area" localSheetId="4">'приплод 2'!$A$1:$P$13</definedName>
    <definedName name="_xlnm.Print_Area" localSheetId="3">'численность 1'!$A$1:$U$23</definedName>
    <definedName name="_xlnm.Print_Area" localSheetId="2">'численность 2'!$A$1:$M$23</definedName>
  </definedNames>
  <calcPr fullCalcOnLoad="1"/>
</workbook>
</file>

<file path=xl/sharedStrings.xml><?xml version="1.0" encoding="utf-8"?>
<sst xmlns="http://schemas.openxmlformats.org/spreadsheetml/2006/main" count="306" uniqueCount="120">
  <si>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</si>
  <si>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</si>
  <si>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</si>
  <si>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</si>
  <si>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</si>
  <si>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</si>
  <si>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</si>
  <si>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</si>
  <si>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</si>
  <si>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</si>
  <si>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</si>
  <si>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</si>
  <si>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</si>
  <si>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</si>
  <si>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</si>
  <si>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</si>
  <si>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</si>
  <si>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</si>
  <si>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</si>
  <si>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</si>
  <si>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</si>
  <si>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</si>
  <si>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</si>
  <si>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</si>
  <si>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</si>
  <si>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</si>
  <si>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</si>
  <si>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</si>
  <si>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</si>
  <si>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</si>
  <si>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</si>
  <si>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</si>
  <si>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</si>
  <si>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</si>
  <si>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</si>
  <si>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</si>
  <si>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</si>
  <si>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</si>
  <si>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</si>
  <si>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</si>
  <si>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</si>
  <si>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</si>
  <si>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</si>
  <si>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</si>
  <si>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</si>
  <si>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</si>
  <si>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</si>
  <si>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</si>
  <si>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</si>
  <si>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</si>
  <si>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</si>
  <si>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</si>
  <si>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</si>
  <si>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</si>
  <si>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</si>
  <si>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</si>
  <si>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</si>
  <si>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</si>
  <si>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</si>
  <si>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</si>
  <si>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</si>
  <si>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</si>
  <si>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</si>
  <si>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</si>
  <si>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</si>
  <si>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</si>
  <si>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</si>
  <si>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</si>
  <si>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</si>
  <si>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</si>
  <si>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</si>
  <si>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</si>
  <si>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</si>
  <si>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</si>
  <si>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</si>
  <si>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</si>
  <si>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</si>
  <si>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</si>
  <si>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</si>
  <si>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</si>
  <si>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</si>
  <si>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</si>
  <si>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</si>
  <si>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</si>
  <si>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</si>
  <si>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</si>
  <si>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</si>
  <si>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</si>
  <si>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</si>
  <si>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</si>
  <si>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</si>
  <si>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</si>
  <si>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</si>
  <si>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</si>
  <si>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</si>
  <si>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</si>
  <si>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</si>
  <si>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</si>
  <si>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</si>
  <si>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</si>
  <si>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</si>
  <si>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</si>
  <si>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</si>
  <si>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</si>
  <si>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</si>
  <si>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</si>
  <si>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</si>
  <si>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</si>
  <si>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</si>
  <si>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</si>
  <si>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 xml:space="preserve">   Производство мяса за январь-март 2012 года по Ибресинскому району </t>
  </si>
  <si>
    <t>Производство молока за  январь-март 2012 года по Ибресинскому району</t>
  </si>
  <si>
    <t xml:space="preserve">по Ибресинскому району за январь-март 2012 год </t>
  </si>
  <si>
    <t>Поступление приплода (телят) за январь-март 2012 года по Ибресинскому  району</t>
  </si>
  <si>
    <t>Случено и осеменено за январь-март 2012 года по Ибресинскому району</t>
  </si>
  <si>
    <t>Поступление приплода (поросят) за январь-март 2012 года по Ибресинкому  району</t>
  </si>
  <si>
    <t xml:space="preserve"> Численность скота по Ибресинскому району на 1.04.2012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</si>
  <si>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1.04.2012 г., (голов)</t>
    </r>
  </si>
  <si>
    <t>Показатели получения привесов за январь-март 2012 года по Ибресинскому району</t>
  </si>
  <si>
    <t>Пало, погибло, куплено и продано  сельскохозяйственных животных за январь-март 2012 год 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</si>
</sst>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="75" zoomScaleSheetLayoutView="75" zoomScalePageLayoutView="0" workbookViewId="0" topLeftCell="A1">
      <pane xSplit="2" ySplit="1" topLeftCell="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26" sqref="T26"/>
    </sheetView>
  </sheetViews>
  <sheetFormatPr defaultColWidth="9.00390625" defaultRowHeight="12.75"/>
  <cols>
    <col min="1" max="1" width="4.00390625" style="70" customWidth="1"/>
    <col min="2" max="2" width="28.62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16384" width="9.125" style="70" customWidth="1"/>
  </cols>
  <sheetData>
    <row r="1" spans="3:18" ht="15.75">
      <c r="C1" s="127" t="s">
        <v>119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2" s="20" customFormat="1" ht="18.75" customHeight="1">
      <c r="A3" s="34" t="s">
        <v>2</v>
      </c>
      <c r="B3" s="23" t="s">
        <v>3</v>
      </c>
      <c r="C3" s="128" t="s">
        <v>38</v>
      </c>
      <c r="D3" s="129"/>
      <c r="E3" s="130"/>
      <c r="F3" s="128" t="s">
        <v>52</v>
      </c>
      <c r="G3" s="129"/>
      <c r="H3" s="130"/>
      <c r="I3" s="128" t="s">
        <v>40</v>
      </c>
      <c r="J3" s="135"/>
      <c r="K3" s="135"/>
      <c r="L3" s="135"/>
      <c r="M3" s="135"/>
      <c r="N3" s="135"/>
      <c r="O3" s="135"/>
      <c r="P3" s="136"/>
      <c r="Q3" s="133" t="s">
        <v>41</v>
      </c>
      <c r="R3" s="134"/>
      <c r="S3" s="134"/>
      <c r="T3" s="134"/>
      <c r="U3" s="134"/>
      <c r="V3" s="134"/>
    </row>
    <row r="4" spans="1:22" s="20" customFormat="1" ht="18.75" customHeight="1">
      <c r="A4" s="39"/>
      <c r="B4" s="33"/>
      <c r="C4" s="143">
        <v>2011</v>
      </c>
      <c r="D4" s="143">
        <v>2012</v>
      </c>
      <c r="E4" s="107" t="s">
        <v>39</v>
      </c>
      <c r="F4" s="143">
        <v>2011</v>
      </c>
      <c r="G4" s="143">
        <v>2012</v>
      </c>
      <c r="H4" s="107" t="s">
        <v>39</v>
      </c>
      <c r="I4" s="131" t="s">
        <v>86</v>
      </c>
      <c r="J4" s="132"/>
      <c r="K4" s="131" t="s">
        <v>84</v>
      </c>
      <c r="L4" s="132"/>
      <c r="M4" s="131" t="s">
        <v>80</v>
      </c>
      <c r="N4" s="132"/>
      <c r="O4" s="131" t="s">
        <v>81</v>
      </c>
      <c r="P4" s="132"/>
      <c r="Q4" s="131" t="s">
        <v>83</v>
      </c>
      <c r="R4" s="132"/>
      <c r="S4" s="131" t="s">
        <v>84</v>
      </c>
      <c r="T4" s="132"/>
      <c r="U4" s="131" t="s">
        <v>51</v>
      </c>
      <c r="V4" s="132"/>
    </row>
    <row r="5" spans="1:22" s="20" customFormat="1" ht="18.75" customHeight="1">
      <c r="A5" s="30"/>
      <c r="B5" s="29"/>
      <c r="C5" s="144"/>
      <c r="D5" s="144"/>
      <c r="E5" s="108" t="s">
        <v>105</v>
      </c>
      <c r="F5" s="144"/>
      <c r="G5" s="144"/>
      <c r="H5" s="108" t="s">
        <v>105</v>
      </c>
      <c r="I5" s="109">
        <v>2011</v>
      </c>
      <c r="J5" s="110">
        <v>2012</v>
      </c>
      <c r="K5" s="109">
        <v>2011</v>
      </c>
      <c r="L5" s="110">
        <v>2012</v>
      </c>
      <c r="M5" s="109">
        <v>2011</v>
      </c>
      <c r="N5" s="110">
        <v>2012</v>
      </c>
      <c r="O5" s="109">
        <v>2011</v>
      </c>
      <c r="P5" s="110">
        <v>2012</v>
      </c>
      <c r="Q5" s="109">
        <v>2011</v>
      </c>
      <c r="R5" s="110">
        <v>2012</v>
      </c>
      <c r="S5" s="109">
        <v>2011</v>
      </c>
      <c r="T5" s="110">
        <v>2012</v>
      </c>
      <c r="U5" s="109">
        <v>2011</v>
      </c>
      <c r="V5" s="110">
        <v>2012</v>
      </c>
    </row>
    <row r="6" spans="1:22" s="20" customFormat="1" ht="15" customHeight="1">
      <c r="A6" s="31">
        <v>1</v>
      </c>
      <c r="B6" s="31" t="s">
        <v>55</v>
      </c>
      <c r="C6" s="3"/>
      <c r="D6" s="3"/>
      <c r="E6" s="11">
        <f aca="true" t="shared" si="0" ref="E6:E22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20" customFormat="1" ht="13.5" customHeight="1">
      <c r="A7" s="31">
        <v>2</v>
      </c>
      <c r="B7" s="31" t="s">
        <v>56</v>
      </c>
      <c r="C7" s="3">
        <v>2</v>
      </c>
      <c r="D7" s="3"/>
      <c r="E7" s="11">
        <f t="shared" si="0"/>
        <v>-2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16</v>
      </c>
      <c r="R7" s="3">
        <v>14</v>
      </c>
      <c r="S7" s="3"/>
      <c r="T7" s="3"/>
      <c r="U7" s="3"/>
      <c r="V7" s="3"/>
    </row>
    <row r="8" spans="1:22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7</v>
      </c>
      <c r="R8" s="3">
        <v>16</v>
      </c>
      <c r="S8" s="3"/>
      <c r="T8" s="3"/>
      <c r="U8" s="3"/>
      <c r="V8" s="3"/>
    </row>
    <row r="9" spans="1:22" s="20" customFormat="1" ht="12.75" customHeight="1">
      <c r="A9" s="31">
        <v>4</v>
      </c>
      <c r="B9" s="22" t="s">
        <v>58</v>
      </c>
      <c r="C9" s="3">
        <v>2</v>
      </c>
      <c r="D9" s="3">
        <v>5</v>
      </c>
      <c r="E9" s="11">
        <f t="shared" si="0"/>
        <v>3</v>
      </c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>
        <v>39</v>
      </c>
      <c r="T9" s="3">
        <v>103</v>
      </c>
      <c r="U9" s="3"/>
      <c r="V9" s="3"/>
    </row>
    <row r="10" spans="1:22" s="20" customFormat="1" ht="13.5" customHeight="1">
      <c r="A10" s="31">
        <v>5</v>
      </c>
      <c r="B10" s="93" t="s">
        <v>59</v>
      </c>
      <c r="C10" s="3"/>
      <c r="D10" s="3">
        <v>1</v>
      </c>
      <c r="E10" s="11">
        <f t="shared" si="0"/>
        <v>1</v>
      </c>
      <c r="F10" s="3">
        <v>14</v>
      </c>
      <c r="G10" s="3"/>
      <c r="H10" s="3">
        <f>G10-F10</f>
        <v>-14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27</v>
      </c>
      <c r="T10" s="3">
        <v>12</v>
      </c>
      <c r="U10" s="3"/>
      <c r="V10" s="3"/>
    </row>
    <row r="11" spans="1:22" s="20" customFormat="1" ht="12.75" customHeight="1">
      <c r="A11" s="31">
        <v>6</v>
      </c>
      <c r="B11" s="32" t="s">
        <v>73</v>
      </c>
      <c r="C11" s="3"/>
      <c r="D11" s="3">
        <v>1</v>
      </c>
      <c r="E11" s="11">
        <f t="shared" si="0"/>
        <v>1</v>
      </c>
      <c r="F11" s="3"/>
      <c r="G11" s="3"/>
      <c r="H11" s="3"/>
      <c r="I11" s="88"/>
      <c r="J11" s="88"/>
      <c r="K11" s="88"/>
      <c r="L11" s="88"/>
      <c r="M11" s="88"/>
      <c r="N11" s="88"/>
      <c r="O11" s="88"/>
      <c r="P11" s="88"/>
      <c r="Q11" s="88"/>
      <c r="R11" s="88">
        <v>18</v>
      </c>
      <c r="S11" s="88"/>
      <c r="T11" s="88"/>
      <c r="U11" s="88"/>
      <c r="V11" s="88"/>
    </row>
    <row r="12" spans="1:22" s="20" customFormat="1" ht="12.75" customHeight="1">
      <c r="A12" s="31">
        <v>7</v>
      </c>
      <c r="B12" s="31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20" customFormat="1" ht="12.75" customHeight="1">
      <c r="A13" s="31">
        <v>8</v>
      </c>
      <c r="B13" s="32" t="s">
        <v>87</v>
      </c>
      <c r="C13" s="3"/>
      <c r="D13" s="3"/>
      <c r="E13" s="11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20" customFormat="1" ht="13.5" customHeight="1">
      <c r="A14" s="31">
        <v>9</v>
      </c>
      <c r="B14" s="32" t="s">
        <v>72</v>
      </c>
      <c r="C14" s="3"/>
      <c r="D14" s="3"/>
      <c r="E14" s="11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v>3</v>
      </c>
      <c r="V14" s="3">
        <v>4</v>
      </c>
    </row>
    <row r="15" spans="1:22" s="20" customFormat="1" ht="12.75" customHeight="1">
      <c r="A15" s="31">
        <v>10</v>
      </c>
      <c r="B15" s="31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>
        <v>1</v>
      </c>
      <c r="S15" s="3"/>
      <c r="T15" s="3"/>
      <c r="U15" s="3"/>
      <c r="V15" s="3"/>
    </row>
    <row r="16" spans="1:22" s="20" customFormat="1" ht="12.75" customHeight="1">
      <c r="A16" s="31">
        <v>11</v>
      </c>
      <c r="B16" s="31" t="s">
        <v>62</v>
      </c>
      <c r="C16" s="3"/>
      <c r="D16" s="3"/>
      <c r="E16" s="1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20" customFormat="1" ht="12.75" customHeight="1">
      <c r="A17" s="31">
        <v>12</v>
      </c>
      <c r="B17" s="31" t="s">
        <v>63</v>
      </c>
      <c r="C17" s="3"/>
      <c r="D17" s="3"/>
      <c r="E17" s="11"/>
      <c r="F17" s="3">
        <v>207</v>
      </c>
      <c r="G17" s="3">
        <v>132</v>
      </c>
      <c r="H17" s="3">
        <f aca="true" t="shared" si="1" ref="H17:H23">G17-F17</f>
        <v>-75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32</v>
      </c>
      <c r="T17" s="3">
        <v>344</v>
      </c>
      <c r="U17" s="3"/>
      <c r="V17" s="3"/>
    </row>
    <row r="18" spans="1:22" s="20" customFormat="1" ht="12.75" customHeight="1">
      <c r="A18" s="31">
        <v>13</v>
      </c>
      <c r="B18" s="32" t="s">
        <v>71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20" customFormat="1" ht="44.25" customHeight="1">
      <c r="A19" s="139" t="s">
        <v>103</v>
      </c>
      <c r="B19" s="140"/>
      <c r="C19" s="3">
        <f>SUM(C6:C18)</f>
        <v>4</v>
      </c>
      <c r="D19" s="3">
        <f>SUM(D6:D18)</f>
        <v>7</v>
      </c>
      <c r="E19" s="11">
        <f t="shared" si="0"/>
        <v>3</v>
      </c>
      <c r="F19" s="3">
        <f>SUM(F10:F18)</f>
        <v>221</v>
      </c>
      <c r="G19" s="3">
        <f>SUM(G10:G18)</f>
        <v>132</v>
      </c>
      <c r="H19" s="3">
        <f t="shared" si="1"/>
        <v>-89</v>
      </c>
      <c r="I19" s="3">
        <f>SUM(I6:I18)</f>
        <v>0</v>
      </c>
      <c r="J19" s="3">
        <f aca="true" t="shared" si="2" ref="J19:T19">SUM(J6:J18)</f>
        <v>1</v>
      </c>
      <c r="K19" s="3">
        <f t="shared" si="2"/>
        <v>2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23</v>
      </c>
      <c r="R19" s="3">
        <f t="shared" si="2"/>
        <v>49</v>
      </c>
      <c r="S19" s="3">
        <f t="shared" si="2"/>
        <v>98</v>
      </c>
      <c r="T19" s="3">
        <f t="shared" si="2"/>
        <v>459</v>
      </c>
      <c r="U19" s="3">
        <f>SUM(U6:U18)</f>
        <v>3</v>
      </c>
      <c r="V19" s="3">
        <f>SUM(V6:V18)</f>
        <v>4</v>
      </c>
    </row>
    <row r="20" spans="1:22" s="20" customFormat="1" ht="12.75" customHeight="1">
      <c r="A20" s="31">
        <v>1</v>
      </c>
      <c r="B20" s="32" t="s">
        <v>82</v>
      </c>
      <c r="C20" s="3"/>
      <c r="D20" s="3"/>
      <c r="E20" s="11"/>
      <c r="F20" s="3"/>
      <c r="G20" s="3"/>
      <c r="H20" s="3"/>
      <c r="I20" s="3"/>
      <c r="J20" s="3"/>
      <c r="K20" s="3"/>
      <c r="L20" s="3"/>
      <c r="M20" s="88"/>
      <c r="N20" s="3"/>
      <c r="O20" s="3"/>
      <c r="P20" s="3"/>
      <c r="Q20" s="3"/>
      <c r="R20" s="3"/>
      <c r="S20" s="112"/>
      <c r="T20" s="22"/>
      <c r="U20" s="112"/>
      <c r="V20" s="22"/>
    </row>
    <row r="21" spans="1:22" s="20" customFormat="1" ht="12.75" customHeight="1">
      <c r="A21" s="31">
        <v>2</v>
      </c>
      <c r="B21" s="32" t="s">
        <v>88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88"/>
      <c r="N21" s="3"/>
      <c r="O21" s="3"/>
      <c r="P21" s="3"/>
      <c r="Q21" s="3"/>
      <c r="R21" s="3"/>
      <c r="S21" s="112"/>
      <c r="T21" s="22"/>
      <c r="U21" s="112"/>
      <c r="V21" s="22"/>
    </row>
    <row r="22" spans="1:22" s="20" customFormat="1" ht="30" customHeight="1">
      <c r="A22" s="141" t="s">
        <v>90</v>
      </c>
      <c r="B22" s="142"/>
      <c r="C22" s="3">
        <f>SUM(C20:C21)</f>
        <v>0</v>
      </c>
      <c r="D22" s="3">
        <f>SUM(D20:D21)</f>
        <v>0</v>
      </c>
      <c r="E22" s="11">
        <f t="shared" si="0"/>
        <v>0</v>
      </c>
      <c r="F22" s="3">
        <f aca="true" t="shared" si="3" ref="F22:T22">SUM(F20:F21)</f>
        <v>0</v>
      </c>
      <c r="G22" s="3">
        <f t="shared" si="3"/>
        <v>0</v>
      </c>
      <c r="H22" s="3">
        <f t="shared" si="1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  <c r="S22" s="3">
        <f t="shared" si="3"/>
        <v>0</v>
      </c>
      <c r="T22" s="3">
        <f t="shared" si="3"/>
        <v>0</v>
      </c>
      <c r="U22" s="3">
        <f>SUM(U20:U21)</f>
        <v>0</v>
      </c>
      <c r="V22" s="3">
        <f>SUM(V20:V21)</f>
        <v>0</v>
      </c>
    </row>
    <row r="23" spans="1:22" s="20" customFormat="1" ht="37.5" customHeight="1">
      <c r="A23" s="137" t="s">
        <v>91</v>
      </c>
      <c r="B23" s="138"/>
      <c r="C23" s="3">
        <f>C22+C19</f>
        <v>4</v>
      </c>
      <c r="D23" s="3">
        <f>D22+D19</f>
        <v>7</v>
      </c>
      <c r="E23" s="11">
        <f>D23-C23</f>
        <v>3</v>
      </c>
      <c r="F23" s="3">
        <f>F22+F19</f>
        <v>221</v>
      </c>
      <c r="G23" s="3">
        <f>G22+G19</f>
        <v>132</v>
      </c>
      <c r="H23" s="3">
        <f t="shared" si="1"/>
        <v>-89</v>
      </c>
      <c r="I23" s="3">
        <f aca="true" t="shared" si="4" ref="I23:T23">I22+I19</f>
        <v>0</v>
      </c>
      <c r="J23" s="3">
        <f t="shared" si="4"/>
        <v>1</v>
      </c>
      <c r="K23" s="3">
        <f t="shared" si="4"/>
        <v>2</v>
      </c>
      <c r="L23" s="3">
        <f t="shared" si="4"/>
        <v>0</v>
      </c>
      <c r="M23" s="3">
        <f t="shared" si="4"/>
        <v>0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23</v>
      </c>
      <c r="R23" s="3">
        <f t="shared" si="4"/>
        <v>49</v>
      </c>
      <c r="S23" s="3">
        <f t="shared" si="4"/>
        <v>98</v>
      </c>
      <c r="T23" s="3">
        <f t="shared" si="4"/>
        <v>459</v>
      </c>
      <c r="U23" s="3">
        <f>U22+U19</f>
        <v>3</v>
      </c>
      <c r="V23" s="3">
        <f>V22+V19</f>
        <v>4</v>
      </c>
    </row>
    <row r="24" ht="14.25">
      <c r="B24" s="73"/>
    </row>
  </sheetData>
  <sheetProtection/>
  <mergeCells count="19">
    <mergeCell ref="C4:C5"/>
    <mergeCell ref="D4:D5"/>
    <mergeCell ref="F4:F5"/>
    <mergeCell ref="G4:G5"/>
    <mergeCell ref="M4:N4"/>
    <mergeCell ref="O4:P4"/>
    <mergeCell ref="U4:V4"/>
    <mergeCell ref="Q3:V3"/>
    <mergeCell ref="I3:P3"/>
    <mergeCell ref="A23:B23"/>
    <mergeCell ref="A19:B19"/>
    <mergeCell ref="A22:B22"/>
    <mergeCell ref="C1:R1"/>
    <mergeCell ref="F3:H3"/>
    <mergeCell ref="C3:E3"/>
    <mergeCell ref="K4:L4"/>
    <mergeCell ref="Q4:R4"/>
    <mergeCell ref="S4:T4"/>
    <mergeCell ref="I4:J4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75" zoomScaleNormal="65" zoomScaleSheetLayoutView="75" zoomScalePageLayoutView="0" workbookViewId="0" topLeftCell="A1">
      <selection activeCell="F2" sqref="F2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5" t="s">
        <v>110</v>
      </c>
      <c r="D1" s="95"/>
      <c r="E1" s="95"/>
      <c r="F1" s="95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05" t="s">
        <v>2</v>
      </c>
      <c r="B3" s="205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06"/>
      <c r="B4" s="206"/>
      <c r="C4" s="18">
        <v>2011</v>
      </c>
      <c r="D4" s="19">
        <v>2012</v>
      </c>
      <c r="E4" s="19" t="s">
        <v>97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07"/>
      <c r="B5" s="207"/>
      <c r="C5" s="40"/>
      <c r="D5" s="11"/>
      <c r="E5" s="11" t="s">
        <v>98</v>
      </c>
      <c r="F5" s="18">
        <v>2011</v>
      </c>
      <c r="G5" s="19">
        <v>2012</v>
      </c>
      <c r="H5" s="18">
        <v>2011</v>
      </c>
      <c r="I5" s="19">
        <v>2012</v>
      </c>
      <c r="J5" s="18">
        <v>2011</v>
      </c>
      <c r="K5" s="19">
        <v>2012</v>
      </c>
      <c r="L5" s="20"/>
      <c r="M5" s="20"/>
    </row>
    <row r="6" spans="1:13" ht="16.5">
      <c r="A6" s="31">
        <v>1</v>
      </c>
      <c r="B6" s="31" t="s">
        <v>55</v>
      </c>
      <c r="C6" s="83">
        <v>15</v>
      </c>
      <c r="D6" s="83">
        <v>7.7</v>
      </c>
      <c r="E6" s="82">
        <f aca="true" t="shared" si="0" ref="E6:E23">D6*100/C6</f>
        <v>51.333333333333336</v>
      </c>
      <c r="F6" s="83">
        <v>14.3</v>
      </c>
      <c r="G6" s="83">
        <v>7.7</v>
      </c>
      <c r="H6" s="83"/>
      <c r="I6" s="83"/>
      <c r="J6" s="83">
        <v>0.7</v>
      </c>
      <c r="K6" s="83"/>
      <c r="L6" s="20"/>
      <c r="M6" s="20"/>
    </row>
    <row r="7" spans="1:13" ht="16.5">
      <c r="A7" s="31">
        <v>2</v>
      </c>
      <c r="B7" s="31" t="s">
        <v>56</v>
      </c>
      <c r="C7" s="83">
        <v>4.7</v>
      </c>
      <c r="D7" s="83">
        <v>2</v>
      </c>
      <c r="E7" s="82">
        <f t="shared" si="0"/>
        <v>42.5531914893617</v>
      </c>
      <c r="F7" s="83">
        <v>4.7</v>
      </c>
      <c r="G7" s="83">
        <v>2</v>
      </c>
      <c r="H7" s="83"/>
      <c r="I7" s="83"/>
      <c r="J7" s="83"/>
      <c r="K7" s="83"/>
      <c r="L7" s="20"/>
      <c r="M7" s="20"/>
    </row>
    <row r="8" spans="1:13" ht="16.5">
      <c r="A8" s="31">
        <v>3</v>
      </c>
      <c r="B8" s="31" t="s">
        <v>57</v>
      </c>
      <c r="C8" s="83">
        <v>2.9</v>
      </c>
      <c r="D8" s="120">
        <v>2.4</v>
      </c>
      <c r="E8" s="82">
        <f t="shared" si="0"/>
        <v>82.75862068965517</v>
      </c>
      <c r="F8" s="83">
        <v>2.9</v>
      </c>
      <c r="G8" s="120">
        <v>2.4</v>
      </c>
      <c r="H8" s="83"/>
      <c r="I8" s="83"/>
      <c r="J8" s="83"/>
      <c r="K8" s="83"/>
      <c r="L8" s="20"/>
      <c r="M8" s="20"/>
    </row>
    <row r="9" spans="1:13" ht="16.5">
      <c r="A9" s="31">
        <v>4</v>
      </c>
      <c r="B9" s="41" t="s">
        <v>58</v>
      </c>
      <c r="C9" s="83">
        <v>53.1</v>
      </c>
      <c r="D9" s="83">
        <v>17.6</v>
      </c>
      <c r="E9" s="82">
        <f t="shared" si="0"/>
        <v>33.14500941619586</v>
      </c>
      <c r="F9" s="83">
        <v>50.3</v>
      </c>
      <c r="G9" s="83">
        <v>17.3</v>
      </c>
      <c r="H9" s="83">
        <v>2.4</v>
      </c>
      <c r="I9" s="83">
        <v>0.3</v>
      </c>
      <c r="J9" s="83">
        <v>0.4</v>
      </c>
      <c r="K9" s="83"/>
      <c r="L9" s="20"/>
      <c r="M9" s="20"/>
    </row>
    <row r="10" spans="1:13" ht="16.5">
      <c r="A10" s="31">
        <v>5</v>
      </c>
      <c r="B10" s="31" t="s">
        <v>59</v>
      </c>
      <c r="C10" s="83">
        <v>18</v>
      </c>
      <c r="D10" s="83">
        <v>21.8</v>
      </c>
      <c r="E10" s="82">
        <f t="shared" si="0"/>
        <v>121.11111111111111</v>
      </c>
      <c r="F10" s="83">
        <v>11</v>
      </c>
      <c r="G10" s="83">
        <v>16.9</v>
      </c>
      <c r="H10" s="83">
        <v>4</v>
      </c>
      <c r="I10" s="83">
        <v>3.7</v>
      </c>
      <c r="J10" s="83">
        <v>3</v>
      </c>
      <c r="K10" s="83">
        <v>1.2</v>
      </c>
      <c r="L10" s="20"/>
      <c r="M10" s="20"/>
    </row>
    <row r="11" spans="1:13" ht="16.5">
      <c r="A11" s="31">
        <v>6</v>
      </c>
      <c r="B11" s="32" t="s">
        <v>73</v>
      </c>
      <c r="C11" s="83">
        <v>4.9</v>
      </c>
      <c r="D11" s="120">
        <v>2.4</v>
      </c>
      <c r="E11" s="82">
        <f t="shared" si="0"/>
        <v>48.97959183673469</v>
      </c>
      <c r="F11" s="84">
        <v>3.8</v>
      </c>
      <c r="G11" s="84">
        <v>2.4</v>
      </c>
      <c r="H11" s="84"/>
      <c r="I11" s="84"/>
      <c r="J11" s="84">
        <v>1.1</v>
      </c>
      <c r="K11" s="84"/>
      <c r="L11" s="20"/>
      <c r="M11" s="20"/>
    </row>
    <row r="12" spans="1:13" ht="16.5">
      <c r="A12" s="31">
        <v>7</v>
      </c>
      <c r="B12" s="32" t="s">
        <v>60</v>
      </c>
      <c r="C12" s="83"/>
      <c r="D12" s="83"/>
      <c r="E12" s="82"/>
      <c r="F12" s="84"/>
      <c r="G12" s="84"/>
      <c r="H12" s="84"/>
      <c r="I12" s="84"/>
      <c r="J12" s="84"/>
      <c r="K12" s="84"/>
      <c r="L12" s="20"/>
      <c r="M12" s="20"/>
    </row>
    <row r="13" spans="1:13" ht="16.5">
      <c r="A13" s="31">
        <v>8</v>
      </c>
      <c r="B13" s="32" t="s">
        <v>87</v>
      </c>
      <c r="C13" s="83"/>
      <c r="D13" s="83">
        <v>10.9</v>
      </c>
      <c r="E13" s="82"/>
      <c r="F13" s="84"/>
      <c r="G13" s="84">
        <v>10.9</v>
      </c>
      <c r="H13" s="84"/>
      <c r="I13" s="84"/>
      <c r="J13" s="84"/>
      <c r="K13" s="84"/>
      <c r="L13" s="20"/>
      <c r="M13" s="20"/>
    </row>
    <row r="14" spans="1:13" ht="16.5">
      <c r="A14" s="31">
        <v>9</v>
      </c>
      <c r="B14" s="32" t="s">
        <v>72</v>
      </c>
      <c r="C14" s="83">
        <v>5.2</v>
      </c>
      <c r="D14" s="83">
        <v>4.85</v>
      </c>
      <c r="E14" s="82">
        <f t="shared" si="0"/>
        <v>93.26923076923076</v>
      </c>
      <c r="F14" s="84">
        <v>5.2</v>
      </c>
      <c r="G14" s="84">
        <v>4.42</v>
      </c>
      <c r="H14" s="84"/>
      <c r="I14" s="84"/>
      <c r="J14" s="84"/>
      <c r="K14" s="84">
        <v>0.43</v>
      </c>
      <c r="L14" s="20"/>
      <c r="M14" s="20"/>
    </row>
    <row r="15" spans="1:13" ht="16.5">
      <c r="A15" s="31">
        <v>10</v>
      </c>
      <c r="B15" s="32" t="s">
        <v>61</v>
      </c>
      <c r="C15" s="83">
        <v>3</v>
      </c>
      <c r="D15" s="83">
        <v>8.6</v>
      </c>
      <c r="E15" s="82">
        <f t="shared" si="0"/>
        <v>286.6666666666667</v>
      </c>
      <c r="F15" s="84">
        <v>3</v>
      </c>
      <c r="G15" s="84">
        <v>8.6</v>
      </c>
      <c r="H15" s="84"/>
      <c r="I15" s="84"/>
      <c r="J15" s="84"/>
      <c r="K15" s="84"/>
      <c r="L15" s="20"/>
      <c r="M15" s="20"/>
    </row>
    <row r="16" spans="1:13" ht="16.5">
      <c r="A16" s="31">
        <v>11</v>
      </c>
      <c r="B16" s="32" t="s">
        <v>62</v>
      </c>
      <c r="C16" s="83">
        <v>3.08</v>
      </c>
      <c r="D16" s="83">
        <v>2.69</v>
      </c>
      <c r="E16" s="82">
        <f t="shared" si="0"/>
        <v>87.33766233766234</v>
      </c>
      <c r="F16" s="84">
        <v>3.08</v>
      </c>
      <c r="G16" s="84">
        <v>2.69</v>
      </c>
      <c r="H16" s="84"/>
      <c r="I16" s="84"/>
      <c r="J16" s="84"/>
      <c r="K16" s="84"/>
      <c r="L16" s="20"/>
      <c r="M16" s="20"/>
    </row>
    <row r="17" spans="1:13" ht="16.5">
      <c r="A17" s="31">
        <v>12</v>
      </c>
      <c r="B17" s="32" t="s">
        <v>63</v>
      </c>
      <c r="C17" s="83">
        <v>187</v>
      </c>
      <c r="D17" s="83">
        <v>240</v>
      </c>
      <c r="E17" s="82">
        <f t="shared" si="0"/>
        <v>128.3422459893048</v>
      </c>
      <c r="F17" s="84"/>
      <c r="G17" s="84"/>
      <c r="H17" s="84">
        <v>187</v>
      </c>
      <c r="I17" s="84">
        <v>240</v>
      </c>
      <c r="J17" s="84"/>
      <c r="K17" s="84"/>
      <c r="L17" s="20"/>
      <c r="M17" s="20"/>
    </row>
    <row r="18" spans="1:13" ht="16.5">
      <c r="A18" s="31">
        <v>13</v>
      </c>
      <c r="B18" s="32" t="s">
        <v>71</v>
      </c>
      <c r="C18" s="83">
        <v>1.1</v>
      </c>
      <c r="D18" s="83"/>
      <c r="E18" s="82">
        <f t="shared" si="0"/>
        <v>0</v>
      </c>
      <c r="F18" s="84"/>
      <c r="G18" s="84"/>
      <c r="H18" s="84"/>
      <c r="I18" s="84"/>
      <c r="J18" s="84">
        <v>1.1</v>
      </c>
      <c r="K18" s="84"/>
      <c r="L18" s="20"/>
      <c r="M18" s="20"/>
    </row>
    <row r="19" spans="1:13" ht="46.5" customHeight="1">
      <c r="A19" s="208" t="s">
        <v>89</v>
      </c>
      <c r="B19" s="209"/>
      <c r="C19" s="83">
        <f>SUM(C6:C18)</f>
        <v>297.98</v>
      </c>
      <c r="D19" s="83">
        <f>SUM(D6:D18)</f>
        <v>320.94</v>
      </c>
      <c r="E19" s="82">
        <f t="shared" si="0"/>
        <v>107.70521511510839</v>
      </c>
      <c r="F19" s="84">
        <f aca="true" t="shared" si="1" ref="F19:K19">SUM(F6:F18)</f>
        <v>98.27999999999999</v>
      </c>
      <c r="G19" s="84">
        <f t="shared" si="1"/>
        <v>75.30999999999999</v>
      </c>
      <c r="H19" s="84">
        <f t="shared" si="1"/>
        <v>193.4</v>
      </c>
      <c r="I19" s="84">
        <f t="shared" si="1"/>
        <v>244</v>
      </c>
      <c r="J19" s="84">
        <f t="shared" si="1"/>
        <v>6.299999999999999</v>
      </c>
      <c r="K19" s="84">
        <f t="shared" si="1"/>
        <v>1.63</v>
      </c>
      <c r="L19" s="20"/>
      <c r="M19" s="20"/>
    </row>
    <row r="20" spans="1:13" ht="16.5">
      <c r="A20" s="31">
        <v>1</v>
      </c>
      <c r="B20" s="32" t="s">
        <v>82</v>
      </c>
      <c r="C20" s="83"/>
      <c r="D20" s="83"/>
      <c r="E20" s="82"/>
      <c r="F20" s="84"/>
      <c r="G20" s="84"/>
      <c r="H20" s="84"/>
      <c r="I20" s="84"/>
      <c r="J20" s="84"/>
      <c r="K20" s="84"/>
      <c r="L20" s="20"/>
      <c r="M20" s="20"/>
    </row>
    <row r="21" spans="1:13" ht="18">
      <c r="A21" s="31">
        <v>2</v>
      </c>
      <c r="B21" s="32" t="s">
        <v>88</v>
      </c>
      <c r="C21" s="83"/>
      <c r="D21" s="83"/>
      <c r="E21" s="82"/>
      <c r="F21" s="16"/>
      <c r="G21" s="84"/>
      <c r="H21" s="16"/>
      <c r="I21" s="84"/>
      <c r="J21" s="84"/>
      <c r="K21" s="84"/>
      <c r="L21" s="20"/>
      <c r="M21" s="20"/>
    </row>
    <row r="22" spans="1:13" ht="18">
      <c r="A22" s="210" t="s">
        <v>90</v>
      </c>
      <c r="B22" s="211"/>
      <c r="C22" s="83">
        <f>SUM(C20:C21)</f>
        <v>0</v>
      </c>
      <c r="D22" s="83">
        <f>SUM(D20:D21)</f>
        <v>0</v>
      </c>
      <c r="E22" s="82"/>
      <c r="F22" s="16">
        <f aca="true" t="shared" si="2" ref="F22:K22">SUM(F20:F21)</f>
        <v>0</v>
      </c>
      <c r="G22" s="84">
        <f t="shared" si="2"/>
        <v>0</v>
      </c>
      <c r="H22" s="16">
        <f t="shared" si="2"/>
        <v>0</v>
      </c>
      <c r="I22" s="84">
        <f t="shared" si="2"/>
        <v>0</v>
      </c>
      <c r="J22" s="84">
        <f t="shared" si="2"/>
        <v>0</v>
      </c>
      <c r="K22" s="84">
        <f t="shared" si="2"/>
        <v>0</v>
      </c>
      <c r="L22" s="20"/>
      <c r="M22" s="20"/>
    </row>
    <row r="23" spans="1:13" ht="16.5">
      <c r="A23" s="203" t="s">
        <v>91</v>
      </c>
      <c r="B23" s="204"/>
      <c r="C23" s="85">
        <f>C19+C22</f>
        <v>297.98</v>
      </c>
      <c r="D23" s="85">
        <f>D19+D22</f>
        <v>320.94</v>
      </c>
      <c r="E23" s="82">
        <f t="shared" si="0"/>
        <v>107.70521511510839</v>
      </c>
      <c r="F23" s="85">
        <f aca="true" t="shared" si="3" ref="F23:K23">F19+F22</f>
        <v>98.27999999999999</v>
      </c>
      <c r="G23" s="85">
        <f t="shared" si="3"/>
        <v>75.30999999999999</v>
      </c>
      <c r="H23" s="85">
        <f t="shared" si="3"/>
        <v>193.4</v>
      </c>
      <c r="I23" s="85">
        <f t="shared" si="3"/>
        <v>244</v>
      </c>
      <c r="J23" s="85">
        <f t="shared" si="3"/>
        <v>6.299999999999999</v>
      </c>
      <c r="K23" s="85">
        <f t="shared" si="3"/>
        <v>1.63</v>
      </c>
      <c r="L23" s="20"/>
      <c r="M23" s="20"/>
    </row>
  </sheetData>
  <sheetProtection/>
  <mergeCells count="5">
    <mergeCell ref="A23:B23"/>
    <mergeCell ref="A3:A5"/>
    <mergeCell ref="B3:B5"/>
    <mergeCell ref="A19:B19"/>
    <mergeCell ref="A22:B22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I32" sqref="I32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7.875" style="0" customWidth="1"/>
    <col min="4" max="4" width="7.125" style="0" customWidth="1"/>
    <col min="5" max="5" width="8.25390625" style="0" customWidth="1"/>
    <col min="6" max="7" width="7.1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8"/>
      <c r="B4" s="23" t="s">
        <v>3</v>
      </c>
      <c r="C4" s="26" t="s">
        <v>65</v>
      </c>
      <c r="D4" s="105"/>
      <c r="E4" s="105"/>
      <c r="F4" s="103"/>
      <c r="G4" s="103"/>
      <c r="H4" s="106"/>
      <c r="I4" s="98" t="s">
        <v>46</v>
      </c>
      <c r="J4" s="103"/>
      <c r="K4" s="105"/>
      <c r="L4" s="103"/>
      <c r="M4" s="103"/>
      <c r="N4" s="106"/>
      <c r="O4" s="98" t="s">
        <v>47</v>
      </c>
      <c r="P4" s="103"/>
      <c r="Q4" s="105"/>
      <c r="R4" s="103"/>
      <c r="S4" s="103"/>
      <c r="T4" s="106"/>
    </row>
    <row r="5" spans="1:20" ht="15" customHeight="1">
      <c r="A5" s="79" t="s">
        <v>2</v>
      </c>
      <c r="B5" s="33"/>
      <c r="C5" s="25" t="s">
        <v>48</v>
      </c>
      <c r="D5" s="103"/>
      <c r="E5" s="147" t="s">
        <v>104</v>
      </c>
      <c r="F5" s="98" t="s">
        <v>49</v>
      </c>
      <c r="G5" s="102"/>
      <c r="H5" s="147" t="s">
        <v>104</v>
      </c>
      <c r="I5" s="133" t="s">
        <v>48</v>
      </c>
      <c r="J5" s="133"/>
      <c r="K5" s="147" t="s">
        <v>104</v>
      </c>
      <c r="L5" s="133" t="s">
        <v>49</v>
      </c>
      <c r="M5" s="133"/>
      <c r="N5" s="147" t="s">
        <v>104</v>
      </c>
      <c r="O5" s="103" t="s">
        <v>48</v>
      </c>
      <c r="P5" s="103"/>
      <c r="Q5" s="147" t="s">
        <v>85</v>
      </c>
      <c r="R5" s="150" t="s">
        <v>49</v>
      </c>
      <c r="S5" s="151"/>
      <c r="T5" s="147" t="s">
        <v>104</v>
      </c>
    </row>
    <row r="6" spans="1:20" ht="15">
      <c r="A6" s="79" t="s">
        <v>70</v>
      </c>
      <c r="B6" s="33"/>
      <c r="C6" s="145">
        <v>2011</v>
      </c>
      <c r="D6" s="145">
        <v>2012</v>
      </c>
      <c r="E6" s="148"/>
      <c r="F6" s="145">
        <v>2011</v>
      </c>
      <c r="G6" s="145">
        <v>2012</v>
      </c>
      <c r="H6" s="148"/>
      <c r="I6" s="145">
        <v>2011</v>
      </c>
      <c r="J6" s="145">
        <v>2012</v>
      </c>
      <c r="K6" s="148"/>
      <c r="L6" s="145">
        <v>2011</v>
      </c>
      <c r="M6" s="145">
        <v>2012</v>
      </c>
      <c r="N6" s="148"/>
      <c r="O6" s="145">
        <v>2011</v>
      </c>
      <c r="P6" s="145">
        <v>2012</v>
      </c>
      <c r="Q6" s="148"/>
      <c r="R6" s="145">
        <v>2011</v>
      </c>
      <c r="S6" s="145">
        <v>2012</v>
      </c>
      <c r="T6" s="148"/>
    </row>
    <row r="7" spans="1:20" ht="15">
      <c r="A7" s="80"/>
      <c r="B7" s="29"/>
      <c r="C7" s="146"/>
      <c r="D7" s="146"/>
      <c r="E7" s="149"/>
      <c r="F7" s="146"/>
      <c r="G7" s="146"/>
      <c r="H7" s="149"/>
      <c r="I7" s="146"/>
      <c r="J7" s="146"/>
      <c r="K7" s="149"/>
      <c r="L7" s="146"/>
      <c r="M7" s="146"/>
      <c r="N7" s="149"/>
      <c r="O7" s="146"/>
      <c r="P7" s="146"/>
      <c r="Q7" s="149"/>
      <c r="R7" s="146"/>
      <c r="S7" s="146"/>
      <c r="T7" s="149"/>
    </row>
    <row r="8" spans="1:20" ht="15">
      <c r="A8" s="2">
        <v>1</v>
      </c>
      <c r="B8" s="22" t="s">
        <v>55</v>
      </c>
      <c r="C8" s="3">
        <v>76</v>
      </c>
      <c r="D8" s="3">
        <v>72</v>
      </c>
      <c r="E8" s="36">
        <f aca="true" t="shared" si="0" ref="E8:E18">D8/C8*100</f>
        <v>94.73684210526315</v>
      </c>
      <c r="F8" s="3"/>
      <c r="G8" s="3"/>
      <c r="H8" s="36"/>
      <c r="I8" s="3">
        <v>16899</v>
      </c>
      <c r="J8" s="3">
        <v>12464</v>
      </c>
      <c r="K8" s="36">
        <f>J8*100/I8</f>
        <v>73.75584354103793</v>
      </c>
      <c r="L8" s="3"/>
      <c r="M8" s="3"/>
      <c r="N8" s="36"/>
      <c r="O8" s="36">
        <f aca="true" t="shared" si="1" ref="O8:O18">C8/I8*100000</f>
        <v>449.7307532990118</v>
      </c>
      <c r="P8" s="36">
        <f aca="true" t="shared" si="2" ref="P8:P17">D8/J8*100000</f>
        <v>577.6636713735559</v>
      </c>
      <c r="Q8" s="36">
        <f aca="true" t="shared" si="3" ref="Q8:Q18">P8/O8*100</f>
        <v>128.44655766502265</v>
      </c>
      <c r="R8" s="36"/>
      <c r="S8" s="36"/>
      <c r="T8" s="36"/>
    </row>
    <row r="9" spans="1:20" ht="15">
      <c r="A9" s="2">
        <v>2</v>
      </c>
      <c r="B9" s="22" t="s">
        <v>56</v>
      </c>
      <c r="C9" s="3">
        <v>40.66</v>
      </c>
      <c r="D9" s="3">
        <v>44.73</v>
      </c>
      <c r="E9" s="36">
        <f t="shared" si="0"/>
        <v>110.00983767830792</v>
      </c>
      <c r="F9" s="3"/>
      <c r="G9" s="3"/>
      <c r="H9" s="36"/>
      <c r="I9" s="3">
        <v>8346</v>
      </c>
      <c r="J9" s="3">
        <v>10705</v>
      </c>
      <c r="K9" s="36">
        <f aca="true" t="shared" si="4" ref="K9:K23">J9*100/I9</f>
        <v>128.2650371435418</v>
      </c>
      <c r="L9" s="3"/>
      <c r="M9" s="3"/>
      <c r="N9" s="36"/>
      <c r="O9" s="36">
        <f t="shared" si="1"/>
        <v>487.1794871794871</v>
      </c>
      <c r="P9" s="36">
        <f t="shared" si="2"/>
        <v>417.8421298458664</v>
      </c>
      <c r="Q9" s="36">
        <f t="shared" si="3"/>
        <v>85.76759507362522</v>
      </c>
      <c r="R9" s="36"/>
      <c r="S9" s="36"/>
      <c r="T9" s="36"/>
    </row>
    <row r="10" spans="1:20" ht="15">
      <c r="A10" s="2">
        <v>3</v>
      </c>
      <c r="B10" s="37" t="s">
        <v>57</v>
      </c>
      <c r="C10" s="19">
        <v>30.21</v>
      </c>
      <c r="D10" s="19">
        <v>24.06</v>
      </c>
      <c r="E10" s="36">
        <f t="shared" si="0"/>
        <v>79.64250248262165</v>
      </c>
      <c r="F10" s="19"/>
      <c r="G10" s="19"/>
      <c r="H10" s="36"/>
      <c r="I10" s="3">
        <v>4373</v>
      </c>
      <c r="J10" s="3">
        <v>3582</v>
      </c>
      <c r="K10" s="36">
        <f t="shared" si="4"/>
        <v>81.9117310770638</v>
      </c>
      <c r="L10" s="19"/>
      <c r="M10" s="19"/>
      <c r="N10" s="87"/>
      <c r="O10" s="36">
        <f t="shared" si="1"/>
        <v>690.8300937571462</v>
      </c>
      <c r="P10" s="36">
        <f t="shared" si="2"/>
        <v>671.6917922948073</v>
      </c>
      <c r="Q10" s="36">
        <f t="shared" si="3"/>
        <v>97.22966592867238</v>
      </c>
      <c r="R10" s="87"/>
      <c r="S10" s="87"/>
      <c r="T10" s="87"/>
    </row>
    <row r="11" spans="1:20" ht="15">
      <c r="A11" s="2">
        <v>4</v>
      </c>
      <c r="B11" s="22" t="s">
        <v>58</v>
      </c>
      <c r="C11" s="3">
        <v>75</v>
      </c>
      <c r="D11" s="3">
        <v>145</v>
      </c>
      <c r="E11" s="36">
        <f t="shared" si="0"/>
        <v>193.33333333333334</v>
      </c>
      <c r="F11" s="3">
        <v>72</v>
      </c>
      <c r="G11" s="3">
        <v>63</v>
      </c>
      <c r="H11" s="36">
        <f>G11/F11*100</f>
        <v>87.5</v>
      </c>
      <c r="I11" s="3">
        <v>37940</v>
      </c>
      <c r="J11" s="3">
        <v>37407</v>
      </c>
      <c r="K11" s="36">
        <f t="shared" si="4"/>
        <v>98.59515023721666</v>
      </c>
      <c r="L11" s="3">
        <v>16473</v>
      </c>
      <c r="M11" s="3">
        <v>16260</v>
      </c>
      <c r="N11" s="36">
        <f>M11/L11*100</f>
        <v>98.70697505008195</v>
      </c>
      <c r="O11" s="36">
        <f t="shared" si="1"/>
        <v>197.68054823405376</v>
      </c>
      <c r="P11" s="36">
        <f t="shared" si="2"/>
        <v>387.62798406715325</v>
      </c>
      <c r="Q11" s="36">
        <f t="shared" si="3"/>
        <v>196.0880762067706</v>
      </c>
      <c r="R11" s="36">
        <f>F11/L11*100000</f>
        <v>437.078856310326</v>
      </c>
      <c r="S11" s="36">
        <f>G11/M11*100000</f>
        <v>387.45387453874537</v>
      </c>
      <c r="T11" s="36">
        <f>S11/R11*100</f>
        <v>88.64621771217712</v>
      </c>
    </row>
    <row r="12" spans="1:20" ht="15">
      <c r="A12" s="2">
        <v>5</v>
      </c>
      <c r="B12" s="22" t="s">
        <v>59</v>
      </c>
      <c r="C12" s="88">
        <v>60</v>
      </c>
      <c r="D12" s="88">
        <v>68.74</v>
      </c>
      <c r="E12" s="89">
        <f t="shared" si="0"/>
        <v>114.56666666666666</v>
      </c>
      <c r="F12" s="88">
        <v>49</v>
      </c>
      <c r="G12" s="88">
        <v>2.6</v>
      </c>
      <c r="H12" s="36">
        <f>G12/F12*100</f>
        <v>5.306122448979592</v>
      </c>
      <c r="I12" s="3">
        <v>12250</v>
      </c>
      <c r="J12" s="3">
        <v>15682</v>
      </c>
      <c r="K12" s="36">
        <f t="shared" si="4"/>
        <v>128.01632653061225</v>
      </c>
      <c r="L12" s="3">
        <v>15037</v>
      </c>
      <c r="M12" s="3">
        <v>6000</v>
      </c>
      <c r="N12" s="36">
        <f>M12/L12*100</f>
        <v>39.90157611225643</v>
      </c>
      <c r="O12" s="36">
        <f t="shared" si="1"/>
        <v>489.7959183673469</v>
      </c>
      <c r="P12" s="36">
        <f t="shared" si="2"/>
        <v>438.33694681800785</v>
      </c>
      <c r="Q12" s="36">
        <f t="shared" si="3"/>
        <v>89.4937933086766</v>
      </c>
      <c r="R12" s="36">
        <f>F12/L12*100000</f>
        <v>325.86287158342753</v>
      </c>
      <c r="S12" s="36">
        <f>G12/M12*100000</f>
        <v>43.333333333333336</v>
      </c>
      <c r="T12" s="36">
        <f>S12/R12*100</f>
        <v>13.298027210884356</v>
      </c>
    </row>
    <row r="13" spans="1:20" ht="15">
      <c r="A13" s="2">
        <v>6</v>
      </c>
      <c r="B13" s="38" t="s">
        <v>73</v>
      </c>
      <c r="C13" s="88">
        <v>25.94</v>
      </c>
      <c r="D13" s="88">
        <v>62.17</v>
      </c>
      <c r="E13" s="89">
        <f t="shared" si="0"/>
        <v>239.66846569005398</v>
      </c>
      <c r="F13" s="88"/>
      <c r="G13" s="88"/>
      <c r="H13" s="89"/>
      <c r="I13" s="88">
        <v>11254</v>
      </c>
      <c r="J13" s="88">
        <v>10444</v>
      </c>
      <c r="K13" s="36">
        <f t="shared" si="4"/>
        <v>92.8025590901013</v>
      </c>
      <c r="L13" s="88"/>
      <c r="M13" s="88"/>
      <c r="N13" s="89"/>
      <c r="O13" s="36">
        <f t="shared" si="1"/>
        <v>230.4958237071264</v>
      </c>
      <c r="P13" s="36">
        <f t="shared" si="2"/>
        <v>595.2700114898506</v>
      </c>
      <c r="Q13" s="36">
        <f t="shared" si="3"/>
        <v>258.25631107582024</v>
      </c>
      <c r="R13" s="36"/>
      <c r="S13" s="36"/>
      <c r="T13" s="89"/>
    </row>
    <row r="14" spans="1:20" ht="15">
      <c r="A14" s="2">
        <v>7</v>
      </c>
      <c r="B14" s="38" t="s">
        <v>60</v>
      </c>
      <c r="C14" s="88">
        <v>23.14</v>
      </c>
      <c r="D14" s="88"/>
      <c r="E14" s="89">
        <f t="shared" si="0"/>
        <v>0</v>
      </c>
      <c r="F14" s="88"/>
      <c r="G14" s="88"/>
      <c r="H14" s="89"/>
      <c r="I14" s="88">
        <v>9492</v>
      </c>
      <c r="J14" s="88"/>
      <c r="K14" s="36">
        <f t="shared" si="4"/>
        <v>0</v>
      </c>
      <c r="L14" s="88"/>
      <c r="M14" s="88"/>
      <c r="N14" s="89"/>
      <c r="O14" s="36">
        <f t="shared" si="1"/>
        <v>243.7842393594606</v>
      </c>
      <c r="P14" s="36"/>
      <c r="Q14" s="89"/>
      <c r="R14" s="36"/>
      <c r="S14" s="3"/>
      <c r="T14" s="89"/>
    </row>
    <row r="15" spans="1:20" ht="15">
      <c r="A15" s="2">
        <v>8</v>
      </c>
      <c r="B15" s="32" t="s">
        <v>87</v>
      </c>
      <c r="C15" s="88"/>
      <c r="D15" s="88">
        <v>51.05</v>
      </c>
      <c r="E15" s="89"/>
      <c r="F15" s="88"/>
      <c r="G15" s="88"/>
      <c r="H15" s="89"/>
      <c r="I15" s="88"/>
      <c r="J15" s="88">
        <v>13872</v>
      </c>
      <c r="K15" s="36"/>
      <c r="L15" s="88"/>
      <c r="M15" s="88"/>
      <c r="N15" s="89"/>
      <c r="O15" s="36"/>
      <c r="P15" s="36">
        <f t="shared" si="2"/>
        <v>368.00749711649365</v>
      </c>
      <c r="Q15" s="89"/>
      <c r="R15" s="36"/>
      <c r="S15" s="3"/>
      <c r="T15" s="89"/>
    </row>
    <row r="16" spans="1:20" s="69" customFormat="1" ht="15">
      <c r="A16" s="2">
        <v>9</v>
      </c>
      <c r="B16" s="32" t="s">
        <v>72</v>
      </c>
      <c r="C16" s="90">
        <v>34.02</v>
      </c>
      <c r="D16" s="90">
        <v>73.21</v>
      </c>
      <c r="E16" s="91">
        <f t="shared" si="0"/>
        <v>215.19694297472068</v>
      </c>
      <c r="F16" s="90"/>
      <c r="G16" s="90"/>
      <c r="H16" s="91"/>
      <c r="I16" s="90">
        <v>7555</v>
      </c>
      <c r="J16" s="90">
        <v>16039</v>
      </c>
      <c r="K16" s="36">
        <f t="shared" si="4"/>
        <v>212.29649238914627</v>
      </c>
      <c r="L16" s="90"/>
      <c r="M16" s="90"/>
      <c r="N16" s="91"/>
      <c r="O16" s="36">
        <f t="shared" si="1"/>
        <v>450.29781601588354</v>
      </c>
      <c r="P16" s="36">
        <f t="shared" si="2"/>
        <v>456.4499033605586</v>
      </c>
      <c r="Q16" s="91">
        <f t="shared" si="3"/>
        <v>101.36622633418636</v>
      </c>
      <c r="R16" s="36"/>
      <c r="S16" s="36"/>
      <c r="T16" s="36"/>
    </row>
    <row r="17" spans="1:20" ht="15">
      <c r="A17" s="2">
        <v>10</v>
      </c>
      <c r="B17" s="38" t="s">
        <v>61</v>
      </c>
      <c r="C17" s="88">
        <v>23</v>
      </c>
      <c r="D17" s="88">
        <v>58</v>
      </c>
      <c r="E17" s="89">
        <f t="shared" si="0"/>
        <v>252.17391304347828</v>
      </c>
      <c r="F17" s="88"/>
      <c r="G17" s="88"/>
      <c r="H17" s="89"/>
      <c r="I17" s="88">
        <v>11490</v>
      </c>
      <c r="J17" s="88">
        <v>11871</v>
      </c>
      <c r="K17" s="36">
        <f t="shared" si="4"/>
        <v>103.31592689295039</v>
      </c>
      <c r="L17" s="88"/>
      <c r="M17" s="88"/>
      <c r="N17" s="89"/>
      <c r="O17" s="36">
        <f t="shared" si="1"/>
        <v>200.17406440382942</v>
      </c>
      <c r="P17" s="36">
        <f t="shared" si="2"/>
        <v>488.5856288433999</v>
      </c>
      <c r="Q17" s="89">
        <f t="shared" si="3"/>
        <v>244.0803858874202</v>
      </c>
      <c r="R17" s="36"/>
      <c r="S17" s="36"/>
      <c r="T17" s="89"/>
    </row>
    <row r="18" spans="1:20" ht="15">
      <c r="A18" s="2">
        <v>11</v>
      </c>
      <c r="B18" s="38" t="s">
        <v>62</v>
      </c>
      <c r="C18" s="88">
        <v>15.9</v>
      </c>
      <c r="D18" s="121">
        <v>16.4</v>
      </c>
      <c r="E18" s="89">
        <f t="shared" si="0"/>
        <v>103.14465408805032</v>
      </c>
      <c r="F18" s="88"/>
      <c r="G18" s="88"/>
      <c r="H18" s="89"/>
      <c r="I18" s="88">
        <v>4694</v>
      </c>
      <c r="J18" s="121">
        <v>2184</v>
      </c>
      <c r="K18" s="36">
        <f t="shared" si="4"/>
        <v>46.52748189177674</v>
      </c>
      <c r="L18" s="88"/>
      <c r="M18" s="88"/>
      <c r="N18" s="89"/>
      <c r="O18" s="36">
        <f t="shared" si="1"/>
        <v>338.73029399233064</v>
      </c>
      <c r="P18" s="36">
        <f>D18/J18*100000</f>
        <v>750.9157509157509</v>
      </c>
      <c r="Q18" s="89">
        <f t="shared" si="3"/>
        <v>221.6854424401594</v>
      </c>
      <c r="R18" s="36"/>
      <c r="S18" s="36"/>
      <c r="T18" s="89"/>
    </row>
    <row r="19" spans="1:20" ht="15">
      <c r="A19" s="2">
        <v>12</v>
      </c>
      <c r="B19" s="81" t="s">
        <v>63</v>
      </c>
      <c r="C19" s="88"/>
      <c r="D19" s="88"/>
      <c r="E19" s="89"/>
      <c r="F19" s="88">
        <v>2127</v>
      </c>
      <c r="G19" s="88">
        <v>2571</v>
      </c>
      <c r="H19" s="89">
        <f>G19/F19*100</f>
        <v>120.87447108603666</v>
      </c>
      <c r="I19" s="3"/>
      <c r="J19" s="88"/>
      <c r="K19" s="36"/>
      <c r="L19" s="88">
        <v>556117</v>
      </c>
      <c r="M19" s="88">
        <v>632010</v>
      </c>
      <c r="N19" s="89">
        <f>M19/L19*100</f>
        <v>113.64694839395307</v>
      </c>
      <c r="O19" s="36"/>
      <c r="P19" s="36"/>
      <c r="Q19" s="89"/>
      <c r="R19" s="36">
        <f aca="true" t="shared" si="5" ref="R19:S21">F19/L19*100000</f>
        <v>382.47347230888465</v>
      </c>
      <c r="S19" s="36">
        <f t="shared" si="5"/>
        <v>406.79736080125315</v>
      </c>
      <c r="T19" s="89">
        <f>S19/R19*100</f>
        <v>106.35962759600869</v>
      </c>
    </row>
    <row r="20" spans="1:20" ht="43.5" customHeight="1">
      <c r="A20" s="139" t="s">
        <v>103</v>
      </c>
      <c r="B20" s="140"/>
      <c r="C20" s="92">
        <f>SUM(C8:C19)</f>
        <v>403.86999999999995</v>
      </c>
      <c r="D20" s="3">
        <f>SUM(D8:D19)</f>
        <v>615.36</v>
      </c>
      <c r="E20" s="36">
        <f>D20/C20*100</f>
        <v>152.36586030158222</v>
      </c>
      <c r="F20" s="36">
        <f>SUM(F11:F19)</f>
        <v>2248</v>
      </c>
      <c r="G20" s="3">
        <f>SUM(G11:G19)</f>
        <v>2636.6</v>
      </c>
      <c r="H20" s="36">
        <f>G20/F20*100</f>
        <v>117.28647686832741</v>
      </c>
      <c r="I20" s="3">
        <f>SUM(I8:I19)</f>
        <v>124293</v>
      </c>
      <c r="J20" s="3">
        <f>SUM(J8:J19)</f>
        <v>134250</v>
      </c>
      <c r="K20" s="36">
        <f t="shared" si="4"/>
        <v>108.01090970529314</v>
      </c>
      <c r="L20" s="3">
        <f>SUM(L11:L19)</f>
        <v>587627</v>
      </c>
      <c r="M20" s="3">
        <f>SUM(M11:M19)</f>
        <v>654270</v>
      </c>
      <c r="N20" s="36">
        <f>M20/L20*100</f>
        <v>111.341037767155</v>
      </c>
      <c r="O20" s="36">
        <f aca="true" t="shared" si="6" ref="O20:P23">C20/I20*100000</f>
        <v>324.9338257182625</v>
      </c>
      <c r="P20" s="36">
        <f t="shared" si="6"/>
        <v>458.3687150837989</v>
      </c>
      <c r="Q20" s="36">
        <f>P20/O20*100</f>
        <v>141.06525046156096</v>
      </c>
      <c r="R20" s="36">
        <f t="shared" si="5"/>
        <v>382.5556007467322</v>
      </c>
      <c r="S20" s="36">
        <f t="shared" si="5"/>
        <v>402.9834777691167</v>
      </c>
      <c r="T20" s="36">
        <f>S20/R20*100</f>
        <v>105.33984523622453</v>
      </c>
    </row>
    <row r="21" spans="1:20" ht="15">
      <c r="A21" s="2">
        <v>13</v>
      </c>
      <c r="B21" s="32" t="s">
        <v>82</v>
      </c>
      <c r="C21" s="97"/>
      <c r="D21" s="88"/>
      <c r="E21" s="36"/>
      <c r="F21" s="88">
        <v>12</v>
      </c>
      <c r="G21" s="88">
        <v>18</v>
      </c>
      <c r="H21" s="36">
        <f>G21/F21*100</f>
        <v>150</v>
      </c>
      <c r="I21" s="3"/>
      <c r="J21" s="88"/>
      <c r="K21" s="36"/>
      <c r="L21" s="88">
        <v>8230</v>
      </c>
      <c r="M21" s="88">
        <v>9035</v>
      </c>
      <c r="N21" s="89">
        <f>M21/L21*100</f>
        <v>109.78128797083839</v>
      </c>
      <c r="O21" s="36"/>
      <c r="P21" s="36"/>
      <c r="Q21" s="36"/>
      <c r="R21" s="36">
        <f t="shared" si="5"/>
        <v>145.80801944106926</v>
      </c>
      <c r="S21" s="36">
        <f t="shared" si="5"/>
        <v>199.22523519645824</v>
      </c>
      <c r="T21" s="36">
        <f>S21/R21*100</f>
        <v>136.6353071389043</v>
      </c>
    </row>
    <row r="22" spans="1:20" ht="18" customHeight="1">
      <c r="A22" s="141" t="s">
        <v>90</v>
      </c>
      <c r="B22" s="142"/>
      <c r="C22" s="88"/>
      <c r="D22" s="88"/>
      <c r="E22" s="36"/>
      <c r="F22" s="88">
        <f>SUM(F21)</f>
        <v>12</v>
      </c>
      <c r="G22" s="88">
        <f>SUM(G21)</f>
        <v>18</v>
      </c>
      <c r="H22" s="36">
        <f>G22/F22*100</f>
        <v>150</v>
      </c>
      <c r="I22" s="3"/>
      <c r="J22" s="88"/>
      <c r="K22" s="36"/>
      <c r="L22" s="88">
        <f>SUM(L21)</f>
        <v>8230</v>
      </c>
      <c r="M22" s="88">
        <f>SUM(M21)</f>
        <v>9035</v>
      </c>
      <c r="N22" s="89">
        <f>M22/L22*100</f>
        <v>109.78128797083839</v>
      </c>
      <c r="O22" s="36"/>
      <c r="P22" s="36"/>
      <c r="Q22" s="36"/>
      <c r="R22" s="36">
        <f>F22/L22*100000</f>
        <v>145.80801944106926</v>
      </c>
      <c r="S22" s="36">
        <f>G22/M22*100000</f>
        <v>199.22523519645824</v>
      </c>
      <c r="T22" s="36">
        <f>S22/R22*100</f>
        <v>136.6353071389043</v>
      </c>
    </row>
    <row r="23" spans="1:20" ht="36.75" customHeight="1">
      <c r="A23" s="137" t="s">
        <v>91</v>
      </c>
      <c r="B23" s="138"/>
      <c r="C23" s="89">
        <f>C20+C22</f>
        <v>403.86999999999995</v>
      </c>
      <c r="D23" s="89">
        <f>D20+D22</f>
        <v>615.36</v>
      </c>
      <c r="E23" s="36">
        <f>D23/C23*100</f>
        <v>152.36586030158222</v>
      </c>
      <c r="F23" s="89">
        <f>F20+F22</f>
        <v>2260</v>
      </c>
      <c r="G23" s="89">
        <f>G20+G22</f>
        <v>2654.6</v>
      </c>
      <c r="H23" s="36">
        <f>G23/F23*100</f>
        <v>117.46017699115043</v>
      </c>
      <c r="I23" s="3">
        <f>I20+I22</f>
        <v>124293</v>
      </c>
      <c r="J23" s="3">
        <f>J20+J22</f>
        <v>134250</v>
      </c>
      <c r="K23" s="36">
        <f t="shared" si="4"/>
        <v>108.01090970529314</v>
      </c>
      <c r="L23" s="89">
        <f>L20+L22</f>
        <v>595857</v>
      </c>
      <c r="M23" s="89">
        <f>M20+M22</f>
        <v>663305</v>
      </c>
      <c r="N23" s="89"/>
      <c r="O23" s="36">
        <f t="shared" si="6"/>
        <v>324.9338257182625</v>
      </c>
      <c r="P23" s="36">
        <f t="shared" si="6"/>
        <v>458.3687150837989</v>
      </c>
      <c r="Q23" s="36">
        <f>P23/O23*100</f>
        <v>141.06525046156096</v>
      </c>
      <c r="R23" s="36">
        <f>F23/L23*100000</f>
        <v>379.28563396922414</v>
      </c>
      <c r="S23" s="36">
        <f>G23/M23*100000</f>
        <v>400.2080490875238</v>
      </c>
      <c r="T23" s="36">
        <f>S23/R23*100</f>
        <v>105.51626880758616</v>
      </c>
    </row>
  </sheetData>
  <sheetProtection/>
  <mergeCells count="24">
    <mergeCell ref="R6:R7"/>
    <mergeCell ref="O6:O7"/>
    <mergeCell ref="G6:G7"/>
    <mergeCell ref="H5:H7"/>
    <mergeCell ref="J6:J7"/>
    <mergeCell ref="S6:S7"/>
    <mergeCell ref="F6:F7"/>
    <mergeCell ref="I6:I7"/>
    <mergeCell ref="K5:K7"/>
    <mergeCell ref="E5:E7"/>
    <mergeCell ref="Q5:Q7"/>
    <mergeCell ref="N5:N7"/>
    <mergeCell ref="I5:J5"/>
    <mergeCell ref="P6:P7"/>
    <mergeCell ref="C6:C7"/>
    <mergeCell ref="D6:D7"/>
    <mergeCell ref="A23:B23"/>
    <mergeCell ref="T5:T7"/>
    <mergeCell ref="L5:M5"/>
    <mergeCell ref="R5:S5"/>
    <mergeCell ref="L6:L7"/>
    <mergeCell ref="M6:M7"/>
    <mergeCell ref="A20:B20"/>
    <mergeCell ref="A22:B22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75" zoomScaleNormal="50" zoomScaleSheetLayoutView="75" zoomScalePageLayoutView="0" workbookViewId="0" topLeftCell="A1">
      <selection activeCell="L41" sqref="L41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7.375" style="0" customWidth="1"/>
    <col min="8" max="8" width="8.75390625" style="0" customWidth="1"/>
    <col min="9" max="9" width="8.375" style="0" customWidth="1"/>
    <col min="10" max="10" width="9.625" style="0" customWidth="1"/>
    <col min="11" max="11" width="13.75390625" style="0" customWidth="1"/>
    <col min="12" max="12" width="14.375" style="0" customWidth="1"/>
    <col min="13" max="13" width="9.125" style="72" customWidth="1"/>
  </cols>
  <sheetData>
    <row r="1" ht="15.75">
      <c r="C1" s="1" t="s">
        <v>117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54</v>
      </c>
      <c r="I2" s="20"/>
      <c r="J2" s="20"/>
      <c r="K2" s="20"/>
      <c r="L2" s="20"/>
    </row>
    <row r="3" spans="1:13" ht="15" customHeight="1">
      <c r="A3" s="23" t="s">
        <v>2</v>
      </c>
      <c r="B3" s="23" t="s">
        <v>3</v>
      </c>
      <c r="C3" s="25"/>
      <c r="D3" s="25" t="s">
        <v>51</v>
      </c>
      <c r="E3" s="27"/>
      <c r="F3" s="156" t="s">
        <v>10</v>
      </c>
      <c r="G3" s="157"/>
      <c r="H3" s="158"/>
      <c r="I3" s="25" t="s">
        <v>6</v>
      </c>
      <c r="J3" s="21" t="s">
        <v>7</v>
      </c>
      <c r="K3" s="161" t="s">
        <v>68</v>
      </c>
      <c r="L3" s="162"/>
      <c r="M3" s="159"/>
    </row>
    <row r="4" spans="1:13" ht="15" customHeight="1">
      <c r="A4" s="33"/>
      <c r="B4" s="33"/>
      <c r="C4" s="9">
        <v>2011</v>
      </c>
      <c r="D4" s="42">
        <v>2012</v>
      </c>
      <c r="E4" s="19" t="s">
        <v>4</v>
      </c>
      <c r="F4" s="9">
        <v>2011</v>
      </c>
      <c r="G4" s="42">
        <v>2012</v>
      </c>
      <c r="H4" s="19" t="s">
        <v>4</v>
      </c>
      <c r="I4" s="9">
        <v>2011</v>
      </c>
      <c r="J4" s="42">
        <v>2012</v>
      </c>
      <c r="K4" s="163" t="s">
        <v>1</v>
      </c>
      <c r="L4" s="163" t="s">
        <v>69</v>
      </c>
      <c r="M4" s="160"/>
    </row>
    <row r="5" spans="1:13" ht="15">
      <c r="A5" s="29"/>
      <c r="B5" s="29"/>
      <c r="C5" s="28"/>
      <c r="D5" s="35"/>
      <c r="E5" s="11">
        <v>2011</v>
      </c>
      <c r="F5" s="28"/>
      <c r="G5" s="35"/>
      <c r="H5" s="11">
        <v>2011</v>
      </c>
      <c r="I5" s="35"/>
      <c r="J5" s="29"/>
      <c r="K5" s="164"/>
      <c r="L5" s="164"/>
      <c r="M5" s="160"/>
    </row>
    <row r="6" spans="1:13" ht="15">
      <c r="A6" s="3">
        <v>1</v>
      </c>
      <c r="B6" s="22" t="s">
        <v>55</v>
      </c>
      <c r="C6" s="3"/>
      <c r="D6" s="3"/>
      <c r="E6" s="36"/>
      <c r="F6" s="3">
        <v>26</v>
      </c>
      <c r="G6" s="3">
        <v>14</v>
      </c>
      <c r="H6" s="89">
        <f aca="true" t="shared" si="0" ref="H6:H19">G6*100/F6</f>
        <v>53.84615384615385</v>
      </c>
      <c r="I6" s="124">
        <f>F6+(C6*0.2)+('численность 1'!M6*0.3)+'численность 1'!G6+(('численность 1'!C6-'численность 1'!G6)*0.6)</f>
        <v>316.4</v>
      </c>
      <c r="J6" s="124">
        <f>G6+(D6*0.2)+('численность 1'!N6*0.3)+'численность 1'!H6+(('численность 1'!D6-'численность 1'!H6)*0.6)</f>
        <v>274.4</v>
      </c>
      <c r="K6" s="3">
        <v>3000</v>
      </c>
      <c r="L6" s="3">
        <v>618</v>
      </c>
      <c r="M6" s="77"/>
    </row>
    <row r="7" spans="1:13" ht="15">
      <c r="A7" s="3">
        <v>2</v>
      </c>
      <c r="B7" s="22" t="s">
        <v>56</v>
      </c>
      <c r="C7" s="3"/>
      <c r="D7" s="3"/>
      <c r="E7" s="36"/>
      <c r="F7" s="3">
        <v>5</v>
      </c>
      <c r="G7" s="3">
        <v>4</v>
      </c>
      <c r="H7" s="89">
        <f t="shared" si="0"/>
        <v>80</v>
      </c>
      <c r="I7" s="124">
        <f>F7+(C7*0.2)+('численность 1'!M7*0.3)+'численность 1'!G7+(('численность 1'!C7-'численность 1'!G7)*0.6)</f>
        <v>192.2</v>
      </c>
      <c r="J7" s="124">
        <f>G7+(D7*0.2)+('численность 1'!N7*0.3)+'численность 1'!H7+(('численность 1'!D7-'численность 1'!H7)*0.6)</f>
        <v>192.39999999999998</v>
      </c>
      <c r="K7" s="3">
        <v>5329</v>
      </c>
      <c r="L7" s="3">
        <v>1187</v>
      </c>
      <c r="M7" s="77"/>
    </row>
    <row r="8" spans="1:13" ht="15">
      <c r="A8" s="3">
        <v>3</v>
      </c>
      <c r="B8" s="22" t="s">
        <v>57</v>
      </c>
      <c r="C8" s="3"/>
      <c r="D8" s="3"/>
      <c r="E8" s="36"/>
      <c r="F8" s="3">
        <v>1</v>
      </c>
      <c r="G8" s="3">
        <v>1</v>
      </c>
      <c r="H8" s="89">
        <f t="shared" si="0"/>
        <v>100</v>
      </c>
      <c r="I8" s="124">
        <f>F8+(C8*0.2)+('численность 1'!M8*0.3)+'численность 1'!G8+(('численность 1'!C8-'численность 1'!G8)*0.6)</f>
        <v>98.8</v>
      </c>
      <c r="J8" s="124">
        <f>G8+(D8*0.2)+('численность 1'!N8*0.3)+'численность 1'!H8+(('численность 1'!D8-'численность 1'!H8)*0.6)</f>
        <v>94.6</v>
      </c>
      <c r="K8" s="3">
        <v>792</v>
      </c>
      <c r="L8" s="3">
        <v>108</v>
      </c>
      <c r="M8" s="77"/>
    </row>
    <row r="9" spans="1:13" ht="15">
      <c r="A9" s="3">
        <v>4</v>
      </c>
      <c r="B9" s="22" t="s">
        <v>58</v>
      </c>
      <c r="C9" s="3"/>
      <c r="D9" s="3"/>
      <c r="E9" s="3"/>
      <c r="F9" s="3">
        <v>24</v>
      </c>
      <c r="G9" s="3">
        <v>20</v>
      </c>
      <c r="H9" s="89">
        <f t="shared" si="0"/>
        <v>83.33333333333333</v>
      </c>
      <c r="I9" s="124">
        <f>F9+(C9*0.2)+('численность 1'!M9*0.3)+'численность 1'!G9+(('численность 1'!C9-'численность 1'!G9)*0.6)</f>
        <v>766.0999999999999</v>
      </c>
      <c r="J9" s="124">
        <f>G9+(D9*0.2)+('численность 1'!N9*0.3)+'численность 1'!H9+(('численность 1'!D9-'численность 1'!H9)*0.6)</f>
        <v>788.8</v>
      </c>
      <c r="K9" s="88">
        <v>4450</v>
      </c>
      <c r="L9" s="88">
        <v>1463</v>
      </c>
      <c r="M9" s="77"/>
    </row>
    <row r="10" spans="1:13" ht="15">
      <c r="A10" s="3">
        <v>5</v>
      </c>
      <c r="B10" s="22" t="s">
        <v>59</v>
      </c>
      <c r="C10" s="86">
        <v>190</v>
      </c>
      <c r="D10" s="3">
        <v>140</v>
      </c>
      <c r="E10" s="89">
        <f>D10*100/C10</f>
        <v>73.6842105263158</v>
      </c>
      <c r="F10" s="3">
        <v>48</v>
      </c>
      <c r="G10" s="3">
        <v>16</v>
      </c>
      <c r="H10" s="89">
        <f t="shared" si="0"/>
        <v>33.333333333333336</v>
      </c>
      <c r="I10" s="124">
        <f>F10+(C10*0.2)+('численность 1'!M10*0.3)+'численность 1'!G10+(('численность 1'!C10-'численность 1'!G10)*0.6)</f>
        <v>628.2</v>
      </c>
      <c r="J10" s="124">
        <f>G10+(D10*0.2)+('численность 1'!N10*0.3)+'численность 1'!H10+(('численность 1'!D10-'численность 1'!H10)*0.6)</f>
        <v>437.70000000000005</v>
      </c>
      <c r="K10" s="3">
        <v>760</v>
      </c>
      <c r="L10" s="3">
        <v>637</v>
      </c>
      <c r="M10" s="77"/>
    </row>
    <row r="11" spans="1:13" ht="15">
      <c r="A11" s="3">
        <v>6</v>
      </c>
      <c r="B11" s="38" t="s">
        <v>73</v>
      </c>
      <c r="C11" s="88"/>
      <c r="D11" s="88"/>
      <c r="E11" s="89"/>
      <c r="F11" s="3">
        <v>8</v>
      </c>
      <c r="G11" s="3">
        <v>9</v>
      </c>
      <c r="H11" s="89">
        <f t="shared" si="0"/>
        <v>112.5</v>
      </c>
      <c r="I11" s="124">
        <f>F11+(C11*0.2)+('численность 1'!M11*0.3)+'численность 1'!G11+(('численность 1'!C11-'численность 1'!G11)*0.6)</f>
        <v>235.2</v>
      </c>
      <c r="J11" s="124">
        <f>G11+(D11*0.2)+('численность 1'!N11*0.3)+'численность 1'!H11+(('численность 1'!D11-'численность 1'!H11)*0.6)</f>
        <v>212.8</v>
      </c>
      <c r="K11" s="88">
        <v>9114</v>
      </c>
      <c r="L11" s="88">
        <v>1080</v>
      </c>
      <c r="M11" s="77"/>
    </row>
    <row r="12" spans="1:13" ht="15">
      <c r="A12" s="3">
        <v>7</v>
      </c>
      <c r="B12" s="22" t="s">
        <v>60</v>
      </c>
      <c r="C12" s="88"/>
      <c r="D12" s="88"/>
      <c r="E12" s="89"/>
      <c r="F12" s="88">
        <v>3</v>
      </c>
      <c r="G12" s="88"/>
      <c r="H12" s="89">
        <f t="shared" si="0"/>
        <v>0</v>
      </c>
      <c r="I12" s="124">
        <f>F12+(C12*0.2)+('численность 1'!M12*0.3)+'численность 1'!G12+(('численность 1'!C12-'численность 1'!G12)*0.6)</f>
        <v>143.39999999999998</v>
      </c>
      <c r="J12" s="124">
        <f>G12+(D12*0.2)+('численность 1'!N12*0.3)+'численность 1'!H12+(('численность 1'!D12-'численность 1'!H12)*0.6)</f>
        <v>0</v>
      </c>
      <c r="K12" s="88"/>
      <c r="L12" s="88"/>
      <c r="M12" s="77"/>
    </row>
    <row r="13" spans="1:13" ht="15">
      <c r="A13" s="3">
        <v>8</v>
      </c>
      <c r="B13" s="32" t="s">
        <v>87</v>
      </c>
      <c r="C13" s="88"/>
      <c r="D13" s="88"/>
      <c r="E13" s="89"/>
      <c r="F13" s="88"/>
      <c r="G13" s="88">
        <v>3</v>
      </c>
      <c r="H13" s="89"/>
      <c r="I13" s="124">
        <f>F13+(C13*0.2)+('численность 1'!M13*0.3)+'численность 1'!G13+(('численность 1'!C13-'численность 1'!G13)*0.6)</f>
        <v>0</v>
      </c>
      <c r="J13" s="124">
        <f>G13+(D13*0.2)+('численность 1'!N13*0.3)+'численность 1'!H13+(('численность 1'!D13-'численность 1'!H13)*0.6)</f>
        <v>174.2</v>
      </c>
      <c r="K13" s="88">
        <v>1625.9</v>
      </c>
      <c r="L13" s="88">
        <v>60</v>
      </c>
      <c r="M13" s="77"/>
    </row>
    <row r="14" spans="1:13" ht="15">
      <c r="A14" s="3">
        <v>9</v>
      </c>
      <c r="B14" s="32" t="s">
        <v>72</v>
      </c>
      <c r="C14" s="88">
        <v>154</v>
      </c>
      <c r="D14" s="88">
        <v>261</v>
      </c>
      <c r="E14" s="89">
        <f>D14*100/C14</f>
        <v>169.4805194805195</v>
      </c>
      <c r="F14" s="3">
        <v>5</v>
      </c>
      <c r="G14" s="3">
        <v>3</v>
      </c>
      <c r="H14" s="89">
        <f t="shared" si="0"/>
        <v>60</v>
      </c>
      <c r="I14" s="124">
        <f>F14+(C14*0.2)+('численность 1'!M14*0.3)+'численность 1'!G14+(('численность 1'!C14-'численность 1'!G14)*0.6)</f>
        <v>197.2</v>
      </c>
      <c r="J14" s="124">
        <f>G14+(D14*0.2)+('численность 1'!N14*0.3)+'численность 1'!H14+(('численность 1'!D14-'численность 1'!H14)*0.6)</f>
        <v>247.79999999999998</v>
      </c>
      <c r="K14" s="88">
        <v>5877</v>
      </c>
      <c r="L14" s="88">
        <v>1574</v>
      </c>
      <c r="M14" s="77"/>
    </row>
    <row r="15" spans="1:13" ht="15">
      <c r="A15" s="3">
        <v>10</v>
      </c>
      <c r="B15" s="22" t="s">
        <v>61</v>
      </c>
      <c r="C15" s="88"/>
      <c r="D15" s="88"/>
      <c r="E15" s="89"/>
      <c r="F15" s="3">
        <v>3</v>
      </c>
      <c r="G15" s="3">
        <v>5</v>
      </c>
      <c r="H15" s="89">
        <f t="shared" si="0"/>
        <v>166.66666666666666</v>
      </c>
      <c r="I15" s="124">
        <f>F15+(C15*0.2)+('численность 1'!M15*0.3)+'численность 1'!G15+(('численность 1'!C15-'численность 1'!G15)*0.6)</f>
        <v>193.6</v>
      </c>
      <c r="J15" s="124">
        <f>G15+(D15*0.2)+('численность 1'!N15*0.3)+'численность 1'!H15+(('численность 1'!D15-'численность 1'!H15)*0.6)</f>
        <v>189.6</v>
      </c>
      <c r="K15" s="88">
        <v>4330</v>
      </c>
      <c r="L15" s="88">
        <v>780</v>
      </c>
      <c r="M15" s="77"/>
    </row>
    <row r="16" spans="1:13" ht="15">
      <c r="A16" s="3">
        <v>11</v>
      </c>
      <c r="B16" s="22" t="s">
        <v>62</v>
      </c>
      <c r="C16" s="88"/>
      <c r="D16" s="88"/>
      <c r="E16" s="89"/>
      <c r="F16" s="3">
        <v>2</v>
      </c>
      <c r="G16" s="3">
        <v>1</v>
      </c>
      <c r="H16" s="89">
        <f t="shared" si="0"/>
        <v>50</v>
      </c>
      <c r="I16" s="124">
        <f>F16+(C16*0.2)+('численность 1'!M16*0.3)+'численность 1'!G16+(('численность 1'!C16-'численность 1'!G16)*0.6)</f>
        <v>79.4</v>
      </c>
      <c r="J16" s="124">
        <f>G16+(D16*0.2)+('численность 1'!N16*0.3)+'численность 1'!H16+(('численность 1'!D16-'численность 1'!H16)*0.6)</f>
        <v>47.2</v>
      </c>
      <c r="K16" s="88">
        <v>906</v>
      </c>
      <c r="L16" s="88">
        <v>234</v>
      </c>
      <c r="M16" s="77"/>
    </row>
    <row r="17" spans="1:13" ht="15">
      <c r="A17" s="3">
        <v>12</v>
      </c>
      <c r="B17" s="22" t="s">
        <v>63</v>
      </c>
      <c r="C17" s="88"/>
      <c r="D17" s="88"/>
      <c r="E17" s="89"/>
      <c r="F17" s="3">
        <v>1</v>
      </c>
      <c r="G17" s="3">
        <v>1</v>
      </c>
      <c r="H17" s="89">
        <f t="shared" si="0"/>
        <v>100</v>
      </c>
      <c r="I17" s="124">
        <f>F17+(C17*0.2)+('численность 1'!M17*0.3)+'численность 1'!G17+(('численность 1'!C17-'численность 1'!G17)*0.6)</f>
        <v>2761.6</v>
      </c>
      <c r="J17" s="124">
        <f>G17+(D17*0.2)+('численность 1'!N17*0.3)+'численность 1'!H17+(('численность 1'!D17-'численность 1'!H17)*0.6)</f>
        <v>2863.9</v>
      </c>
      <c r="K17" s="88">
        <v>5050</v>
      </c>
      <c r="L17" s="88">
        <v>5050</v>
      </c>
      <c r="M17" s="77"/>
    </row>
    <row r="18" spans="1:13" ht="15">
      <c r="A18" s="3">
        <v>13</v>
      </c>
      <c r="B18" s="32" t="s">
        <v>71</v>
      </c>
      <c r="C18" s="88"/>
      <c r="D18" s="88"/>
      <c r="E18" s="89"/>
      <c r="F18" s="3">
        <v>112</v>
      </c>
      <c r="G18" s="3">
        <v>158</v>
      </c>
      <c r="H18" s="89">
        <f t="shared" si="0"/>
        <v>141.07142857142858</v>
      </c>
      <c r="I18" s="124">
        <f>F18+(C18*0.2)+('численность 1'!M18*0.3)+'численность 1'!G18+(('численность 1'!C18-'численность 1'!G18)*0.6)</f>
        <v>112</v>
      </c>
      <c r="J18" s="124">
        <f>G18+(D18*0.2)+('численность 1'!N18*0.3)+'численность 1'!H18+(('численность 1'!D18-'численность 1'!H18)*0.6)</f>
        <v>158</v>
      </c>
      <c r="K18" s="88">
        <v>4310</v>
      </c>
      <c r="L18" s="88">
        <v>740</v>
      </c>
      <c r="M18" s="77"/>
    </row>
    <row r="19" spans="1:13" ht="60" customHeight="1">
      <c r="A19" s="152" t="s">
        <v>103</v>
      </c>
      <c r="B19" s="153"/>
      <c r="C19" s="88">
        <f>SUM(C10:C18)</f>
        <v>344</v>
      </c>
      <c r="D19" s="88">
        <f>SUM(D10:D18)</f>
        <v>401</v>
      </c>
      <c r="E19" s="89">
        <f>D19*100/C19</f>
        <v>116.56976744186046</v>
      </c>
      <c r="F19" s="3">
        <f>SUM(F6:F18)</f>
        <v>238</v>
      </c>
      <c r="G19" s="3">
        <f>SUM(G6:G18)</f>
        <v>235</v>
      </c>
      <c r="H19" s="89">
        <f t="shared" si="0"/>
        <v>98.73949579831933</v>
      </c>
      <c r="I19" s="124">
        <f>SUM(I6:I18)</f>
        <v>5724.1</v>
      </c>
      <c r="J19" s="124">
        <f>SUM(J6:J18)</f>
        <v>5681.4</v>
      </c>
      <c r="K19" s="88">
        <f>SUM(K6:K18)</f>
        <v>45543.9</v>
      </c>
      <c r="L19" s="88">
        <f>SUM(L6:L18)</f>
        <v>13531</v>
      </c>
      <c r="M19" s="77"/>
    </row>
    <row r="20" spans="1:13" ht="15">
      <c r="A20" s="3">
        <v>1</v>
      </c>
      <c r="B20" s="32" t="s">
        <v>82</v>
      </c>
      <c r="C20" s="88"/>
      <c r="D20" s="88"/>
      <c r="E20" s="89"/>
      <c r="F20" s="3"/>
      <c r="G20" s="3"/>
      <c r="H20" s="89"/>
      <c r="I20" s="124">
        <f>F20+(C20*0.2)+('численность 1'!M20*0.3)+'численность 1'!G20+(('численность 1'!C20-'численность 1'!G20)*0.6)</f>
        <v>33</v>
      </c>
      <c r="J20" s="124">
        <f>G20+(D20*0.2)+('численность 1'!N20*0.3)+'численность 1'!H20+(('численность 1'!D20-'численность 1'!H20)*0.6)</f>
        <v>30.599999999999998</v>
      </c>
      <c r="K20" s="121">
        <v>5</v>
      </c>
      <c r="L20" s="88">
        <v>5</v>
      </c>
      <c r="M20" s="77"/>
    </row>
    <row r="21" spans="1:13" ht="15">
      <c r="A21" s="3">
        <v>2</v>
      </c>
      <c r="B21" s="32" t="s">
        <v>88</v>
      </c>
      <c r="C21" s="3"/>
      <c r="D21" s="3">
        <v>57</v>
      </c>
      <c r="E21" s="36"/>
      <c r="F21" s="3"/>
      <c r="G21" s="3">
        <v>7</v>
      </c>
      <c r="H21" s="89"/>
      <c r="I21" s="124">
        <f>F21+(C21*0.2)+('численность 1'!M21*0.3)+'численность 1'!G21+(('численность 1'!C21-'численность 1'!G21)*0.6)</f>
        <v>0</v>
      </c>
      <c r="J21" s="124">
        <f>G21+(D21*0.2)+('численность 1'!N21*0.3)+'численность 1'!H21+(('численность 1'!D21-'численность 1'!H21)*0.6)</f>
        <v>18.4</v>
      </c>
      <c r="K21" s="3">
        <v>215</v>
      </c>
      <c r="L21" s="3">
        <v>15</v>
      </c>
      <c r="M21" s="77"/>
    </row>
    <row r="22" spans="1:12" ht="25.5" customHeight="1">
      <c r="A22" s="152" t="s">
        <v>90</v>
      </c>
      <c r="B22" s="153"/>
      <c r="C22" s="88">
        <f>SUM(C21)</f>
        <v>0</v>
      </c>
      <c r="D22" s="88">
        <f>SUM(D21)</f>
        <v>57</v>
      </c>
      <c r="E22" s="36"/>
      <c r="F22" s="88">
        <f>SUM(F20:F21)</f>
        <v>0</v>
      </c>
      <c r="G22" s="88">
        <f>SUM(G20:G21)</f>
        <v>7</v>
      </c>
      <c r="H22" s="89"/>
      <c r="I22" s="124">
        <f>SUM(I20:I21)</f>
        <v>33</v>
      </c>
      <c r="J22" s="124">
        <f>SUM(J20:J21)</f>
        <v>49</v>
      </c>
      <c r="K22" s="88">
        <f>SUM(K20:K21)</f>
        <v>220</v>
      </c>
      <c r="L22" s="88">
        <f>SUM(L20:L21)</f>
        <v>20</v>
      </c>
    </row>
    <row r="23" spans="1:12" ht="41.25" customHeight="1">
      <c r="A23" s="154" t="s">
        <v>91</v>
      </c>
      <c r="B23" s="155"/>
      <c r="C23" s="88">
        <f>C19+C22</f>
        <v>344</v>
      </c>
      <c r="D23" s="88">
        <f>D19+D22</f>
        <v>458</v>
      </c>
      <c r="E23" s="36">
        <f>D23/C23*100</f>
        <v>133.13953488372093</v>
      </c>
      <c r="F23" s="88">
        <f>F19+F22</f>
        <v>238</v>
      </c>
      <c r="G23" s="88">
        <f>G19+G22</f>
        <v>242</v>
      </c>
      <c r="H23" s="89">
        <f>G23*100/F23</f>
        <v>101.68067226890756</v>
      </c>
      <c r="I23" s="121">
        <f>I19+I22</f>
        <v>5757.1</v>
      </c>
      <c r="J23" s="121">
        <f>J19+J22</f>
        <v>5730.4</v>
      </c>
      <c r="K23" s="88">
        <f>K19+K22</f>
        <v>45763.9</v>
      </c>
      <c r="L23" s="88">
        <f>L19+L22</f>
        <v>13551</v>
      </c>
    </row>
  </sheetData>
  <sheetProtection/>
  <mergeCells count="8">
    <mergeCell ref="A22:B22"/>
    <mergeCell ref="A23:B23"/>
    <mergeCell ref="F3:H3"/>
    <mergeCell ref="M3:M5"/>
    <mergeCell ref="K3:L3"/>
    <mergeCell ref="K4:K5"/>
    <mergeCell ref="L4:L5"/>
    <mergeCell ref="A19:B19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60" zoomScaleNormal="50" zoomScalePageLayoutView="0" workbookViewId="0" topLeftCell="A1">
      <selection activeCell="M44" sqref="M44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116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5" t="s">
        <v>3</v>
      </c>
      <c r="C3" s="128" t="s">
        <v>75</v>
      </c>
      <c r="D3" s="135"/>
      <c r="E3" s="136"/>
      <c r="F3" s="147" t="s">
        <v>74</v>
      </c>
      <c r="G3" s="128" t="s">
        <v>8</v>
      </c>
      <c r="H3" s="135"/>
      <c r="I3" s="136"/>
      <c r="J3" s="165" t="s">
        <v>67</v>
      </c>
      <c r="K3" s="166"/>
      <c r="L3" s="167"/>
      <c r="M3" s="128" t="s">
        <v>9</v>
      </c>
      <c r="N3" s="135"/>
      <c r="O3" s="135"/>
      <c r="P3" s="135"/>
      <c r="Q3" s="135"/>
      <c r="R3" s="135"/>
      <c r="S3" s="135"/>
      <c r="T3" s="135"/>
      <c r="U3" s="136"/>
    </row>
    <row r="4" spans="1:21" s="20" customFormat="1" ht="23.25" customHeight="1">
      <c r="A4" s="33"/>
      <c r="B4" s="170"/>
      <c r="C4" s="145">
        <v>2011</v>
      </c>
      <c r="D4" s="145">
        <v>2012</v>
      </c>
      <c r="E4" s="101" t="s">
        <v>4</v>
      </c>
      <c r="F4" s="148"/>
      <c r="G4" s="145">
        <v>2011</v>
      </c>
      <c r="H4" s="145">
        <v>2012</v>
      </c>
      <c r="I4" s="101" t="s">
        <v>4</v>
      </c>
      <c r="J4" s="145">
        <v>2011</v>
      </c>
      <c r="K4" s="145">
        <v>2012</v>
      </c>
      <c r="L4" s="101" t="s">
        <v>4</v>
      </c>
      <c r="M4" s="145">
        <v>2011</v>
      </c>
      <c r="N4" s="145">
        <v>2012</v>
      </c>
      <c r="O4" s="101" t="s">
        <v>4</v>
      </c>
      <c r="P4" s="98" t="s">
        <v>5</v>
      </c>
      <c r="Q4" s="102" t="s">
        <v>66</v>
      </c>
      <c r="R4" s="147" t="s">
        <v>102</v>
      </c>
      <c r="S4" s="98" t="s">
        <v>50</v>
      </c>
      <c r="T4" s="103"/>
      <c r="U4" s="147" t="s">
        <v>102</v>
      </c>
    </row>
    <row r="5" spans="1:21" s="20" customFormat="1" ht="23.25" customHeight="1">
      <c r="A5" s="29"/>
      <c r="B5" s="146"/>
      <c r="C5" s="168"/>
      <c r="D5" s="168"/>
      <c r="E5" s="104">
        <v>2011</v>
      </c>
      <c r="F5" s="149"/>
      <c r="G5" s="168"/>
      <c r="H5" s="168"/>
      <c r="I5" s="104">
        <v>2011</v>
      </c>
      <c r="J5" s="168"/>
      <c r="K5" s="168"/>
      <c r="L5" s="104">
        <v>2011</v>
      </c>
      <c r="M5" s="168"/>
      <c r="N5" s="168"/>
      <c r="O5" s="104">
        <v>2011</v>
      </c>
      <c r="P5" s="99">
        <v>2011</v>
      </c>
      <c r="Q5" s="99">
        <v>2012</v>
      </c>
      <c r="R5" s="169"/>
      <c r="S5" s="99">
        <v>2011</v>
      </c>
      <c r="T5" s="99">
        <v>2012</v>
      </c>
      <c r="U5" s="169"/>
    </row>
    <row r="6" spans="1:34" s="20" customFormat="1" ht="24.75" customHeight="1">
      <c r="A6" s="3">
        <v>1</v>
      </c>
      <c r="B6" s="22" t="s">
        <v>55</v>
      </c>
      <c r="C6" s="3">
        <v>364</v>
      </c>
      <c r="D6" s="3">
        <v>314</v>
      </c>
      <c r="E6" s="36">
        <f aca="true" t="shared" si="0" ref="E6:E16">D6*100/C6</f>
        <v>86.26373626373626</v>
      </c>
      <c r="F6" s="3">
        <v>5</v>
      </c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3">K6*100/J6</f>
        <v>100</v>
      </c>
      <c r="M6" s="66"/>
      <c r="N6" s="3"/>
      <c r="O6" s="36"/>
      <c r="P6" s="66"/>
      <c r="Q6" s="3"/>
      <c r="R6" s="36"/>
      <c r="S6" s="111"/>
      <c r="T6" s="36"/>
      <c r="U6" s="36"/>
      <c r="AH6" s="86"/>
    </row>
    <row r="7" spans="1:34" s="20" customFormat="1" ht="24.75" customHeight="1">
      <c r="A7" s="3">
        <v>2</v>
      </c>
      <c r="B7" s="22" t="s">
        <v>56</v>
      </c>
      <c r="C7" s="3">
        <v>242</v>
      </c>
      <c r="D7" s="3">
        <v>244</v>
      </c>
      <c r="E7" s="36">
        <f t="shared" si="0"/>
        <v>100.82644628099173</v>
      </c>
      <c r="F7" s="3">
        <v>16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6"/>
      <c r="N7" s="3"/>
      <c r="O7" s="36"/>
      <c r="P7" s="66"/>
      <c r="Q7" s="3"/>
      <c r="R7" s="36"/>
      <c r="S7" s="111"/>
      <c r="T7" s="36"/>
      <c r="U7" s="36"/>
      <c r="AH7" s="86"/>
    </row>
    <row r="8" spans="1:34" s="20" customFormat="1" ht="24.75" customHeight="1">
      <c r="A8" s="3">
        <v>3</v>
      </c>
      <c r="B8" s="22" t="s">
        <v>57</v>
      </c>
      <c r="C8" s="3">
        <v>123</v>
      </c>
      <c r="D8" s="3">
        <v>116</v>
      </c>
      <c r="E8" s="36">
        <f t="shared" si="0"/>
        <v>94.3089430894309</v>
      </c>
      <c r="F8" s="88">
        <v>2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66"/>
      <c r="N8" s="3"/>
      <c r="O8" s="100"/>
      <c r="P8" s="66"/>
      <c r="Q8" s="3"/>
      <c r="R8" s="36"/>
      <c r="S8" s="111"/>
      <c r="T8" s="36"/>
      <c r="U8" s="36"/>
      <c r="AH8" s="86"/>
    </row>
    <row r="9" spans="1:34" s="20" customFormat="1" ht="24.75" customHeight="1">
      <c r="A9" s="3">
        <v>4</v>
      </c>
      <c r="B9" s="22" t="s">
        <v>58</v>
      </c>
      <c r="C9" s="3">
        <v>797</v>
      </c>
      <c r="D9" s="3">
        <v>812</v>
      </c>
      <c r="E9" s="36">
        <f t="shared" si="0"/>
        <v>101.88205771643663</v>
      </c>
      <c r="F9" s="3">
        <v>36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469</v>
      </c>
      <c r="N9" s="3">
        <v>528</v>
      </c>
      <c r="O9" s="36">
        <f>N9*100/M9</f>
        <v>112.57995735607676</v>
      </c>
      <c r="P9" s="3">
        <v>20</v>
      </c>
      <c r="Q9" s="3">
        <v>28</v>
      </c>
      <c r="R9" s="36">
        <f>Q9*100/P9</f>
        <v>140</v>
      </c>
      <c r="S9" s="3">
        <v>25</v>
      </c>
      <c r="T9" s="3">
        <v>39</v>
      </c>
      <c r="U9" s="36">
        <f>T9*100/S9</f>
        <v>156</v>
      </c>
      <c r="AH9" s="86"/>
    </row>
    <row r="10" spans="1:34" s="20" customFormat="1" ht="24.75" customHeight="1">
      <c r="A10" s="3">
        <v>5</v>
      </c>
      <c r="B10" s="22" t="s">
        <v>59</v>
      </c>
      <c r="C10" s="3">
        <v>500</v>
      </c>
      <c r="D10" s="3">
        <v>376</v>
      </c>
      <c r="E10" s="36">
        <f t="shared" si="0"/>
        <v>75.2</v>
      </c>
      <c r="F10" s="88">
        <v>0</v>
      </c>
      <c r="G10" s="3">
        <v>280</v>
      </c>
      <c r="H10" s="3">
        <v>250</v>
      </c>
      <c r="I10" s="36">
        <f t="shared" si="1"/>
        <v>89.28571428571429</v>
      </c>
      <c r="J10" s="3">
        <v>280</v>
      </c>
      <c r="K10" s="3">
        <v>250</v>
      </c>
      <c r="L10" s="36">
        <f t="shared" si="2"/>
        <v>89.28571428571429</v>
      </c>
      <c r="M10" s="3">
        <v>434</v>
      </c>
      <c r="N10" s="3">
        <v>227</v>
      </c>
      <c r="O10" s="36">
        <f>N10*100/M10</f>
        <v>52.30414746543779</v>
      </c>
      <c r="P10" s="3">
        <v>80</v>
      </c>
      <c r="Q10" s="3">
        <v>80</v>
      </c>
      <c r="R10" s="36">
        <f>Q10*100/P10</f>
        <v>100</v>
      </c>
      <c r="S10" s="3">
        <v>7</v>
      </c>
      <c r="T10" s="121">
        <v>7</v>
      </c>
      <c r="U10" s="36">
        <f>T10*100/S10</f>
        <v>100</v>
      </c>
      <c r="AH10" s="86"/>
    </row>
    <row r="11" spans="1:34" s="20" customFormat="1" ht="24.75" customHeight="1">
      <c r="A11" s="3">
        <v>6</v>
      </c>
      <c r="B11" s="38" t="s">
        <v>73</v>
      </c>
      <c r="C11" s="3">
        <v>322</v>
      </c>
      <c r="D11" s="3">
        <v>283</v>
      </c>
      <c r="E11" s="36">
        <f t="shared" si="0"/>
        <v>87.88819875776397</v>
      </c>
      <c r="F11" s="88">
        <v>24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6"/>
    </row>
    <row r="12" spans="1:34" s="20" customFormat="1" ht="24.75" customHeight="1">
      <c r="A12" s="3">
        <v>7</v>
      </c>
      <c r="B12" s="22" t="s">
        <v>60</v>
      </c>
      <c r="C12" s="3">
        <v>194</v>
      </c>
      <c r="D12" s="3"/>
      <c r="E12" s="36">
        <f t="shared" si="0"/>
        <v>0</v>
      </c>
      <c r="F12" s="3"/>
      <c r="G12" s="3">
        <v>60</v>
      </c>
      <c r="H12" s="3"/>
      <c r="I12" s="36">
        <f t="shared" si="1"/>
        <v>0</v>
      </c>
      <c r="J12" s="3">
        <v>60</v>
      </c>
      <c r="K12" s="3"/>
      <c r="L12" s="36">
        <f t="shared" si="2"/>
        <v>0</v>
      </c>
      <c r="M12" s="3"/>
      <c r="N12" s="3"/>
      <c r="O12" s="36"/>
      <c r="P12" s="3"/>
      <c r="Q12" s="3"/>
      <c r="R12" s="36"/>
      <c r="S12" s="3"/>
      <c r="T12" s="3"/>
      <c r="U12" s="36"/>
      <c r="AH12" s="86"/>
    </row>
    <row r="13" spans="1:34" s="20" customFormat="1" ht="24.75" customHeight="1">
      <c r="A13" s="3">
        <v>8</v>
      </c>
      <c r="B13" s="32" t="s">
        <v>87</v>
      </c>
      <c r="C13" s="3"/>
      <c r="D13" s="3">
        <v>242</v>
      </c>
      <c r="E13" s="36"/>
      <c r="F13" s="3">
        <v>8</v>
      </c>
      <c r="G13" s="3"/>
      <c r="H13" s="3">
        <v>65</v>
      </c>
      <c r="I13" s="36"/>
      <c r="J13" s="3"/>
      <c r="K13" s="3">
        <v>65</v>
      </c>
      <c r="L13" s="36"/>
      <c r="M13" s="3"/>
      <c r="N13" s="3"/>
      <c r="O13" s="36"/>
      <c r="P13" s="3"/>
      <c r="Q13" s="3"/>
      <c r="R13" s="36"/>
      <c r="S13" s="3"/>
      <c r="T13" s="3"/>
      <c r="U13" s="36"/>
      <c r="AH13" s="86"/>
    </row>
    <row r="14" spans="1:34" s="20" customFormat="1" ht="24.75" customHeight="1">
      <c r="A14" s="3">
        <v>9</v>
      </c>
      <c r="B14" s="32" t="s">
        <v>72</v>
      </c>
      <c r="C14" s="3">
        <v>217</v>
      </c>
      <c r="D14" s="3">
        <v>269</v>
      </c>
      <c r="E14" s="36">
        <f t="shared" si="0"/>
        <v>123.963133640553</v>
      </c>
      <c r="F14" s="3">
        <v>28</v>
      </c>
      <c r="G14" s="3">
        <v>78</v>
      </c>
      <c r="H14" s="3">
        <v>78</v>
      </c>
      <c r="I14" s="36">
        <f t="shared" si="1"/>
        <v>100</v>
      </c>
      <c r="J14" s="3">
        <v>78</v>
      </c>
      <c r="K14" s="3">
        <v>78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6"/>
    </row>
    <row r="15" spans="1:34" s="20" customFormat="1" ht="24.75" customHeight="1">
      <c r="A15" s="3">
        <v>10</v>
      </c>
      <c r="B15" s="22" t="s">
        <v>61</v>
      </c>
      <c r="C15" s="3">
        <v>251</v>
      </c>
      <c r="D15" s="3">
        <v>241</v>
      </c>
      <c r="E15" s="36">
        <f t="shared" si="0"/>
        <v>96.01593625498008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86"/>
    </row>
    <row r="16" spans="1:34" s="20" customFormat="1" ht="24.75" customHeight="1">
      <c r="A16" s="3">
        <v>11</v>
      </c>
      <c r="B16" s="22" t="s">
        <v>62</v>
      </c>
      <c r="C16" s="3">
        <v>101</v>
      </c>
      <c r="D16" s="3">
        <v>49</v>
      </c>
      <c r="E16" s="36">
        <f t="shared" si="0"/>
        <v>48.51485148514851</v>
      </c>
      <c r="F16" s="3">
        <v>2</v>
      </c>
      <c r="G16" s="3">
        <v>42</v>
      </c>
      <c r="H16" s="3">
        <v>42</v>
      </c>
      <c r="I16" s="36">
        <f t="shared" si="1"/>
        <v>100</v>
      </c>
      <c r="J16" s="3">
        <v>42</v>
      </c>
      <c r="K16" s="3">
        <v>42</v>
      </c>
      <c r="L16" s="36">
        <f t="shared" si="2"/>
        <v>100</v>
      </c>
      <c r="M16" s="3"/>
      <c r="N16" s="3"/>
      <c r="O16" s="36"/>
      <c r="P16" s="3"/>
      <c r="Q16" s="3"/>
      <c r="R16" s="36"/>
      <c r="S16" s="3"/>
      <c r="T16" s="3"/>
      <c r="U16" s="36"/>
      <c r="AH16" s="86"/>
    </row>
    <row r="17" spans="1:34" s="20" customFormat="1" ht="24.75" customHeight="1">
      <c r="A17" s="3">
        <v>12</v>
      </c>
      <c r="B17" s="22" t="s">
        <v>63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9202</v>
      </c>
      <c r="N17" s="3">
        <v>9543</v>
      </c>
      <c r="O17" s="36">
        <f>N17*100/M17</f>
        <v>103.70571614866333</v>
      </c>
      <c r="P17" s="3">
        <v>240</v>
      </c>
      <c r="Q17" s="3">
        <v>240</v>
      </c>
      <c r="R17" s="36">
        <f>Q17*100/P17</f>
        <v>100</v>
      </c>
      <c r="S17" s="3">
        <v>513</v>
      </c>
      <c r="T17" s="3">
        <v>396</v>
      </c>
      <c r="U17" s="36">
        <f>T17*100/S17</f>
        <v>77.19298245614036</v>
      </c>
      <c r="AH17" s="86"/>
    </row>
    <row r="18" spans="1:34" s="20" customFormat="1" ht="24.75" customHeight="1">
      <c r="A18" s="3">
        <v>13</v>
      </c>
      <c r="B18" s="32" t="s">
        <v>71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6"/>
    </row>
    <row r="19" spans="1:21" s="20" customFormat="1" ht="57" customHeight="1">
      <c r="A19" s="152" t="s">
        <v>103</v>
      </c>
      <c r="B19" s="153"/>
      <c r="C19" s="3">
        <f>SUM(C6:C18)</f>
        <v>3111</v>
      </c>
      <c r="D19" s="3">
        <f>SUM(D6:D18)</f>
        <v>2946</v>
      </c>
      <c r="E19" s="36">
        <f>D19*100/C19</f>
        <v>94.69623915139826</v>
      </c>
      <c r="F19" s="3">
        <f>SUM(F6:F18)</f>
        <v>137</v>
      </c>
      <c r="G19" s="3">
        <f>SUM(G6:G18)</f>
        <v>1298</v>
      </c>
      <c r="H19" s="3">
        <f>SUM(H6:H18)</f>
        <v>1273</v>
      </c>
      <c r="I19" s="36">
        <f>H19*100/G19</f>
        <v>98.07395993836671</v>
      </c>
      <c r="J19" s="3">
        <f>SUM(J6:J18)</f>
        <v>1298</v>
      </c>
      <c r="K19" s="3">
        <f>SUM(K6:K18)</f>
        <v>1273</v>
      </c>
      <c r="L19" s="36">
        <f t="shared" si="2"/>
        <v>98.07395993836671</v>
      </c>
      <c r="M19" s="3">
        <f>SUM(M9:M18)</f>
        <v>10105</v>
      </c>
      <c r="N19" s="3">
        <f>SUM(N9:N18)</f>
        <v>10298</v>
      </c>
      <c r="O19" s="36">
        <f>N19*100/M19</f>
        <v>101.90994557149926</v>
      </c>
      <c r="P19" s="3">
        <f>SUM(P9:P18)</f>
        <v>340</v>
      </c>
      <c r="Q19" s="3">
        <f>SUM(Q9:Q18)</f>
        <v>348</v>
      </c>
      <c r="R19" s="36">
        <f>Q19*100/P19</f>
        <v>102.3529411764706</v>
      </c>
      <c r="S19" s="3">
        <f>SUM(S9:S18)</f>
        <v>545</v>
      </c>
      <c r="T19" s="36">
        <f>SUM(T9:T18)</f>
        <v>442</v>
      </c>
      <c r="U19" s="36">
        <f>T19*100/S19</f>
        <v>81.10091743119266</v>
      </c>
    </row>
    <row r="20" spans="1:34" s="20" customFormat="1" ht="24.75" customHeight="1">
      <c r="A20" s="3">
        <v>1</v>
      </c>
      <c r="B20" s="32" t="s">
        <v>82</v>
      </c>
      <c r="C20" s="3"/>
      <c r="D20" s="3"/>
      <c r="E20" s="36"/>
      <c r="F20" s="3"/>
      <c r="G20" s="3"/>
      <c r="H20" s="3"/>
      <c r="I20" s="36"/>
      <c r="J20" s="3"/>
      <c r="K20" s="3"/>
      <c r="L20" s="36"/>
      <c r="M20" s="3">
        <v>110</v>
      </c>
      <c r="N20" s="3">
        <v>102</v>
      </c>
      <c r="O20" s="36">
        <f>N20*100/M20</f>
        <v>92.72727272727273</v>
      </c>
      <c r="P20" s="3">
        <v>10</v>
      </c>
      <c r="Q20" s="3">
        <v>10</v>
      </c>
      <c r="R20" s="36">
        <f>Q20*100/P20</f>
        <v>100</v>
      </c>
      <c r="S20" s="3">
        <v>2</v>
      </c>
      <c r="T20" s="3"/>
      <c r="U20" s="36">
        <f>T20*100/S20</f>
        <v>0</v>
      </c>
      <c r="AH20" s="86"/>
    </row>
    <row r="21" spans="1:34" s="20" customFormat="1" ht="24.75" customHeight="1">
      <c r="A21" s="3">
        <v>2</v>
      </c>
      <c r="B21" s="32" t="s">
        <v>88</v>
      </c>
      <c r="C21" s="3"/>
      <c r="D21" s="3"/>
      <c r="E21" s="36"/>
      <c r="F21" s="3"/>
      <c r="G21" s="3"/>
      <c r="H21" s="3"/>
      <c r="I21" s="36"/>
      <c r="J21" s="3"/>
      <c r="K21" s="3"/>
      <c r="L21" s="36"/>
      <c r="M21" s="3"/>
      <c r="N21" s="3"/>
      <c r="O21" s="36"/>
      <c r="P21" s="3"/>
      <c r="Q21" s="3"/>
      <c r="R21" s="36"/>
      <c r="S21" s="3"/>
      <c r="T21" s="3"/>
      <c r="U21" s="36"/>
      <c r="AH21" s="86"/>
    </row>
    <row r="22" spans="1:34" s="20" customFormat="1" ht="24.75" customHeight="1">
      <c r="A22" s="152" t="s">
        <v>90</v>
      </c>
      <c r="B22" s="153"/>
      <c r="C22" s="3"/>
      <c r="D22" s="3"/>
      <c r="E22" s="36"/>
      <c r="F22" s="3"/>
      <c r="G22" s="3"/>
      <c r="H22" s="3"/>
      <c r="I22" s="36"/>
      <c r="J22" s="3"/>
      <c r="K22" s="3"/>
      <c r="L22" s="36"/>
      <c r="M22" s="3">
        <f>SUM(M20:M21)</f>
        <v>110</v>
      </c>
      <c r="N22" s="3">
        <f>SUM(N20:N21)</f>
        <v>102</v>
      </c>
      <c r="O22" s="36">
        <f>N22*100/M22</f>
        <v>92.72727272727273</v>
      </c>
      <c r="P22" s="3">
        <f>SUM(P20:P21)</f>
        <v>10</v>
      </c>
      <c r="Q22" s="3">
        <f>SUM(Q20:Q21)</f>
        <v>10</v>
      </c>
      <c r="R22" s="36">
        <f>Q22*100/P22</f>
        <v>100</v>
      </c>
      <c r="S22" s="3">
        <f>SUM(S20:S21)</f>
        <v>2</v>
      </c>
      <c r="T22" s="3">
        <f>SUM(T20:T21)</f>
        <v>0</v>
      </c>
      <c r="U22" s="36">
        <f>T22*100/S22</f>
        <v>0</v>
      </c>
      <c r="AH22" s="86"/>
    </row>
    <row r="23" spans="1:34" s="20" customFormat="1" ht="36" customHeight="1">
      <c r="A23" s="154" t="s">
        <v>91</v>
      </c>
      <c r="B23" s="155"/>
      <c r="C23" s="3">
        <f>C19+C22</f>
        <v>3111</v>
      </c>
      <c r="D23" s="3">
        <f>D19+D22</f>
        <v>2946</v>
      </c>
      <c r="E23" s="36">
        <f>D23*100/C23</f>
        <v>94.69623915139826</v>
      </c>
      <c r="F23" s="3">
        <f>F19+F22</f>
        <v>137</v>
      </c>
      <c r="G23" s="3">
        <f>G19+G22</f>
        <v>1298</v>
      </c>
      <c r="H23" s="3">
        <f>H19+H22</f>
        <v>1273</v>
      </c>
      <c r="I23" s="36">
        <f>H23*100/G23</f>
        <v>98.07395993836671</v>
      </c>
      <c r="J23" s="3">
        <f>J19+J22</f>
        <v>1298</v>
      </c>
      <c r="K23" s="3">
        <f>K19+K22</f>
        <v>1273</v>
      </c>
      <c r="L23" s="36">
        <f t="shared" si="2"/>
        <v>98.07395993836671</v>
      </c>
      <c r="M23" s="3">
        <f>M19+M22</f>
        <v>10215</v>
      </c>
      <c r="N23" s="3">
        <f>N19+N22</f>
        <v>10400</v>
      </c>
      <c r="O23" s="36">
        <f>N23*100/M23</f>
        <v>101.81106216348508</v>
      </c>
      <c r="P23" s="3">
        <f>P19+P22</f>
        <v>350</v>
      </c>
      <c r="Q23" s="3">
        <f>Q19+Q22</f>
        <v>358</v>
      </c>
      <c r="R23" s="36">
        <f>Q23*100/P23</f>
        <v>102.28571428571429</v>
      </c>
      <c r="S23" s="3">
        <f>S19+S22</f>
        <v>547</v>
      </c>
      <c r="T23" s="3">
        <f>T19+T22</f>
        <v>442</v>
      </c>
      <c r="U23" s="36">
        <f>T23*100/S23</f>
        <v>80.80438756855575</v>
      </c>
      <c r="AH23" s="86"/>
    </row>
  </sheetData>
  <sheetProtection/>
  <mergeCells count="19">
    <mergeCell ref="A22:B22"/>
    <mergeCell ref="A23:B23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A19:B19"/>
    <mergeCell ref="J3:L3"/>
    <mergeCell ref="J4:J5"/>
    <mergeCell ref="K4:K5"/>
    <mergeCell ref="M3:U3"/>
    <mergeCell ref="N4:N5"/>
    <mergeCell ref="R4:R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view="pageBreakPreview" zoomScale="75" zoomScaleNormal="75" zoomScaleSheetLayoutView="75" zoomScalePageLayoutView="0" workbookViewId="0" topLeftCell="A1">
      <selection activeCell="H28" sqref="H28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115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71" t="s">
        <v>106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2.75">
      <c r="A4" s="145" t="s">
        <v>2</v>
      </c>
      <c r="B4" s="147" t="s">
        <v>3</v>
      </c>
      <c r="C4" s="150" t="s">
        <v>79</v>
      </c>
      <c r="D4" s="180"/>
      <c r="E4" s="177"/>
      <c r="F4" s="172" t="s">
        <v>64</v>
      </c>
      <c r="G4" s="173"/>
      <c r="H4" s="172" t="s">
        <v>78</v>
      </c>
      <c r="I4" s="176"/>
      <c r="J4" s="177"/>
      <c r="K4" s="172" t="s">
        <v>76</v>
      </c>
      <c r="L4" s="173"/>
      <c r="M4" s="172" t="s">
        <v>77</v>
      </c>
      <c r="N4" s="173"/>
    </row>
    <row r="5" spans="1:14" ht="31.5" customHeight="1">
      <c r="A5" s="170"/>
      <c r="B5" s="148"/>
      <c r="C5" s="181"/>
      <c r="D5" s="182"/>
      <c r="E5" s="183"/>
      <c r="F5" s="174"/>
      <c r="G5" s="175"/>
      <c r="H5" s="174"/>
      <c r="I5" s="178"/>
      <c r="J5" s="179"/>
      <c r="K5" s="174"/>
      <c r="L5" s="175"/>
      <c r="M5" s="174"/>
      <c r="N5" s="175"/>
    </row>
    <row r="6" spans="1:14" ht="30">
      <c r="A6" s="146"/>
      <c r="B6" s="149"/>
      <c r="C6" s="3">
        <v>2011</v>
      </c>
      <c r="D6" s="19">
        <v>2012</v>
      </c>
      <c r="E6" s="96" t="s">
        <v>109</v>
      </c>
      <c r="F6" s="3">
        <v>2011</v>
      </c>
      <c r="G6" s="19">
        <v>2012</v>
      </c>
      <c r="H6" s="3">
        <v>2011</v>
      </c>
      <c r="I6" s="19">
        <v>2012</v>
      </c>
      <c r="J6" s="96" t="s">
        <v>109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>
        <v>106</v>
      </c>
      <c r="D7" s="31">
        <v>255</v>
      </c>
      <c r="E7" s="31">
        <f aca="true" t="shared" si="0" ref="E7:E13">D7-C7</f>
        <v>149</v>
      </c>
      <c r="F7" s="31">
        <v>106</v>
      </c>
      <c r="G7" s="31">
        <v>150</v>
      </c>
      <c r="H7" s="75">
        <f>F7*100/20</f>
        <v>530</v>
      </c>
      <c r="I7" s="75">
        <f>G7*100/28</f>
        <v>535.7142857142857</v>
      </c>
      <c r="J7" s="74">
        <f aca="true" t="shared" si="1" ref="J7:J13">I7-H7</f>
        <v>5.714285714285666</v>
      </c>
      <c r="K7" s="31">
        <v>31</v>
      </c>
      <c r="L7" s="31">
        <v>17</v>
      </c>
      <c r="M7" s="94">
        <f aca="true" t="shared" si="2" ref="M7:M13">G7/L7</f>
        <v>8.823529411764707</v>
      </c>
      <c r="N7" s="94">
        <f aca="true" t="shared" si="3" ref="N7:N13">(D7-G7)/(K7-L7)</f>
        <v>7.5</v>
      </c>
    </row>
    <row r="8" spans="1:15" ht="16.5" customHeight="1">
      <c r="A8" s="31">
        <v>2</v>
      </c>
      <c r="B8" s="31" t="s">
        <v>59</v>
      </c>
      <c r="C8" s="31">
        <v>80</v>
      </c>
      <c r="D8" s="31">
        <v>99</v>
      </c>
      <c r="E8" s="31">
        <f t="shared" si="0"/>
        <v>19</v>
      </c>
      <c r="F8" s="31">
        <v>80</v>
      </c>
      <c r="G8" s="125">
        <v>81</v>
      </c>
      <c r="H8" s="75">
        <f>F8*100/80</f>
        <v>100</v>
      </c>
      <c r="I8" s="75">
        <f>G8*100/80</f>
        <v>101.25</v>
      </c>
      <c r="J8" s="74">
        <f t="shared" si="1"/>
        <v>1.25</v>
      </c>
      <c r="K8" s="125">
        <v>15</v>
      </c>
      <c r="L8" s="125">
        <v>12</v>
      </c>
      <c r="M8" s="94">
        <f t="shared" si="2"/>
        <v>6.75</v>
      </c>
      <c r="N8" s="94">
        <f t="shared" si="3"/>
        <v>6</v>
      </c>
      <c r="O8" s="15"/>
    </row>
    <row r="9" spans="1:14" ht="16.5" customHeight="1">
      <c r="A9" s="31">
        <v>3</v>
      </c>
      <c r="B9" s="32" t="s">
        <v>63</v>
      </c>
      <c r="C9" s="31">
        <v>2569</v>
      </c>
      <c r="D9" s="31">
        <v>2552</v>
      </c>
      <c r="E9" s="31">
        <f t="shared" si="0"/>
        <v>-17</v>
      </c>
      <c r="F9" s="31">
        <v>1565</v>
      </c>
      <c r="G9" s="31">
        <v>1530</v>
      </c>
      <c r="H9" s="75">
        <f>F9*100/226</f>
        <v>692.4778761061947</v>
      </c>
      <c r="I9" s="75">
        <f>G9*100/240</f>
        <v>637.5</v>
      </c>
      <c r="J9" s="74">
        <f t="shared" si="1"/>
        <v>-54.977876106194685</v>
      </c>
      <c r="K9" s="32">
        <v>290</v>
      </c>
      <c r="L9" s="32">
        <v>150</v>
      </c>
      <c r="M9" s="118">
        <f t="shared" si="2"/>
        <v>10.2</v>
      </c>
      <c r="N9" s="118">
        <f t="shared" si="3"/>
        <v>7.3</v>
      </c>
    </row>
    <row r="10" spans="1:14" ht="42.75" customHeight="1">
      <c r="A10" s="185" t="s">
        <v>101</v>
      </c>
      <c r="B10" s="186"/>
      <c r="C10" s="31">
        <f>SUM(C7:C9)</f>
        <v>2755</v>
      </c>
      <c r="D10" s="31">
        <f>SUM(D7:D9)</f>
        <v>2906</v>
      </c>
      <c r="E10" s="31">
        <f t="shared" si="0"/>
        <v>151</v>
      </c>
      <c r="F10" s="31">
        <f>SUM(F7:F9)</f>
        <v>1751</v>
      </c>
      <c r="G10" s="31">
        <f>SUM(G7:G9)</f>
        <v>1761</v>
      </c>
      <c r="H10" s="75">
        <f>F10*100/326</f>
        <v>537.1165644171779</v>
      </c>
      <c r="I10" s="75">
        <f>G10*100/348</f>
        <v>506.0344827586207</v>
      </c>
      <c r="J10" s="74">
        <f t="shared" si="1"/>
        <v>-31.082081658557172</v>
      </c>
      <c r="K10" s="74">
        <f>SUM(K7:K9)</f>
        <v>336</v>
      </c>
      <c r="L10" s="74">
        <f>SUM(L7:L9)</f>
        <v>179</v>
      </c>
      <c r="M10" s="94">
        <f t="shared" si="2"/>
        <v>9.837988826815643</v>
      </c>
      <c r="N10" s="94">
        <f t="shared" si="3"/>
        <v>7.292993630573249</v>
      </c>
    </row>
    <row r="11" spans="1:14" ht="15">
      <c r="A11" s="31">
        <v>1</v>
      </c>
      <c r="B11" s="32" t="s">
        <v>82</v>
      </c>
      <c r="C11" s="31">
        <v>15</v>
      </c>
      <c r="D11" s="31">
        <v>8</v>
      </c>
      <c r="E11" s="31">
        <f t="shared" si="0"/>
        <v>-7</v>
      </c>
      <c r="F11" s="31">
        <v>15</v>
      </c>
      <c r="G11" s="31">
        <v>8</v>
      </c>
      <c r="H11" s="75">
        <f>F11*100/11</f>
        <v>136.36363636363637</v>
      </c>
      <c r="I11" s="75">
        <f>G11*100/10</f>
        <v>80</v>
      </c>
      <c r="J11" s="74">
        <f t="shared" si="1"/>
        <v>-56.363636363636374</v>
      </c>
      <c r="K11" s="74">
        <v>1</v>
      </c>
      <c r="L11" s="2">
        <v>1</v>
      </c>
      <c r="M11" s="94">
        <f t="shared" si="2"/>
        <v>8</v>
      </c>
      <c r="N11" s="94"/>
    </row>
    <row r="12" spans="1:14" ht="25.5" customHeight="1">
      <c r="A12" s="152" t="s">
        <v>90</v>
      </c>
      <c r="B12" s="153"/>
      <c r="C12" s="31">
        <f>SUM(C11)</f>
        <v>15</v>
      </c>
      <c r="D12" s="31">
        <f>SUM(D11)</f>
        <v>8</v>
      </c>
      <c r="E12" s="31">
        <f t="shared" si="0"/>
        <v>-7</v>
      </c>
      <c r="F12" s="31">
        <f>SUM(F11)</f>
        <v>15</v>
      </c>
      <c r="G12" s="31">
        <f>SUM(G11)</f>
        <v>8</v>
      </c>
      <c r="H12" s="75">
        <f>F12*100/11</f>
        <v>136.36363636363637</v>
      </c>
      <c r="I12" s="75">
        <f>G12*100/10</f>
        <v>80</v>
      </c>
      <c r="J12" s="74">
        <f t="shared" si="1"/>
        <v>-56.363636363636374</v>
      </c>
      <c r="K12" s="31">
        <f>SUM(K11)</f>
        <v>1</v>
      </c>
      <c r="L12" s="31">
        <f>SUM(L11)</f>
        <v>1</v>
      </c>
      <c r="M12" s="94">
        <f t="shared" si="2"/>
        <v>8</v>
      </c>
      <c r="N12" s="94"/>
    </row>
    <row r="13" spans="1:14" ht="28.5" customHeight="1">
      <c r="A13" s="184" t="s">
        <v>91</v>
      </c>
      <c r="B13" s="184"/>
      <c r="C13" s="31">
        <f>C10+C12</f>
        <v>2770</v>
      </c>
      <c r="D13" s="31">
        <f>SUM(D10:D11)</f>
        <v>2914</v>
      </c>
      <c r="E13" s="31">
        <f t="shared" si="0"/>
        <v>144</v>
      </c>
      <c r="F13" s="31">
        <f>F10+F12</f>
        <v>1766</v>
      </c>
      <c r="G13" s="31">
        <f>SUM(G10:G11)</f>
        <v>1769</v>
      </c>
      <c r="H13" s="75">
        <f>F13*100/337</f>
        <v>524.0356083086053</v>
      </c>
      <c r="I13" s="75">
        <f>G13*100/358</f>
        <v>494.1340782122905</v>
      </c>
      <c r="J13" s="74">
        <f t="shared" si="1"/>
        <v>-29.901530096314843</v>
      </c>
      <c r="K13" s="31">
        <f>K10+K12</f>
        <v>337</v>
      </c>
      <c r="L13" s="31">
        <f>SUM(L10:L11)</f>
        <v>180</v>
      </c>
      <c r="M13" s="94">
        <f t="shared" si="2"/>
        <v>9.827777777777778</v>
      </c>
      <c r="N13" s="94">
        <f t="shared" si="3"/>
        <v>7.292993630573249</v>
      </c>
    </row>
    <row r="15" spans="2:17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72"/>
      <c r="C16" s="113"/>
      <c r="D16" s="113"/>
      <c r="E16" s="113"/>
      <c r="F16" s="113"/>
      <c r="G16" s="113"/>
      <c r="H16" s="114"/>
      <c r="I16" s="115"/>
      <c r="J16" s="114"/>
      <c r="K16" s="113"/>
      <c r="L16" s="113"/>
      <c r="M16" s="116"/>
      <c r="N16" s="116"/>
      <c r="O16" s="72"/>
      <c r="P16" s="72"/>
      <c r="Q16" s="72"/>
    </row>
    <row r="17" spans="2:17" ht="15">
      <c r="B17" s="72"/>
      <c r="C17" s="113"/>
      <c r="D17" s="113"/>
      <c r="E17" s="113"/>
      <c r="F17" s="113"/>
      <c r="G17" s="113"/>
      <c r="H17" s="115"/>
      <c r="I17" s="115"/>
      <c r="J17" s="114"/>
      <c r="K17" s="117"/>
      <c r="L17" s="117"/>
      <c r="M17" s="116"/>
      <c r="N17" s="116"/>
      <c r="O17" s="72"/>
      <c r="P17" s="72"/>
      <c r="Q17" s="72"/>
    </row>
    <row r="18" spans="2:17" ht="15">
      <c r="B18" s="72"/>
      <c r="C18" s="113"/>
      <c r="D18" s="113"/>
      <c r="E18" s="113"/>
      <c r="F18" s="113"/>
      <c r="G18" s="113"/>
      <c r="H18" s="114"/>
      <c r="I18" s="115"/>
      <c r="J18" s="114"/>
      <c r="K18" s="117"/>
      <c r="L18" s="117"/>
      <c r="M18" s="116"/>
      <c r="N18" s="116"/>
      <c r="O18" s="72"/>
      <c r="P18" s="72"/>
      <c r="Q18" s="72"/>
    </row>
    <row r="19" spans="2:17" ht="15">
      <c r="B19" s="72"/>
      <c r="C19" s="113"/>
      <c r="D19" s="113"/>
      <c r="E19" s="113"/>
      <c r="F19" s="113"/>
      <c r="G19" s="113"/>
      <c r="H19" s="114"/>
      <c r="I19" s="115"/>
      <c r="J19" s="114"/>
      <c r="K19" s="117"/>
      <c r="L19" s="117"/>
      <c r="M19" s="116"/>
      <c r="N19" s="116"/>
      <c r="O19" s="72"/>
      <c r="P19" s="72"/>
      <c r="Q19" s="72"/>
    </row>
    <row r="20" spans="2:17" ht="15">
      <c r="B20" s="72"/>
      <c r="C20" s="113"/>
      <c r="D20" s="113"/>
      <c r="E20" s="113"/>
      <c r="F20" s="113"/>
      <c r="G20" s="113"/>
      <c r="H20" s="114"/>
      <c r="I20" s="115"/>
      <c r="J20" s="114"/>
      <c r="K20" s="117"/>
      <c r="L20" s="117"/>
      <c r="M20" s="116"/>
      <c r="N20" s="116"/>
      <c r="O20" s="72"/>
      <c r="P20" s="72"/>
      <c r="Q20" s="72"/>
    </row>
    <row r="21" spans="2:17" ht="15">
      <c r="B21" s="72"/>
      <c r="C21" s="113"/>
      <c r="D21" s="113"/>
      <c r="E21" s="113"/>
      <c r="F21" s="113"/>
      <c r="G21" s="113"/>
      <c r="H21" s="114"/>
      <c r="I21" s="115"/>
      <c r="J21" s="114"/>
      <c r="K21" s="115"/>
      <c r="L21" s="115"/>
      <c r="M21" s="116"/>
      <c r="N21" s="116"/>
      <c r="O21" s="72"/>
      <c r="P21" s="72"/>
      <c r="Q21" s="72"/>
    </row>
    <row r="22" spans="2:17" ht="15">
      <c r="B22" s="72"/>
      <c r="C22" s="113"/>
      <c r="D22" s="113"/>
      <c r="E22" s="113"/>
      <c r="F22" s="113"/>
      <c r="G22" s="113"/>
      <c r="H22" s="114"/>
      <c r="I22" s="115"/>
      <c r="J22" s="114"/>
      <c r="K22" s="117"/>
      <c r="L22" s="117"/>
      <c r="M22" s="116"/>
      <c r="N22" s="116"/>
      <c r="O22" s="72"/>
      <c r="P22" s="72"/>
      <c r="Q22" s="72"/>
    </row>
    <row r="23" spans="2:17" ht="15">
      <c r="B23" s="72"/>
      <c r="C23" s="113"/>
      <c r="D23" s="113"/>
      <c r="E23" s="113"/>
      <c r="F23" s="113"/>
      <c r="G23" s="113"/>
      <c r="H23" s="115"/>
      <c r="I23" s="115"/>
      <c r="J23" s="114"/>
      <c r="K23" s="117"/>
      <c r="L23" s="117"/>
      <c r="M23" s="116"/>
      <c r="N23" s="116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</sheetData>
  <sheetProtection/>
  <mergeCells count="11">
    <mergeCell ref="A12:B12"/>
    <mergeCell ref="A13:B13"/>
    <mergeCell ref="A10:B10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H24" sqref="H24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87" t="s">
        <v>114</v>
      </c>
      <c r="D1" s="187"/>
      <c r="E1" s="187"/>
      <c r="F1" s="187"/>
      <c r="G1" s="187"/>
      <c r="H1" s="187"/>
      <c r="I1" s="187"/>
      <c r="J1" s="187"/>
      <c r="K1" s="187"/>
      <c r="L1" s="20"/>
      <c r="M1" s="20"/>
      <c r="N1" s="20"/>
    </row>
    <row r="2" spans="1:14" ht="15">
      <c r="A2" s="145" t="s">
        <v>2</v>
      </c>
      <c r="B2" s="145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70"/>
      <c r="B3" s="170"/>
      <c r="C3" s="18">
        <v>2011</v>
      </c>
      <c r="D3" s="19">
        <v>2012</v>
      </c>
      <c r="E3" s="9" t="s">
        <v>33</v>
      </c>
      <c r="F3" s="18">
        <v>2011</v>
      </c>
      <c r="G3" s="19">
        <v>2012</v>
      </c>
      <c r="H3" s="9" t="s">
        <v>33</v>
      </c>
      <c r="I3" s="18">
        <v>2011</v>
      </c>
      <c r="J3" s="19">
        <v>2012</v>
      </c>
      <c r="K3" s="9" t="s">
        <v>33</v>
      </c>
      <c r="L3" s="18">
        <v>2011</v>
      </c>
      <c r="M3" s="19">
        <v>2012</v>
      </c>
      <c r="N3" s="9" t="s">
        <v>33</v>
      </c>
    </row>
    <row r="4" spans="1:14" ht="15">
      <c r="A4" s="146"/>
      <c r="B4" s="146"/>
      <c r="C4" s="29"/>
      <c r="D4" s="29"/>
      <c r="E4" s="45" t="s">
        <v>105</v>
      </c>
      <c r="F4" s="29"/>
      <c r="G4" s="29"/>
      <c r="H4" s="45" t="s">
        <v>107</v>
      </c>
      <c r="I4" s="29"/>
      <c r="J4" s="29"/>
      <c r="K4" s="45" t="s">
        <v>105</v>
      </c>
      <c r="L4" s="29"/>
      <c r="M4" s="29"/>
      <c r="N4" s="45" t="s">
        <v>105</v>
      </c>
    </row>
    <row r="5" spans="1:14" ht="16.5" customHeight="1">
      <c r="A5" s="31">
        <v>1</v>
      </c>
      <c r="B5" s="31" t="s">
        <v>55</v>
      </c>
      <c r="C5" s="12">
        <v>50</v>
      </c>
      <c r="D5" s="12">
        <v>70</v>
      </c>
      <c r="E5" s="16">
        <f aca="true" t="shared" si="0" ref="E5:E15">D5-C5</f>
        <v>20</v>
      </c>
      <c r="F5" s="12">
        <v>6</v>
      </c>
      <c r="G5" s="12">
        <v>12</v>
      </c>
      <c r="H5" s="16">
        <f aca="true" t="shared" si="1" ref="H5:H15">G5-F5</f>
        <v>6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27</v>
      </c>
      <c r="D6" s="12">
        <v>30</v>
      </c>
      <c r="E6" s="16">
        <f t="shared" si="0"/>
        <v>3</v>
      </c>
      <c r="F6" s="12">
        <v>9</v>
      </c>
      <c r="G6" s="12"/>
      <c r="H6" s="16">
        <f t="shared" si="1"/>
        <v>-9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16</v>
      </c>
      <c r="D7" s="12">
        <v>25</v>
      </c>
      <c r="E7" s="16">
        <f t="shared" si="0"/>
        <v>9</v>
      </c>
      <c r="F7" s="12"/>
      <c r="G7" s="12"/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81</v>
      </c>
      <c r="D8" s="12">
        <v>143</v>
      </c>
      <c r="E8" s="16">
        <f t="shared" si="0"/>
        <v>62</v>
      </c>
      <c r="F8" s="12"/>
      <c r="G8" s="12"/>
      <c r="H8" s="16">
        <f t="shared" si="1"/>
        <v>0</v>
      </c>
      <c r="I8" s="16">
        <v>29</v>
      </c>
      <c r="J8" s="16">
        <v>35</v>
      </c>
      <c r="K8" s="12">
        <f>J8-I8</f>
        <v>6</v>
      </c>
      <c r="L8" s="12">
        <v>8</v>
      </c>
      <c r="M8" s="12">
        <v>21</v>
      </c>
      <c r="N8" s="12">
        <f>M8-L8</f>
        <v>13</v>
      </c>
    </row>
    <row r="9" spans="1:14" ht="16.5" customHeight="1">
      <c r="A9" s="31">
        <v>5</v>
      </c>
      <c r="B9" s="31" t="s">
        <v>59</v>
      </c>
      <c r="C9" s="12">
        <v>72</v>
      </c>
      <c r="D9" s="12">
        <v>33</v>
      </c>
      <c r="E9" s="16">
        <f t="shared" si="0"/>
        <v>-39</v>
      </c>
      <c r="F9" s="12"/>
      <c r="G9" s="12"/>
      <c r="H9" s="16">
        <f t="shared" si="1"/>
        <v>0</v>
      </c>
      <c r="I9" s="12">
        <v>38</v>
      </c>
      <c r="J9" s="12">
        <v>42</v>
      </c>
      <c r="K9" s="12">
        <f>J9-I9</f>
        <v>4</v>
      </c>
      <c r="L9" s="12"/>
      <c r="M9" s="16">
        <v>7</v>
      </c>
      <c r="N9" s="12">
        <f>M9-L9</f>
        <v>7</v>
      </c>
    </row>
    <row r="10" spans="1:14" ht="16.5" customHeight="1">
      <c r="A10" s="31">
        <v>6</v>
      </c>
      <c r="B10" s="32" t="s">
        <v>73</v>
      </c>
      <c r="C10" s="12">
        <v>16</v>
      </c>
      <c r="D10" s="12">
        <v>20</v>
      </c>
      <c r="E10" s="16">
        <f t="shared" si="0"/>
        <v>4</v>
      </c>
      <c r="F10" s="12"/>
      <c r="G10" s="12"/>
      <c r="H10" s="16">
        <f t="shared" si="1"/>
        <v>0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60</v>
      </c>
      <c r="C11" s="12">
        <v>20</v>
      </c>
      <c r="D11" s="12"/>
      <c r="E11" s="16">
        <f t="shared" si="0"/>
        <v>-20</v>
      </c>
      <c r="F11" s="12">
        <v>1</v>
      </c>
      <c r="G11" s="12"/>
      <c r="H11" s="16">
        <f t="shared" si="1"/>
        <v>-1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87</v>
      </c>
      <c r="C12" s="12"/>
      <c r="D12" s="12">
        <v>34</v>
      </c>
      <c r="E12" s="16">
        <f t="shared" si="0"/>
        <v>34</v>
      </c>
      <c r="F12" s="12"/>
      <c r="G12" s="12">
        <v>7</v>
      </c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72</v>
      </c>
      <c r="C13" s="12">
        <v>27</v>
      </c>
      <c r="D13" s="12">
        <v>80</v>
      </c>
      <c r="E13" s="16">
        <f t="shared" si="0"/>
        <v>53</v>
      </c>
      <c r="F13" s="12"/>
      <c r="G13" s="12">
        <v>26</v>
      </c>
      <c r="H13" s="16">
        <f t="shared" si="1"/>
        <v>26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61</v>
      </c>
      <c r="C14" s="12">
        <v>25</v>
      </c>
      <c r="D14" s="12">
        <v>17</v>
      </c>
      <c r="E14" s="16">
        <f t="shared" si="0"/>
        <v>-8</v>
      </c>
      <c r="F14" s="12">
        <v>5</v>
      </c>
      <c r="G14" s="12"/>
      <c r="H14" s="16">
        <f t="shared" si="1"/>
        <v>-5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62</v>
      </c>
      <c r="C15" s="12">
        <v>13</v>
      </c>
      <c r="D15" s="12">
        <v>11</v>
      </c>
      <c r="E15" s="16">
        <f t="shared" si="0"/>
        <v>-2</v>
      </c>
      <c r="F15" s="12"/>
      <c r="G15" s="12"/>
      <c r="H15" s="16">
        <f t="shared" si="1"/>
        <v>0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63</v>
      </c>
      <c r="C16" s="16"/>
      <c r="D16" s="16"/>
      <c r="E16" s="16"/>
      <c r="F16" s="16"/>
      <c r="G16" s="16"/>
      <c r="H16" s="16"/>
      <c r="I16" s="12">
        <v>558</v>
      </c>
      <c r="J16" s="12">
        <v>496</v>
      </c>
      <c r="K16" s="12">
        <f>J16-I16</f>
        <v>-62</v>
      </c>
      <c r="L16" s="12">
        <v>210</v>
      </c>
      <c r="M16" s="12">
        <v>210</v>
      </c>
      <c r="N16" s="12">
        <f>M16-L16</f>
        <v>0</v>
      </c>
    </row>
    <row r="17" spans="1:14" ht="60.75" customHeight="1">
      <c r="A17" s="152" t="s">
        <v>100</v>
      </c>
      <c r="B17" s="153"/>
      <c r="C17" s="12">
        <f>SUM(C5:C15)</f>
        <v>347</v>
      </c>
      <c r="D17" s="12">
        <f>SUM(D5:D16)</f>
        <v>463</v>
      </c>
      <c r="E17" s="12">
        <f>D17-C17</f>
        <v>116</v>
      </c>
      <c r="F17" s="12">
        <f>SUM(F5:F16)</f>
        <v>21</v>
      </c>
      <c r="G17" s="12">
        <f>SUM(G5:G16)</f>
        <v>45</v>
      </c>
      <c r="H17" s="12">
        <f>G17-F17</f>
        <v>24</v>
      </c>
      <c r="I17" s="12">
        <f>SUM(I8:I16)</f>
        <v>625</v>
      </c>
      <c r="J17" s="12">
        <f>SUM(J8:J16)</f>
        <v>573</v>
      </c>
      <c r="K17" s="12">
        <f>J17-I17</f>
        <v>-52</v>
      </c>
      <c r="L17" s="12">
        <f>SUM(L8:L16)</f>
        <v>218</v>
      </c>
      <c r="M17" s="12">
        <f>SUM(M8:M16)</f>
        <v>238</v>
      </c>
      <c r="N17" s="12">
        <f>M17-L17</f>
        <v>20</v>
      </c>
    </row>
    <row r="18" spans="1:14" ht="16.5" customHeight="1">
      <c r="A18" s="31">
        <v>1</v>
      </c>
      <c r="B18" s="32" t="s">
        <v>82</v>
      </c>
      <c r="C18" s="12"/>
      <c r="D18" s="16"/>
      <c r="E18" s="12">
        <f>D18-C18</f>
        <v>0</v>
      </c>
      <c r="F18" s="16"/>
      <c r="G18" s="16"/>
      <c r="H18" s="12">
        <f>G18-F18</f>
        <v>0</v>
      </c>
      <c r="I18" s="12"/>
      <c r="J18" s="12"/>
      <c r="K18" s="12">
        <f>J18-I18</f>
        <v>0</v>
      </c>
      <c r="L18" s="12"/>
      <c r="M18" s="12"/>
      <c r="N18" s="12">
        <f>M18-L18</f>
        <v>0</v>
      </c>
    </row>
    <row r="19" spans="1:14" ht="18.75" customHeight="1">
      <c r="A19" s="152" t="s">
        <v>90</v>
      </c>
      <c r="B19" s="153"/>
      <c r="C19" s="12"/>
      <c r="D19" s="12"/>
      <c r="E19" s="12">
        <f>D19-C19</f>
        <v>0</v>
      </c>
      <c r="F19" s="12"/>
      <c r="G19" s="12"/>
      <c r="H19" s="12">
        <f>G19-F19</f>
        <v>0</v>
      </c>
      <c r="I19" s="12"/>
      <c r="J19" s="12"/>
      <c r="K19" s="12">
        <f>J19-I19</f>
        <v>0</v>
      </c>
      <c r="L19" s="12"/>
      <c r="M19" s="12"/>
      <c r="N19" s="12">
        <f>M19-L19</f>
        <v>0</v>
      </c>
    </row>
    <row r="20" spans="1:14" ht="39" customHeight="1">
      <c r="A20" s="154" t="s">
        <v>91</v>
      </c>
      <c r="B20" s="155"/>
      <c r="C20" s="12">
        <f>C17+C19</f>
        <v>347</v>
      </c>
      <c r="D20" s="12">
        <f>D17+D19</f>
        <v>463</v>
      </c>
      <c r="E20" s="12">
        <f>D20-C20</f>
        <v>116</v>
      </c>
      <c r="F20" s="12">
        <f>F17+F19</f>
        <v>21</v>
      </c>
      <c r="G20" s="12">
        <f>G17+G19</f>
        <v>45</v>
      </c>
      <c r="H20" s="12">
        <f>G20-F20</f>
        <v>24</v>
      </c>
      <c r="I20" s="12">
        <f>I17+I19</f>
        <v>625</v>
      </c>
      <c r="J20" s="12">
        <f>J17+J19</f>
        <v>573</v>
      </c>
      <c r="K20" s="12">
        <f>J20-I20</f>
        <v>-52</v>
      </c>
      <c r="L20" s="12">
        <f>L17+L19</f>
        <v>218</v>
      </c>
      <c r="M20" s="12">
        <f>M17+M19</f>
        <v>238</v>
      </c>
      <c r="N20" s="12">
        <f>M20-L20</f>
        <v>20</v>
      </c>
    </row>
  </sheetData>
  <sheetProtection/>
  <mergeCells count="6">
    <mergeCell ref="C1:K1"/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G35" sqref="G35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88" t="s">
        <v>113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33" t="s">
        <v>2</v>
      </c>
      <c r="B3" s="133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91"/>
      <c r="B4" s="191"/>
      <c r="C4" s="18">
        <v>2011</v>
      </c>
      <c r="D4" s="19">
        <v>2012</v>
      </c>
      <c r="E4" s="19" t="s">
        <v>97</v>
      </c>
      <c r="F4" s="18">
        <v>2011</v>
      </c>
      <c r="G4" s="19">
        <v>2012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91"/>
      <c r="B5" s="191"/>
      <c r="C5" s="40"/>
      <c r="D5" s="11"/>
      <c r="E5" s="11" t="s">
        <v>98</v>
      </c>
      <c r="F5" s="29"/>
      <c r="G5" s="28"/>
      <c r="H5" s="29" t="s">
        <v>99</v>
      </c>
      <c r="I5" s="18">
        <v>2011</v>
      </c>
      <c r="J5" s="19">
        <v>2012</v>
      </c>
      <c r="K5" s="29" t="s">
        <v>99</v>
      </c>
      <c r="L5" s="18">
        <v>2011</v>
      </c>
      <c r="M5" s="19">
        <v>2012</v>
      </c>
      <c r="N5" s="29" t="s">
        <v>99</v>
      </c>
    </row>
    <row r="6" spans="1:14" ht="16.5" customHeight="1">
      <c r="A6" s="31">
        <v>1</v>
      </c>
      <c r="B6" s="31" t="s">
        <v>55</v>
      </c>
      <c r="C6" s="36">
        <v>72</v>
      </c>
      <c r="D6" s="36">
        <v>33</v>
      </c>
      <c r="E6" s="36">
        <f aca="true" t="shared" si="0" ref="E6:E17">D6*100/C6</f>
        <v>45.833333333333336</v>
      </c>
      <c r="F6" s="36">
        <v>62</v>
      </c>
      <c r="G6" s="36">
        <v>33</v>
      </c>
      <c r="H6" s="36">
        <f aca="true" t="shared" si="1" ref="H6:H17">G6-F6</f>
        <v>-29</v>
      </c>
      <c r="I6" s="36">
        <f>F6*100/180</f>
        <v>34.44444444444444</v>
      </c>
      <c r="J6" s="36">
        <f>G6*100/180</f>
        <v>18.333333333333332</v>
      </c>
      <c r="K6" s="36">
        <f aca="true" t="shared" si="2" ref="K6:K16">J6-I6</f>
        <v>-16.11111111111111</v>
      </c>
      <c r="L6" s="36">
        <f>(C6-F6)*100/180</f>
        <v>5.555555555555555</v>
      </c>
      <c r="M6" s="36">
        <f>(D6-G6)*100/180</f>
        <v>0</v>
      </c>
      <c r="N6" s="36">
        <f>M6-L6</f>
        <v>-5.555555555555555</v>
      </c>
    </row>
    <row r="7" spans="1:14" ht="16.5" customHeight="1">
      <c r="A7" s="31">
        <v>2</v>
      </c>
      <c r="B7" s="31" t="s">
        <v>56</v>
      </c>
      <c r="C7" s="36">
        <v>62</v>
      </c>
      <c r="D7" s="36">
        <v>55</v>
      </c>
      <c r="E7" s="36">
        <f t="shared" si="0"/>
        <v>88.70967741935483</v>
      </c>
      <c r="F7" s="36">
        <v>53</v>
      </c>
      <c r="G7" s="36">
        <v>53</v>
      </c>
      <c r="H7" s="36">
        <f t="shared" si="1"/>
        <v>0</v>
      </c>
      <c r="I7" s="36">
        <f>F7*100/105</f>
        <v>50.476190476190474</v>
      </c>
      <c r="J7" s="36">
        <f>G7*100/105</f>
        <v>50.476190476190474</v>
      </c>
      <c r="K7" s="36">
        <f>J7-I7</f>
        <v>0</v>
      </c>
      <c r="L7" s="36">
        <f>(C7-F7)*100/105</f>
        <v>8.571428571428571</v>
      </c>
      <c r="M7" s="36">
        <f>(D7-G7)*100/105</f>
        <v>1.9047619047619047</v>
      </c>
      <c r="N7" s="36">
        <f>M7-L7</f>
        <v>-6.666666666666666</v>
      </c>
    </row>
    <row r="8" spans="1:14" ht="16.5" customHeight="1">
      <c r="A8" s="31">
        <v>3</v>
      </c>
      <c r="B8" s="31" t="s">
        <v>57</v>
      </c>
      <c r="C8" s="36">
        <v>25</v>
      </c>
      <c r="D8" s="36">
        <v>22</v>
      </c>
      <c r="E8" s="36">
        <f t="shared" si="0"/>
        <v>88</v>
      </c>
      <c r="F8" s="36">
        <v>25</v>
      </c>
      <c r="G8" s="36">
        <v>22</v>
      </c>
      <c r="H8" s="36">
        <f t="shared" si="1"/>
        <v>-3</v>
      </c>
      <c r="I8" s="36">
        <f>F8*100/60</f>
        <v>41.666666666666664</v>
      </c>
      <c r="J8" s="36">
        <f>G8*100/60</f>
        <v>36.666666666666664</v>
      </c>
      <c r="K8" s="36">
        <f>J8-I8</f>
        <v>-5</v>
      </c>
      <c r="L8" s="36">
        <f>(C8-F8)*100/60</f>
        <v>0</v>
      </c>
      <c r="M8" s="36">
        <f>(D8-G8)*100/60</f>
        <v>0</v>
      </c>
      <c r="N8" s="36">
        <f>M8-L8</f>
        <v>0</v>
      </c>
    </row>
    <row r="9" spans="1:14" ht="16.5" customHeight="1">
      <c r="A9" s="31">
        <v>4</v>
      </c>
      <c r="B9" s="22" t="s">
        <v>58</v>
      </c>
      <c r="C9" s="36">
        <v>67</v>
      </c>
      <c r="D9" s="36">
        <v>73</v>
      </c>
      <c r="E9" s="36">
        <f t="shared" si="0"/>
        <v>108.95522388059702</v>
      </c>
      <c r="F9" s="36">
        <v>60</v>
      </c>
      <c r="G9" s="36">
        <v>63</v>
      </c>
      <c r="H9" s="36">
        <f t="shared" si="1"/>
        <v>3</v>
      </c>
      <c r="I9" s="36">
        <f>F9*100/308</f>
        <v>19.48051948051948</v>
      </c>
      <c r="J9" s="36">
        <f>G9*100/308</f>
        <v>20.454545454545453</v>
      </c>
      <c r="K9" s="36">
        <f t="shared" si="2"/>
        <v>0.9740259740259738</v>
      </c>
      <c r="L9" s="36">
        <f>(C9-F9)*100/308</f>
        <v>2.272727272727273</v>
      </c>
      <c r="M9" s="36">
        <f>(D9-G9)*100/308</f>
        <v>3.2467532467532467</v>
      </c>
      <c r="N9" s="36">
        <f aca="true" t="shared" si="3" ref="N9:N16">M9-L9</f>
        <v>0.9740259740259738</v>
      </c>
    </row>
    <row r="10" spans="1:14" ht="16.5" customHeight="1">
      <c r="A10" s="31">
        <v>5</v>
      </c>
      <c r="B10" s="31" t="s">
        <v>59</v>
      </c>
      <c r="C10" s="36">
        <v>43</v>
      </c>
      <c r="D10" s="36">
        <v>66</v>
      </c>
      <c r="E10" s="36">
        <f t="shared" si="0"/>
        <v>153.48837209302326</v>
      </c>
      <c r="F10" s="36">
        <v>43</v>
      </c>
      <c r="G10" s="36">
        <v>52</v>
      </c>
      <c r="H10" s="36">
        <f t="shared" si="1"/>
        <v>9</v>
      </c>
      <c r="I10" s="36">
        <f>F10*100/280</f>
        <v>15.357142857142858</v>
      </c>
      <c r="J10" s="36">
        <f>G10*100/280</f>
        <v>18.571428571428573</v>
      </c>
      <c r="K10" s="36">
        <f t="shared" si="2"/>
        <v>3.2142857142857153</v>
      </c>
      <c r="L10" s="36">
        <f>(C10-F10)*100/280</f>
        <v>0</v>
      </c>
      <c r="M10" s="36">
        <f>(D10-G10)*100/280</f>
        <v>5</v>
      </c>
      <c r="N10" s="36">
        <f t="shared" si="3"/>
        <v>5</v>
      </c>
    </row>
    <row r="11" spans="1:14" ht="16.5" customHeight="1">
      <c r="A11" s="31">
        <v>6</v>
      </c>
      <c r="B11" s="32" t="s">
        <v>73</v>
      </c>
      <c r="C11" s="89">
        <v>27</v>
      </c>
      <c r="D11" s="89">
        <v>40</v>
      </c>
      <c r="E11" s="36">
        <f t="shared" si="0"/>
        <v>148.14814814814815</v>
      </c>
      <c r="F11" s="89">
        <v>27</v>
      </c>
      <c r="G11" s="89">
        <v>32</v>
      </c>
      <c r="H11" s="36">
        <f t="shared" si="1"/>
        <v>5</v>
      </c>
      <c r="I11" s="89">
        <f>F11*100/85</f>
        <v>31.764705882352942</v>
      </c>
      <c r="J11" s="89">
        <f>G11*100/85</f>
        <v>37.64705882352941</v>
      </c>
      <c r="K11" s="36">
        <f t="shared" si="2"/>
        <v>5.882352941176471</v>
      </c>
      <c r="L11" s="36">
        <f>(C11-F11)*100/85</f>
        <v>0</v>
      </c>
      <c r="M11" s="36">
        <f>(D11-G11)*100/85</f>
        <v>9.411764705882353</v>
      </c>
      <c r="N11" s="89">
        <f t="shared" si="3"/>
        <v>9.411764705882353</v>
      </c>
    </row>
    <row r="12" spans="1:14" ht="16.5" customHeight="1">
      <c r="A12" s="31">
        <v>7</v>
      </c>
      <c r="B12" s="32" t="s">
        <v>60</v>
      </c>
      <c r="C12" s="89">
        <v>48</v>
      </c>
      <c r="D12" s="89"/>
      <c r="E12" s="36">
        <f t="shared" si="0"/>
        <v>0</v>
      </c>
      <c r="F12" s="89">
        <v>42</v>
      </c>
      <c r="G12" s="89"/>
      <c r="H12" s="36">
        <f t="shared" si="1"/>
        <v>-42</v>
      </c>
      <c r="I12" s="89">
        <f>F12*100/60</f>
        <v>70</v>
      </c>
      <c r="J12" s="89">
        <f>G12*100/60</f>
        <v>0</v>
      </c>
      <c r="K12" s="36">
        <f t="shared" si="2"/>
        <v>-70</v>
      </c>
      <c r="L12" s="36">
        <f>(C12-F12)*100/60</f>
        <v>10</v>
      </c>
      <c r="M12" s="36">
        <f>(D12-G12)*100/60</f>
        <v>0</v>
      </c>
      <c r="N12" s="89">
        <f t="shared" si="3"/>
        <v>-10</v>
      </c>
    </row>
    <row r="13" spans="1:14" ht="16.5" customHeight="1">
      <c r="A13" s="31">
        <v>8</v>
      </c>
      <c r="B13" s="32" t="s">
        <v>87</v>
      </c>
      <c r="C13" s="119"/>
      <c r="D13" s="89">
        <v>67</v>
      </c>
      <c r="E13" s="36">
        <f>D13*100/C14</f>
        <v>139.58333333333334</v>
      </c>
      <c r="F13" s="89"/>
      <c r="G13" s="89">
        <v>58</v>
      </c>
      <c r="H13" s="36">
        <f t="shared" si="1"/>
        <v>58</v>
      </c>
      <c r="I13" s="89"/>
      <c r="J13" s="89">
        <f>G13*100/5</f>
        <v>1160</v>
      </c>
      <c r="K13" s="36"/>
      <c r="L13" s="36"/>
      <c r="M13" s="36">
        <f>(D13-G13)*100/5</f>
        <v>180</v>
      </c>
      <c r="N13" s="89"/>
    </row>
    <row r="14" spans="1:14" ht="16.5" customHeight="1">
      <c r="A14" s="31">
        <v>9</v>
      </c>
      <c r="B14" s="32" t="s">
        <v>72</v>
      </c>
      <c r="C14" s="89">
        <v>48</v>
      </c>
      <c r="D14" s="89">
        <v>33</v>
      </c>
      <c r="E14" s="36">
        <f>D14*100/C15</f>
        <v>132</v>
      </c>
      <c r="F14" s="89">
        <v>48</v>
      </c>
      <c r="G14" s="89">
        <v>30</v>
      </c>
      <c r="H14" s="36">
        <f t="shared" si="1"/>
        <v>-18</v>
      </c>
      <c r="I14" s="89">
        <f>F14*100/78</f>
        <v>61.53846153846154</v>
      </c>
      <c r="J14" s="89">
        <f>G14*100/78</f>
        <v>38.46153846153846</v>
      </c>
      <c r="K14" s="36">
        <f t="shared" si="2"/>
        <v>-23.07692307692308</v>
      </c>
      <c r="L14" s="36">
        <f>(C14-F14)*100/78</f>
        <v>0</v>
      </c>
      <c r="M14" s="36">
        <f>(D14-G14)*100/78</f>
        <v>3.8461538461538463</v>
      </c>
      <c r="N14" s="89">
        <f t="shared" si="3"/>
        <v>3.8461538461538463</v>
      </c>
    </row>
    <row r="15" spans="1:14" ht="16.5" customHeight="1">
      <c r="A15" s="31">
        <v>10</v>
      </c>
      <c r="B15" s="32" t="s">
        <v>61</v>
      </c>
      <c r="C15" s="89">
        <v>25</v>
      </c>
      <c r="D15" s="89">
        <v>38</v>
      </c>
      <c r="E15" s="36">
        <f>D15*100/C16</f>
        <v>146.15384615384616</v>
      </c>
      <c r="F15" s="89">
        <v>25</v>
      </c>
      <c r="G15" s="89">
        <v>38</v>
      </c>
      <c r="H15" s="36">
        <f t="shared" si="1"/>
        <v>13</v>
      </c>
      <c r="I15" s="89">
        <f>F15*100/100</f>
        <v>25</v>
      </c>
      <c r="J15" s="89">
        <f>G15*100/100</f>
        <v>38</v>
      </c>
      <c r="K15" s="36">
        <f t="shared" si="2"/>
        <v>13</v>
      </c>
      <c r="L15" s="36">
        <f>(C15-F15)*100/100</f>
        <v>0</v>
      </c>
      <c r="M15" s="36">
        <f>(D15-G15)*100/100</f>
        <v>0</v>
      </c>
      <c r="N15" s="89">
        <f t="shared" si="3"/>
        <v>0</v>
      </c>
    </row>
    <row r="16" spans="1:14" ht="16.5" customHeight="1">
      <c r="A16" s="31">
        <v>11</v>
      </c>
      <c r="B16" s="32" t="s">
        <v>62</v>
      </c>
      <c r="C16" s="89">
        <v>26</v>
      </c>
      <c r="D16" s="89">
        <v>27</v>
      </c>
      <c r="E16" s="36">
        <f>D16*100/C17</f>
        <v>6.094808126410835</v>
      </c>
      <c r="F16" s="89">
        <v>26</v>
      </c>
      <c r="G16" s="89">
        <v>27</v>
      </c>
      <c r="H16" s="36">
        <f t="shared" si="1"/>
        <v>1</v>
      </c>
      <c r="I16" s="89">
        <f>F16*100/42</f>
        <v>61.904761904761905</v>
      </c>
      <c r="J16" s="89">
        <f>G16*100/42</f>
        <v>64.28571428571429</v>
      </c>
      <c r="K16" s="36">
        <f t="shared" si="2"/>
        <v>2.3809523809523867</v>
      </c>
      <c r="L16" s="36">
        <f>(C16-F16)*100/42</f>
        <v>0</v>
      </c>
      <c r="M16" s="36">
        <f>(D16-G16)*100/42</f>
        <v>0</v>
      </c>
      <c r="N16" s="89">
        <f t="shared" si="3"/>
        <v>0</v>
      </c>
    </row>
    <row r="17" spans="1:14" ht="61.5" customHeight="1">
      <c r="A17" s="189" t="s">
        <v>96</v>
      </c>
      <c r="B17" s="190"/>
      <c r="C17" s="36">
        <f>SUM(C6:C16)</f>
        <v>443</v>
      </c>
      <c r="D17" s="3">
        <f>SUM(D6:D16)</f>
        <v>454</v>
      </c>
      <c r="E17" s="36">
        <f t="shared" si="0"/>
        <v>102.48306997742664</v>
      </c>
      <c r="F17" s="3">
        <f>SUM(F6:F16)</f>
        <v>411</v>
      </c>
      <c r="G17" s="3">
        <f>SUM(G6:G16)</f>
        <v>408</v>
      </c>
      <c r="H17" s="36">
        <f t="shared" si="1"/>
        <v>-3</v>
      </c>
      <c r="I17" s="36">
        <f>F17*100/1298</f>
        <v>31.664098613251156</v>
      </c>
      <c r="J17" s="36">
        <f>G17*100/1303</f>
        <v>31.312356101304683</v>
      </c>
      <c r="K17" s="36">
        <v>1</v>
      </c>
      <c r="L17" s="36">
        <f>(C17-F17)*100/1298</f>
        <v>2.4653312788906008</v>
      </c>
      <c r="M17" s="36">
        <f>(D17-G17)*100/1303</f>
        <v>3.53031465848043</v>
      </c>
      <c r="N17" s="36">
        <v>2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D20" sqref="D20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92" t="s">
        <v>108</v>
      </c>
      <c r="B1" s="192"/>
      <c r="C1" s="192"/>
      <c r="D1" s="192"/>
      <c r="E1" s="192"/>
      <c r="F1" s="192"/>
      <c r="G1" s="76"/>
      <c r="H1" s="76"/>
      <c r="I1" s="76"/>
    </row>
    <row r="2" spans="1:9" ht="15.75">
      <c r="A2" s="193" t="s">
        <v>112</v>
      </c>
      <c r="B2" s="193"/>
      <c r="C2" s="193"/>
      <c r="D2" s="193"/>
      <c r="E2" s="193"/>
      <c r="F2" s="193"/>
      <c r="G2" s="76"/>
      <c r="H2" s="76"/>
      <c r="I2" s="76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6"/>
      <c r="H3" s="76"/>
      <c r="I3" s="76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6"/>
      <c r="H4" s="76"/>
      <c r="I4" s="76"/>
    </row>
    <row r="5" spans="1:9" ht="15">
      <c r="A5" s="3">
        <v>1</v>
      </c>
      <c r="B5" s="22" t="s">
        <v>55</v>
      </c>
      <c r="C5" s="36">
        <f>(молоко!C7*1000)/1875</f>
        <v>51.946666666666665</v>
      </c>
      <c r="D5" s="36">
        <f>(молоко!D7*1000)/1875</f>
        <v>43.2</v>
      </c>
      <c r="E5" s="36">
        <f>(мясо!C6*1000)/1875</f>
        <v>8</v>
      </c>
      <c r="F5" s="36">
        <f>(мясо!D6*1000)/1875</f>
        <v>4.1066666666666665</v>
      </c>
      <c r="H5" s="76"/>
      <c r="I5" s="76"/>
    </row>
    <row r="6" spans="1:9" ht="15">
      <c r="A6" s="3">
        <v>2</v>
      </c>
      <c r="B6" s="22" t="s">
        <v>56</v>
      </c>
      <c r="C6" s="36">
        <f>(молоко!C8*1000)/799</f>
        <v>65.08135168961202</v>
      </c>
      <c r="D6" s="36">
        <f>(молоко!D8*1000)/799</f>
        <v>49.765957446808514</v>
      </c>
      <c r="E6" s="36">
        <f>(мясо!C7*1000)/799</f>
        <v>5.882352941176471</v>
      </c>
      <c r="F6" s="36">
        <f>(мясо!D7*1000)/799</f>
        <v>2.5031289111389237</v>
      </c>
      <c r="H6" s="76"/>
      <c r="I6" s="76"/>
    </row>
    <row r="7" spans="1:9" ht="15">
      <c r="A7" s="3">
        <v>3</v>
      </c>
      <c r="B7" s="22" t="s">
        <v>57</v>
      </c>
      <c r="C7" s="36">
        <f>(молоко!C9*1000)/2025</f>
        <v>25.679012345679013</v>
      </c>
      <c r="D7" s="36">
        <f>(молоко!D9*1000)/2025</f>
        <v>22.71604938271605</v>
      </c>
      <c r="E7" s="36">
        <f>(мясо!C8*1000)/2025</f>
        <v>1.4320987654320987</v>
      </c>
      <c r="F7" s="36">
        <f>(мясо!D8*1000)/2025</f>
        <v>1.1851851851851851</v>
      </c>
      <c r="H7" s="76"/>
      <c r="I7" s="76"/>
    </row>
    <row r="8" spans="1:9" ht="15">
      <c r="A8" s="3">
        <v>4</v>
      </c>
      <c r="B8" s="38" t="s">
        <v>58</v>
      </c>
      <c r="C8" s="36">
        <f>(молоко!C10*1000)/2478</f>
        <v>69.04761904761905</v>
      </c>
      <c r="D8" s="36">
        <f>(молоко!D10*1000)/2478</f>
        <v>90.31476997578693</v>
      </c>
      <c r="E8" s="36">
        <f>(мясо!C9*1000)/2478</f>
        <v>21.428571428571427</v>
      </c>
      <c r="F8" s="36">
        <f>(мясо!D9*1000)/2478</f>
        <v>7.1025020177562554</v>
      </c>
      <c r="H8" s="76"/>
      <c r="I8" s="76"/>
    </row>
    <row r="9" spans="1:9" ht="15">
      <c r="A9" s="3">
        <v>5</v>
      </c>
      <c r="B9" s="22" t="s">
        <v>59</v>
      </c>
      <c r="C9" s="36">
        <f>(молоко!C11*1000)/2157</f>
        <v>50.99675475197033</v>
      </c>
      <c r="D9" s="36">
        <f>(молоко!D11*1000)/2157</f>
        <v>27.862772369031063</v>
      </c>
      <c r="E9" s="36">
        <f>(мясо!C10*1000)/2157</f>
        <v>8.344923504867872</v>
      </c>
      <c r="F9" s="36">
        <f>(мясо!D10*1000)/2157</f>
        <v>10.106629578117756</v>
      </c>
      <c r="H9" s="76"/>
      <c r="I9" s="76"/>
    </row>
    <row r="10" spans="1:9" ht="15">
      <c r="A10" s="3">
        <v>6</v>
      </c>
      <c r="B10" s="38" t="s">
        <v>73</v>
      </c>
      <c r="C10" s="36">
        <f>(молоко!C12*1000)/859</f>
        <v>105.82072176949941</v>
      </c>
      <c r="D10" s="36">
        <f>(молоко!D12*1000)/859</f>
        <v>105.93713620488941</v>
      </c>
      <c r="E10" s="36">
        <f>(мясо!C11*1000)/859</f>
        <v>5.70430733410943</v>
      </c>
      <c r="F10" s="36">
        <f>(мясо!D11*1000)/859</f>
        <v>2.7939464493597206</v>
      </c>
      <c r="H10" s="76"/>
      <c r="I10" s="76"/>
    </row>
    <row r="11" spans="1:9" ht="15">
      <c r="A11" s="3">
        <v>7</v>
      </c>
      <c r="B11" s="38" t="s">
        <v>60</v>
      </c>
      <c r="C11" s="36">
        <f>(молоко!C13*1000)/1482</f>
        <v>43.04993252361673</v>
      </c>
      <c r="D11" s="36">
        <f>(молоко!D13*1000)/1482</f>
        <v>0</v>
      </c>
      <c r="E11" s="36">
        <f>(мясо!C12*1000)/1482</f>
        <v>0</v>
      </c>
      <c r="F11" s="36">
        <f>(мясо!D12*1000)/1482</f>
        <v>0</v>
      </c>
      <c r="H11" s="76"/>
      <c r="I11" s="76"/>
    </row>
    <row r="12" spans="1:9" ht="15">
      <c r="A12" s="3">
        <v>8</v>
      </c>
      <c r="B12" s="32" t="s">
        <v>87</v>
      </c>
      <c r="C12" s="36"/>
      <c r="D12" s="36"/>
      <c r="E12" s="36"/>
      <c r="F12" s="36"/>
      <c r="H12" s="76"/>
      <c r="I12" s="76"/>
    </row>
    <row r="13" spans="1:9" ht="15.75" customHeight="1">
      <c r="A13" s="3">
        <v>9</v>
      </c>
      <c r="B13" s="32" t="s">
        <v>72</v>
      </c>
      <c r="C13" s="36">
        <f>(молоко!C15*1000)/1077</f>
        <v>99.322191272052</v>
      </c>
      <c r="D13" s="36">
        <f>(молоко!D15*1000)/1077</f>
        <v>99.36490250696379</v>
      </c>
      <c r="E13" s="36">
        <f>(мясо!C14*1000)/1077</f>
        <v>4.8282265552460535</v>
      </c>
      <c r="F13" s="36">
        <f>(мясо!D14*1000)/1077</f>
        <v>4.503249767873723</v>
      </c>
      <c r="H13" s="76"/>
      <c r="I13" s="76"/>
    </row>
    <row r="14" spans="1:9" ht="15">
      <c r="A14" s="3">
        <v>10</v>
      </c>
      <c r="B14" s="38" t="s">
        <v>61</v>
      </c>
      <c r="C14" s="36">
        <f>(молоко!C16*1000)/1084</f>
        <v>59.96309963099631</v>
      </c>
      <c r="D14" s="36">
        <f>(молоко!D16*1000)/1084</f>
        <v>53.13653136531365</v>
      </c>
      <c r="E14" s="36">
        <f>(мясо!C15*1000)/1084</f>
        <v>2.7675276752767526</v>
      </c>
      <c r="F14" s="36">
        <f>(мясо!D15*1000)/1084</f>
        <v>7.9335793357933575</v>
      </c>
      <c r="H14" s="76"/>
      <c r="I14" s="76"/>
    </row>
    <row r="15" spans="1:9" ht="15">
      <c r="A15" s="3">
        <v>11</v>
      </c>
      <c r="B15" s="38" t="s">
        <v>62</v>
      </c>
      <c r="C15" s="36">
        <f>(молоко!C17*1000)/674</f>
        <v>52.07715133531157</v>
      </c>
      <c r="D15" s="36">
        <f>(молоко!D17*1000)/674</f>
        <v>44.347181008902076</v>
      </c>
      <c r="E15" s="36">
        <f>(мясо!C16*1000)/674</f>
        <v>4.56973293768546</v>
      </c>
      <c r="F15" s="36">
        <f>(мясо!D16*1000)/674</f>
        <v>3.9910979228486645</v>
      </c>
      <c r="H15" s="76"/>
      <c r="I15" s="76"/>
    </row>
    <row r="16" spans="1:9" ht="15">
      <c r="A16" s="3">
        <v>12</v>
      </c>
      <c r="B16" s="38" t="s">
        <v>63</v>
      </c>
      <c r="C16" s="36"/>
      <c r="D16" s="36"/>
      <c r="E16" s="36">
        <f>(мясо!C17*1000)/983</f>
        <v>190.23397761953206</v>
      </c>
      <c r="F16" s="36">
        <f>(мясо!D17*1000)/983</f>
        <v>244.15055951169887</v>
      </c>
      <c r="H16" s="76"/>
      <c r="I16" s="76"/>
    </row>
    <row r="17" spans="1:6" ht="63.75" customHeight="1">
      <c r="A17" s="189" t="s">
        <v>96</v>
      </c>
      <c r="B17" s="190"/>
      <c r="C17" s="36">
        <f>(молоко!C18*1000)/22877</f>
        <v>36.904751497136864</v>
      </c>
      <c r="D17" s="36">
        <f>(молоко!D18*1000)/22877</f>
        <v>35.35791406215849</v>
      </c>
      <c r="E17" s="36">
        <f>(мясо!C23*1000)/22877</f>
        <v>13.025309262578135</v>
      </c>
      <c r="F17" s="36">
        <f>(мясо!D23*1000)/22877</f>
        <v>14.02893736066792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75" zoomScaleSheetLayoutView="70" zoomScalePageLayoutView="0" workbookViewId="0" topLeftCell="A1">
      <selection activeCell="J21" sqref="J21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111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5" t="s">
        <v>2</v>
      </c>
      <c r="B3" s="196" t="s">
        <v>3</v>
      </c>
      <c r="C3" s="197" t="s">
        <v>92</v>
      </c>
      <c r="D3" s="198"/>
      <c r="E3" s="199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70"/>
      <c r="B4" s="170"/>
      <c r="C4" s="58">
        <v>2011</v>
      </c>
      <c r="D4" s="54">
        <v>2012</v>
      </c>
      <c r="E4" s="54" t="s">
        <v>97</v>
      </c>
      <c r="F4" s="59" t="s">
        <v>12</v>
      </c>
      <c r="G4" s="60" t="s">
        <v>15</v>
      </c>
      <c r="H4" s="58">
        <v>2011</v>
      </c>
      <c r="I4" s="54">
        <v>2012</v>
      </c>
      <c r="J4" s="54" t="s">
        <v>97</v>
      </c>
      <c r="K4" s="61" t="s">
        <v>18</v>
      </c>
    </row>
    <row r="5" spans="1:11" ht="18">
      <c r="A5" s="146"/>
      <c r="B5" s="146"/>
      <c r="C5" s="62"/>
      <c r="D5" s="63"/>
      <c r="E5" s="63" t="s">
        <v>98</v>
      </c>
      <c r="F5" s="63" t="s">
        <v>13</v>
      </c>
      <c r="G5" s="64"/>
      <c r="H5" s="62"/>
      <c r="I5" s="63"/>
      <c r="J5" s="63" t="s">
        <v>98</v>
      </c>
      <c r="K5" s="65" t="s">
        <v>0</v>
      </c>
    </row>
    <row r="6" spans="1:11" ht="18" customHeight="1">
      <c r="A6" s="200" t="s">
        <v>93</v>
      </c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6.5" customHeight="1">
      <c r="A7" s="31">
        <v>1</v>
      </c>
      <c r="B7" s="66" t="s">
        <v>55</v>
      </c>
      <c r="C7" s="12">
        <v>97.4</v>
      </c>
      <c r="D7" s="12">
        <v>81</v>
      </c>
      <c r="E7" s="13">
        <f aca="true" t="shared" si="0" ref="E7:E17">D7/C7*100</f>
        <v>83.16221765913757</v>
      </c>
      <c r="F7" s="12">
        <v>68.4</v>
      </c>
      <c r="G7" s="13">
        <f aca="true" t="shared" si="1" ref="G7:G17">F7/D7*100</f>
        <v>84.44444444444446</v>
      </c>
      <c r="H7" s="17">
        <f>C7/'численность 1'!J6*1000</f>
        <v>541.1111111111111</v>
      </c>
      <c r="I7" s="17">
        <f>D7/'численность 1'!K6*1000</f>
        <v>450</v>
      </c>
      <c r="J7" s="13">
        <f aca="true" t="shared" si="2" ref="J7:J20">I7/H7*100</f>
        <v>83.16221765913758</v>
      </c>
      <c r="K7" s="12"/>
    </row>
    <row r="8" spans="1:11" ht="16.5" customHeight="1">
      <c r="A8" s="31">
        <v>2</v>
      </c>
      <c r="B8" s="66" t="s">
        <v>56</v>
      </c>
      <c r="C8" s="12">
        <v>52</v>
      </c>
      <c r="D8" s="12">
        <v>39.763</v>
      </c>
      <c r="E8" s="13">
        <f t="shared" si="0"/>
        <v>76.46730769230768</v>
      </c>
      <c r="F8" s="12">
        <v>29.785</v>
      </c>
      <c r="G8" s="13">
        <f t="shared" si="1"/>
        <v>74.90631994567815</v>
      </c>
      <c r="H8" s="17">
        <f>C8/'численность 1'!J7*1000</f>
        <v>495.23809523809524</v>
      </c>
      <c r="I8" s="13">
        <f>D8/'численность 1'!K7*1000</f>
        <v>378.6952380952381</v>
      </c>
      <c r="J8" s="13">
        <f t="shared" si="2"/>
        <v>76.4673076923077</v>
      </c>
      <c r="K8" s="12"/>
    </row>
    <row r="9" spans="1:11" ht="16.5" customHeight="1">
      <c r="A9" s="31">
        <v>3</v>
      </c>
      <c r="B9" s="66" t="s">
        <v>57</v>
      </c>
      <c r="C9" s="12">
        <v>52</v>
      </c>
      <c r="D9" s="12">
        <v>46</v>
      </c>
      <c r="E9" s="13">
        <f t="shared" si="0"/>
        <v>88.46153846153845</v>
      </c>
      <c r="F9" s="12">
        <v>31</v>
      </c>
      <c r="G9" s="13">
        <f t="shared" si="1"/>
        <v>67.3913043478261</v>
      </c>
      <c r="H9" s="17">
        <f>C9/'численность 1'!J8*1000</f>
        <v>866.6666666666667</v>
      </c>
      <c r="I9" s="13">
        <f>D9/'численность 1'!K8*1000</f>
        <v>766.6666666666667</v>
      </c>
      <c r="J9" s="13">
        <f t="shared" si="2"/>
        <v>88.46153846153845</v>
      </c>
      <c r="K9" s="12"/>
    </row>
    <row r="10" spans="1:11" ht="16.5" customHeight="1">
      <c r="A10" s="31">
        <v>4</v>
      </c>
      <c r="B10" s="66" t="s">
        <v>58</v>
      </c>
      <c r="C10" s="12">
        <v>171.1</v>
      </c>
      <c r="D10" s="12">
        <v>223.8</v>
      </c>
      <c r="E10" s="13">
        <f t="shared" si="0"/>
        <v>130.80070134424315</v>
      </c>
      <c r="F10" s="12">
        <v>205.6</v>
      </c>
      <c r="G10" s="13">
        <f t="shared" si="1"/>
        <v>91.86773905272564</v>
      </c>
      <c r="H10" s="17">
        <f>C10/'численность 1'!J9*1000</f>
        <v>555.5194805194806</v>
      </c>
      <c r="I10" s="13">
        <f>D10/'численность 1'!K9*1000</f>
        <v>726.6233766233767</v>
      </c>
      <c r="J10" s="13">
        <f t="shared" si="2"/>
        <v>130.80070134424312</v>
      </c>
      <c r="K10" s="12"/>
    </row>
    <row r="11" spans="1:11" ht="16.5" customHeight="1">
      <c r="A11" s="31">
        <v>5</v>
      </c>
      <c r="B11" s="67" t="s">
        <v>59</v>
      </c>
      <c r="C11" s="12">
        <v>110</v>
      </c>
      <c r="D11" s="12">
        <v>60.1</v>
      </c>
      <c r="E11" s="13">
        <f t="shared" si="0"/>
        <v>54.63636363636364</v>
      </c>
      <c r="F11" s="12">
        <v>39.6</v>
      </c>
      <c r="G11" s="13">
        <f t="shared" si="1"/>
        <v>65.89018302828619</v>
      </c>
      <c r="H11" s="17">
        <f>C11/'численность 1'!J10*1000</f>
        <v>392.85714285714283</v>
      </c>
      <c r="I11" s="13">
        <f>D11/'численность 1'!K10*1000</f>
        <v>240.4</v>
      </c>
      <c r="J11" s="13">
        <f t="shared" si="2"/>
        <v>61.192727272727275</v>
      </c>
      <c r="K11" s="12"/>
    </row>
    <row r="12" spans="1:11" ht="16.5" customHeight="1">
      <c r="A12" s="31">
        <v>6</v>
      </c>
      <c r="B12" s="67" t="s">
        <v>73</v>
      </c>
      <c r="C12" s="16">
        <v>90.9</v>
      </c>
      <c r="D12" s="16">
        <v>91</v>
      </c>
      <c r="E12" s="13">
        <f t="shared" si="0"/>
        <v>100.1100110011001</v>
      </c>
      <c r="F12" s="16">
        <v>66.9</v>
      </c>
      <c r="G12" s="17">
        <f t="shared" si="1"/>
        <v>73.51648351648352</v>
      </c>
      <c r="H12" s="17">
        <f>C12/'численность 1'!J11*1000</f>
        <v>1069.4117647058824</v>
      </c>
      <c r="I12" s="13">
        <f>D12/'численность 1'!K11*1000</f>
        <v>1070.5882352941176</v>
      </c>
      <c r="J12" s="13">
        <f t="shared" si="2"/>
        <v>100.11001100110009</v>
      </c>
      <c r="K12" s="16">
        <v>83</v>
      </c>
    </row>
    <row r="13" spans="1:11" ht="16.5" customHeight="1">
      <c r="A13" s="31">
        <v>7</v>
      </c>
      <c r="B13" s="67" t="s">
        <v>60</v>
      </c>
      <c r="C13" s="16">
        <v>63.8</v>
      </c>
      <c r="D13" s="16"/>
      <c r="E13" s="13">
        <f t="shared" si="0"/>
        <v>0</v>
      </c>
      <c r="F13" s="16"/>
      <c r="G13" s="17"/>
      <c r="H13" s="17">
        <f>C13/'численность 1'!J12*1000</f>
        <v>1063.3333333333333</v>
      </c>
      <c r="I13" s="13"/>
      <c r="J13" s="13"/>
      <c r="K13" s="16"/>
    </row>
    <row r="14" spans="1:11" ht="16.5" customHeight="1">
      <c r="A14" s="31">
        <v>8</v>
      </c>
      <c r="B14" s="67" t="s">
        <v>87</v>
      </c>
      <c r="C14" s="16"/>
      <c r="D14" s="16">
        <v>72.714</v>
      </c>
      <c r="E14" s="13"/>
      <c r="F14" s="16">
        <v>52.439</v>
      </c>
      <c r="G14" s="17">
        <f t="shared" si="1"/>
        <v>72.11678631350222</v>
      </c>
      <c r="H14" s="17"/>
      <c r="I14" s="13">
        <f>D14/'численность 1'!K13*1000</f>
        <v>1118.6769230769232</v>
      </c>
      <c r="J14" s="13"/>
      <c r="K14" s="16"/>
    </row>
    <row r="15" spans="1:11" ht="16.5" customHeight="1">
      <c r="A15" s="31">
        <v>9</v>
      </c>
      <c r="B15" s="67" t="s">
        <v>72</v>
      </c>
      <c r="C15" s="16">
        <v>106.97</v>
      </c>
      <c r="D15" s="16">
        <v>107.016</v>
      </c>
      <c r="E15" s="17">
        <f t="shared" si="0"/>
        <v>100.04300271104047</v>
      </c>
      <c r="F15" s="16">
        <v>90.2</v>
      </c>
      <c r="G15" s="17">
        <f t="shared" si="1"/>
        <v>84.28646183748224</v>
      </c>
      <c r="H15" s="17">
        <f>C15/'численность 1'!J14*1000</f>
        <v>1371.4102564102564</v>
      </c>
      <c r="I15" s="17">
        <f>D15/'численность 1'!K14*1000</f>
        <v>1372</v>
      </c>
      <c r="J15" s="13">
        <f t="shared" si="2"/>
        <v>100.04300271104047</v>
      </c>
      <c r="K15" s="16"/>
    </row>
    <row r="16" spans="1:11" ht="16.5" customHeight="1">
      <c r="A16" s="31">
        <v>10</v>
      </c>
      <c r="B16" s="67" t="s">
        <v>61</v>
      </c>
      <c r="C16" s="126">
        <v>65</v>
      </c>
      <c r="D16" s="16">
        <v>57.6</v>
      </c>
      <c r="E16" s="13">
        <f t="shared" si="0"/>
        <v>88.61538461538461</v>
      </c>
      <c r="F16" s="16">
        <v>45.1</v>
      </c>
      <c r="G16" s="17">
        <f t="shared" si="1"/>
        <v>78.29861111111111</v>
      </c>
      <c r="H16" s="17">
        <f>C16/'численность 1'!J15*1000</f>
        <v>650</v>
      </c>
      <c r="I16" s="13">
        <f>D16/'численность 1'!K15*1000</f>
        <v>576.0000000000001</v>
      </c>
      <c r="J16" s="13">
        <f t="shared" si="2"/>
        <v>88.61538461538463</v>
      </c>
      <c r="K16" s="16"/>
    </row>
    <row r="17" spans="1:11" ht="16.5" customHeight="1">
      <c r="A17" s="31">
        <v>11</v>
      </c>
      <c r="B17" s="67" t="s">
        <v>62</v>
      </c>
      <c r="C17" s="16">
        <v>35.1</v>
      </c>
      <c r="D17" s="16">
        <v>29.89</v>
      </c>
      <c r="E17" s="13">
        <f t="shared" si="0"/>
        <v>85.15669515669515</v>
      </c>
      <c r="F17" s="16">
        <v>21.6</v>
      </c>
      <c r="G17" s="17">
        <f t="shared" si="1"/>
        <v>72.26497156239546</v>
      </c>
      <c r="H17" s="17">
        <f>C17/'численность 1'!J16*1000</f>
        <v>835.7142857142858</v>
      </c>
      <c r="I17" s="13">
        <f>D17/'численность 1'!K16*1000</f>
        <v>711.6666666666666</v>
      </c>
      <c r="J17" s="13">
        <f t="shared" si="2"/>
        <v>85.15669515669515</v>
      </c>
      <c r="K17" s="16"/>
    </row>
    <row r="18" spans="1:11" ht="57" customHeight="1">
      <c r="A18" s="152" t="s">
        <v>103</v>
      </c>
      <c r="B18" s="153"/>
      <c r="C18" s="16">
        <f>SUM(C7:C17)</f>
        <v>844.27</v>
      </c>
      <c r="D18" s="68">
        <f>SUM(D7:D17)</f>
        <v>808.8829999999999</v>
      </c>
      <c r="E18" s="13">
        <f>D18/C18*100</f>
        <v>95.80856834898788</v>
      </c>
      <c r="F18" s="68">
        <f>SUM(F7:F17)</f>
        <v>650.624</v>
      </c>
      <c r="G18" s="13">
        <f>F18/D18*100</f>
        <v>80.43487129782677</v>
      </c>
      <c r="H18" s="13">
        <f>C18/'численность 1'!J19*1000</f>
        <v>650.4391371340523</v>
      </c>
      <c r="I18" s="13">
        <f>D18/'численность 1'!K19*1000</f>
        <v>635.4147682639434</v>
      </c>
      <c r="J18" s="13">
        <f t="shared" si="2"/>
        <v>97.6901191806648</v>
      </c>
      <c r="K18" s="13">
        <f>SUM(K7:K17)</f>
        <v>83</v>
      </c>
    </row>
    <row r="19" spans="1:11" ht="18">
      <c r="A19" s="200" t="s">
        <v>94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2"/>
    </row>
    <row r="20" spans="1:11" ht="17.25" customHeight="1">
      <c r="A20" s="122">
        <v>1</v>
      </c>
      <c r="B20" s="67" t="s">
        <v>72</v>
      </c>
      <c r="C20" s="122">
        <v>4.12</v>
      </c>
      <c r="D20" s="122">
        <v>9.868</v>
      </c>
      <c r="E20" s="13">
        <f>D20/C20*100</f>
        <v>239.51456310679612</v>
      </c>
      <c r="F20" s="122">
        <v>1.423</v>
      </c>
      <c r="G20" s="13">
        <f>F20/D20*100</f>
        <v>14.420348601540333</v>
      </c>
      <c r="H20" s="13">
        <f>C20*1000/50</f>
        <v>82.4</v>
      </c>
      <c r="I20" s="13">
        <f>D20*1000/66</f>
        <v>149.5151515151515</v>
      </c>
      <c r="J20" s="13">
        <f t="shared" si="2"/>
        <v>181.45042659605764</v>
      </c>
      <c r="K20" s="122"/>
    </row>
    <row r="21" spans="1:11" ht="37.5" customHeight="1">
      <c r="A21" s="194" t="s">
        <v>91</v>
      </c>
      <c r="B21" s="195"/>
      <c r="C21" s="122">
        <f>C18+C20</f>
        <v>848.39</v>
      </c>
      <c r="D21" s="122">
        <f>D18+D20</f>
        <v>818.751</v>
      </c>
      <c r="E21" s="13">
        <f>D21/C21*100</f>
        <v>96.50644161293744</v>
      </c>
      <c r="F21" s="122">
        <f>F18+F20</f>
        <v>652.047</v>
      </c>
      <c r="G21" s="13">
        <f>F21/D21*100</f>
        <v>79.63923097498508</v>
      </c>
      <c r="H21" s="123" t="s">
        <v>95</v>
      </c>
      <c r="I21" s="123" t="s">
        <v>95</v>
      </c>
      <c r="J21" s="123" t="s">
        <v>95</v>
      </c>
      <c r="K21" s="123">
        <f>K18+K20</f>
        <v>83</v>
      </c>
    </row>
  </sheetData>
  <sheetProtection/>
  <mergeCells count="7">
    <mergeCell ref="A21:B21"/>
    <mergeCell ref="A3:A5"/>
    <mergeCell ref="B3:B5"/>
    <mergeCell ref="A18:B18"/>
    <mergeCell ref="C3:E3"/>
    <mergeCell ref="A6:K6"/>
    <mergeCell ref="A19:K1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2012-04-03T12:32:07Z</cp:lastPrinted>
  <dcterms:created xsi:type="dcterms:W3CDTF">2002-11-05T10:10:22Z</dcterms:created>
  <dcterms:modified xsi:type="dcterms:W3CDTF">2012-04-24T05:49:17Z</dcterms:modified>
  <cp:category/>
  <cp:version/>
  <cp:contentType/>
  <cp:contentStatus/>
</cp:coreProperties>
</file>