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'молоко'!$A$1:$K$21</definedName>
    <definedName name="_xlnm.Print_Area" localSheetId="9">'мясо'!$A$1:$K$23</definedName>
    <definedName name="_xlnm.Print_Area" localSheetId="7">'на 100 га'!$A$1:$F$17</definedName>
    <definedName name="_xlnm.Print_Area" localSheetId="0">'пало1'!$A$1:$V$23</definedName>
    <definedName name="_xlnm.Print_Area" localSheetId="1">'привес'!$A$1:$T$23</definedName>
    <definedName name="_xlnm.Print_Area" localSheetId="4">'приплод 2'!$A$1:$P$13</definedName>
    <definedName name="_xlnm.Print_Area" localSheetId="3">'численность 1'!$A$1:$U$23</definedName>
    <definedName name="_xlnm.Print_Area" localSheetId="2">'численность 2'!$A$1:$J$23</definedName>
  </definedNames>
  <calcPr fullCalcOnLoad="1"/>
</workbook>
</file>

<file path=xl/sharedStrings.xml><?xml version="1.0" encoding="utf-8"?>
<sst xmlns="http://schemas.openxmlformats.org/spreadsheetml/2006/main" count="303" uniqueCount="118">
  <si>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</si>
  <si>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</si>
  <si>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</si>
  <si>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</si>
  <si>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</si>
  <si>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</si>
  <si>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</si>
  <si>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</si>
  <si>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</si>
  <si>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</si>
  <si>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</si>
  <si>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</si>
  <si>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</si>
  <si>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</si>
  <si>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</si>
  <si>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</si>
  <si>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</si>
  <si>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</si>
  <si>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</si>
  <si>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</si>
  <si>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</si>
  <si>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</si>
  <si>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</si>
  <si>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</si>
  <si>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</si>
  <si>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</si>
  <si>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</si>
  <si>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</si>
  <si>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</si>
  <si>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</si>
  <si>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</si>
  <si>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</si>
  <si>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</si>
  <si>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</si>
  <si>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</si>
  <si>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</si>
  <si>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</si>
  <si>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</si>
  <si>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</si>
  <si>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</si>
  <si>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</si>
  <si>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</si>
  <si>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</si>
  <si>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</si>
  <si>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</si>
  <si>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</si>
  <si>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</si>
  <si>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</si>
  <si>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</si>
  <si>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</si>
  <si>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</si>
  <si>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</si>
  <si>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</si>
  <si>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</si>
  <si>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</si>
  <si>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</si>
  <si>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</si>
  <si>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</si>
  <si>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</si>
  <si>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</si>
  <si>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</si>
  <si>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</si>
  <si>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</si>
  <si>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</si>
  <si>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</si>
  <si>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</si>
  <si>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</si>
  <si>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</si>
  <si>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</si>
  <si>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</si>
  <si>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</si>
  <si>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</si>
  <si>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</si>
  <si>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</si>
  <si>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</si>
  <si>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</si>
  <si>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</si>
  <si>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</si>
  <si>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</si>
  <si>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</si>
  <si>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</si>
  <si>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</si>
  <si>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</si>
  <si>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</si>
  <si>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</si>
  <si>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</si>
  <si>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</si>
  <si>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</si>
  <si>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</si>
  <si>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</si>
  <si>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</si>
  <si>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</si>
  <si>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</si>
  <si>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</si>
  <si>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</si>
  <si>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</si>
  <si>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</si>
  <si>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</si>
  <si>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</si>
  <si>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</si>
  <si>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</si>
  <si>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</si>
  <si>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</si>
  <si>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</si>
  <si>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</si>
  <si>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</si>
  <si>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</si>
  <si>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</si>
  <si>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>Производство молока за  январь-июнь 2012 года по Ибресинскому району</t>
  </si>
  <si>
    <t xml:space="preserve">   Производство мяса за январь-июнь 2012 года по Ибресинскому району </t>
  </si>
  <si>
    <t xml:space="preserve">по Ибресинскому району за январь-июнь 2012 год </t>
  </si>
  <si>
    <t>Поступление приплода (телят) за январь-июнь 2012 года по Ибресинскому  району</t>
  </si>
  <si>
    <t>Случено и осеменено за январь-июнь 2012 года по Ибресинскому району</t>
  </si>
  <si>
    <t>Поступление приплода (поросят) за январь-июнь 2012 года по Ибресинкому  району</t>
  </si>
  <si>
    <t xml:space="preserve"> Численность скота по Ибресинскому району на 1.07.2012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</si>
  <si>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1.07.2012 г., (голов)</t>
    </r>
  </si>
  <si>
    <t>Показатели получения привесов за январь-июнь 2012 года по Ибресинскому району</t>
  </si>
  <si>
    <t>Пало, погибло, куплено и продано  сельскохозяйственных животных за январь-июнь 2012 год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</si>
</sst>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5" sqref="O15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43" t="s">
        <v>117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2" s="20" customFormat="1" ht="18.75" customHeight="1">
      <c r="A3" s="34" t="s">
        <v>2</v>
      </c>
      <c r="B3" s="23" t="s">
        <v>3</v>
      </c>
      <c r="C3" s="144" t="s">
        <v>38</v>
      </c>
      <c r="D3" s="145"/>
      <c r="E3" s="146"/>
      <c r="F3" s="144" t="s">
        <v>52</v>
      </c>
      <c r="G3" s="145"/>
      <c r="H3" s="146"/>
      <c r="I3" s="97"/>
      <c r="J3" s="102" t="s">
        <v>40</v>
      </c>
      <c r="K3" s="102"/>
      <c r="L3" s="102"/>
      <c r="M3" s="104"/>
      <c r="N3" s="104"/>
      <c r="O3" s="104"/>
      <c r="P3" s="104"/>
      <c r="Q3" s="144" t="s">
        <v>41</v>
      </c>
      <c r="R3" s="145"/>
      <c r="S3" s="145"/>
      <c r="T3" s="145"/>
      <c r="U3" s="145"/>
      <c r="V3" s="146"/>
    </row>
    <row r="4" spans="1:22" s="20" customFormat="1" ht="18.75" customHeight="1">
      <c r="A4" s="39"/>
      <c r="B4" s="33"/>
      <c r="C4" s="133">
        <v>2011</v>
      </c>
      <c r="D4" s="133">
        <v>2012</v>
      </c>
      <c r="E4" s="106" t="s">
        <v>39</v>
      </c>
      <c r="F4" s="133">
        <v>2011</v>
      </c>
      <c r="G4" s="133">
        <v>2012</v>
      </c>
      <c r="H4" s="106" t="s">
        <v>39</v>
      </c>
      <c r="I4" s="135" t="s">
        <v>84</v>
      </c>
      <c r="J4" s="136"/>
      <c r="K4" s="135" t="s">
        <v>82</v>
      </c>
      <c r="L4" s="136"/>
      <c r="M4" s="135" t="s">
        <v>78</v>
      </c>
      <c r="N4" s="136"/>
      <c r="O4" s="135" t="s">
        <v>79</v>
      </c>
      <c r="P4" s="136"/>
      <c r="Q4" s="135" t="s">
        <v>81</v>
      </c>
      <c r="R4" s="136"/>
      <c r="S4" s="135" t="s">
        <v>82</v>
      </c>
      <c r="T4" s="136"/>
      <c r="U4" s="135" t="s">
        <v>51</v>
      </c>
      <c r="V4" s="136"/>
    </row>
    <row r="5" spans="1:22" s="20" customFormat="1" ht="18.75" customHeight="1">
      <c r="A5" s="30"/>
      <c r="B5" s="29"/>
      <c r="C5" s="134"/>
      <c r="D5" s="134"/>
      <c r="E5" s="107" t="s">
        <v>103</v>
      </c>
      <c r="F5" s="134"/>
      <c r="G5" s="134"/>
      <c r="H5" s="107" t="s">
        <v>103</v>
      </c>
      <c r="I5" s="108">
        <v>2011</v>
      </c>
      <c r="J5" s="109">
        <v>2012</v>
      </c>
      <c r="K5" s="108">
        <v>2011</v>
      </c>
      <c r="L5" s="109">
        <v>2012</v>
      </c>
      <c r="M5" s="108">
        <v>2011</v>
      </c>
      <c r="N5" s="109">
        <v>2012</v>
      </c>
      <c r="O5" s="108">
        <v>2011</v>
      </c>
      <c r="P5" s="109">
        <v>2012</v>
      </c>
      <c r="Q5" s="108">
        <v>2011</v>
      </c>
      <c r="R5" s="109">
        <v>2012</v>
      </c>
      <c r="S5" s="108">
        <v>2011</v>
      </c>
      <c r="T5" s="109">
        <v>2012</v>
      </c>
      <c r="U5" s="108">
        <v>2011</v>
      </c>
      <c r="V5" s="109">
        <v>2012</v>
      </c>
    </row>
    <row r="6" spans="1:22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2"/>
      <c r="V6" s="22"/>
    </row>
    <row r="7" spans="1:22" s="20" customFormat="1" ht="13.5" customHeight="1">
      <c r="A7" s="31">
        <v>2</v>
      </c>
      <c r="B7" s="31" t="s">
        <v>56</v>
      </c>
      <c r="C7" s="3">
        <v>5</v>
      </c>
      <c r="D7" s="3"/>
      <c r="E7" s="11">
        <f t="shared" si="0"/>
        <v>-5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32</v>
      </c>
      <c r="R7" s="3">
        <v>35</v>
      </c>
      <c r="S7" s="3"/>
      <c r="T7" s="3"/>
      <c r="U7" s="22"/>
      <c r="V7" s="22"/>
    </row>
    <row r="8" spans="1:22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12</v>
      </c>
      <c r="R8" s="3">
        <v>19</v>
      </c>
      <c r="S8" s="3"/>
      <c r="T8" s="3"/>
      <c r="U8" s="22"/>
      <c r="V8" s="22"/>
    </row>
    <row r="9" spans="1:22" s="20" customFormat="1" ht="12.75" customHeight="1">
      <c r="A9" s="31">
        <v>4</v>
      </c>
      <c r="B9" s="22" t="s">
        <v>58</v>
      </c>
      <c r="C9" s="3">
        <v>4</v>
      </c>
      <c r="D9" s="3">
        <v>5</v>
      </c>
      <c r="E9" s="11">
        <f t="shared" si="0"/>
        <v>1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315</v>
      </c>
      <c r="T9" s="3">
        <v>475</v>
      </c>
      <c r="U9" s="22"/>
      <c r="V9" s="22"/>
    </row>
    <row r="10" spans="1:22" s="20" customFormat="1" ht="13.5" customHeight="1">
      <c r="A10" s="31">
        <v>5</v>
      </c>
      <c r="B10" s="92" t="s">
        <v>59</v>
      </c>
      <c r="C10" s="3"/>
      <c r="D10" s="3">
        <v>3</v>
      </c>
      <c r="E10" s="11">
        <f t="shared" si="0"/>
        <v>3</v>
      </c>
      <c r="F10" s="3">
        <v>18</v>
      </c>
      <c r="G10" s="3">
        <v>6</v>
      </c>
      <c r="H10" s="3">
        <f>G10-F10</f>
        <v>-12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155</v>
      </c>
      <c r="T10" s="3">
        <v>42</v>
      </c>
      <c r="U10" s="22"/>
      <c r="V10" s="22"/>
    </row>
    <row r="11" spans="1:22" s="20" customFormat="1" ht="12.75" customHeight="1">
      <c r="A11" s="31">
        <v>6</v>
      </c>
      <c r="B11" s="32" t="s">
        <v>71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8"/>
      <c r="J11" s="88"/>
      <c r="K11" s="88"/>
      <c r="L11" s="88"/>
      <c r="M11" s="88"/>
      <c r="N11" s="88"/>
      <c r="O11" s="88"/>
      <c r="P11" s="88"/>
      <c r="Q11" s="88"/>
      <c r="R11" s="88">
        <v>21</v>
      </c>
      <c r="S11" s="88"/>
      <c r="T11" s="88"/>
      <c r="U11" s="22"/>
      <c r="V11" s="22"/>
    </row>
    <row r="12" spans="1:22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148</v>
      </c>
      <c r="R12" s="3"/>
      <c r="S12" s="3"/>
      <c r="T12" s="3"/>
      <c r="U12" s="22"/>
      <c r="V12" s="22"/>
    </row>
    <row r="13" spans="1:22" s="20" customFormat="1" ht="12.75" customHeight="1">
      <c r="A13" s="31">
        <v>8</v>
      </c>
      <c r="B13" s="32" t="s">
        <v>85</v>
      </c>
      <c r="C13" s="3"/>
      <c r="D13" s="3"/>
      <c r="E13" s="11">
        <f t="shared" si="0"/>
        <v>0</v>
      </c>
      <c r="F13" s="3"/>
      <c r="G13" s="3"/>
      <c r="H13" s="3"/>
      <c r="I13" s="3">
        <v>148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22"/>
    </row>
    <row r="14" spans="1:22" s="20" customFormat="1" ht="13.5" customHeight="1">
      <c r="A14" s="31">
        <v>9</v>
      </c>
      <c r="B14" s="32" t="s">
        <v>70</v>
      </c>
      <c r="C14" s="3"/>
      <c r="D14" s="3"/>
      <c r="E14" s="11">
        <f t="shared" si="0"/>
        <v>0</v>
      </c>
      <c r="F14" s="3"/>
      <c r="G14" s="3"/>
      <c r="H14" s="3"/>
      <c r="I14" s="3">
        <v>30</v>
      </c>
      <c r="J14" s="3"/>
      <c r="K14" s="3"/>
      <c r="L14" s="3"/>
      <c r="M14" s="3"/>
      <c r="N14" s="3"/>
      <c r="O14" s="3"/>
      <c r="P14" s="3"/>
      <c r="Q14" s="3">
        <v>6</v>
      </c>
      <c r="R14" s="3">
        <v>1</v>
      </c>
      <c r="S14" s="3"/>
      <c r="T14" s="3"/>
      <c r="U14" s="22"/>
      <c r="V14" s="22">
        <v>58</v>
      </c>
    </row>
    <row r="15" spans="1:22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22"/>
      <c r="V15" s="22"/>
    </row>
    <row r="16" spans="1:22" s="20" customFormat="1" ht="12.75" customHeight="1">
      <c r="A16" s="31">
        <v>11</v>
      </c>
      <c r="B16" s="31" t="s">
        <v>62</v>
      </c>
      <c r="C16" s="3">
        <v>1</v>
      </c>
      <c r="D16" s="3"/>
      <c r="E16" s="11">
        <f t="shared" si="0"/>
        <v>-1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2"/>
      <c r="V16" s="22"/>
    </row>
    <row r="17" spans="1:22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430</v>
      </c>
      <c r="G17" s="3">
        <v>268</v>
      </c>
      <c r="H17" s="3">
        <f aca="true" t="shared" si="1" ref="H17:H23">G17-F17</f>
        <v>-162</v>
      </c>
      <c r="I17" s="3"/>
      <c r="J17" s="3"/>
      <c r="K17" s="3"/>
      <c r="L17" s="3">
        <v>8</v>
      </c>
      <c r="M17" s="3"/>
      <c r="N17" s="3"/>
      <c r="O17" s="3"/>
      <c r="P17" s="3"/>
      <c r="Q17" s="3"/>
      <c r="R17" s="3"/>
      <c r="S17" s="3">
        <v>747</v>
      </c>
      <c r="T17" s="3">
        <v>1628</v>
      </c>
      <c r="U17" s="22"/>
      <c r="V17" s="22"/>
    </row>
    <row r="18" spans="1:22" s="20" customFormat="1" ht="12.75" customHeight="1">
      <c r="A18" s="31">
        <v>13</v>
      </c>
      <c r="B18" s="32" t="s">
        <v>69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>
        <v>3</v>
      </c>
      <c r="N18" s="3"/>
      <c r="O18" s="3"/>
      <c r="P18" s="3"/>
      <c r="Q18" s="3"/>
      <c r="R18" s="3"/>
      <c r="S18" s="3"/>
      <c r="T18" s="3"/>
      <c r="U18" s="22"/>
      <c r="V18" s="22"/>
    </row>
    <row r="19" spans="1:22" s="20" customFormat="1" ht="44.25" customHeight="1">
      <c r="A19" s="139" t="s">
        <v>101</v>
      </c>
      <c r="B19" s="140"/>
      <c r="C19" s="3">
        <f>SUM(C6:C18)</f>
        <v>11</v>
      </c>
      <c r="D19" s="3">
        <f>SUM(D6:D18)</f>
        <v>10</v>
      </c>
      <c r="E19" s="11">
        <f t="shared" si="0"/>
        <v>-1</v>
      </c>
      <c r="F19" s="3">
        <f>SUM(F10:F18)</f>
        <v>448</v>
      </c>
      <c r="G19" s="3">
        <f>SUM(G10:G18)</f>
        <v>274</v>
      </c>
      <c r="H19" s="3">
        <f t="shared" si="1"/>
        <v>-174</v>
      </c>
      <c r="I19" s="3">
        <f>SUM(I6:I18)</f>
        <v>178</v>
      </c>
      <c r="J19" s="3">
        <f aca="true" t="shared" si="2" ref="J19:V19">SUM(J6:J18)</f>
        <v>1</v>
      </c>
      <c r="K19" s="3">
        <f t="shared" si="2"/>
        <v>2</v>
      </c>
      <c r="L19" s="3">
        <f t="shared" si="2"/>
        <v>8</v>
      </c>
      <c r="M19" s="3">
        <f t="shared" si="2"/>
        <v>3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198</v>
      </c>
      <c r="R19" s="3">
        <f t="shared" si="2"/>
        <v>76</v>
      </c>
      <c r="S19" s="3">
        <f t="shared" si="2"/>
        <v>1217</v>
      </c>
      <c r="T19" s="3">
        <f t="shared" si="2"/>
        <v>2145</v>
      </c>
      <c r="U19" s="3">
        <f t="shared" si="2"/>
        <v>0</v>
      </c>
      <c r="V19" s="3">
        <f t="shared" si="2"/>
        <v>58</v>
      </c>
    </row>
    <row r="20" spans="1:22" s="20" customFormat="1" ht="12.75" customHeight="1">
      <c r="A20" s="31">
        <v>1</v>
      </c>
      <c r="B20" s="32" t="s">
        <v>80</v>
      </c>
      <c r="C20" s="3"/>
      <c r="D20" s="3"/>
      <c r="E20" s="11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88"/>
      <c r="N20" s="3"/>
      <c r="O20" s="3"/>
      <c r="P20" s="3"/>
      <c r="Q20" s="3"/>
      <c r="R20" s="3"/>
      <c r="S20" s="111"/>
      <c r="T20" s="22"/>
      <c r="U20" s="22"/>
      <c r="V20" s="22"/>
    </row>
    <row r="21" spans="1:22" s="20" customFormat="1" ht="12.75" customHeight="1">
      <c r="A21" s="31">
        <v>2</v>
      </c>
      <c r="B21" s="32" t="s">
        <v>86</v>
      </c>
      <c r="C21" s="3"/>
      <c r="D21" s="3"/>
      <c r="E21" s="11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88"/>
      <c r="N21" s="3"/>
      <c r="O21" s="3"/>
      <c r="P21" s="3"/>
      <c r="Q21" s="3"/>
      <c r="R21" s="3"/>
      <c r="S21" s="111"/>
      <c r="T21" s="22"/>
      <c r="U21" s="22"/>
      <c r="V21" s="22"/>
    </row>
    <row r="22" spans="1:22" s="20" customFormat="1" ht="30" customHeight="1">
      <c r="A22" s="141" t="s">
        <v>88</v>
      </c>
      <c r="B22" s="142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T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0</v>
      </c>
      <c r="U22" s="22"/>
      <c r="V22" s="22"/>
    </row>
    <row r="23" spans="1:22" s="20" customFormat="1" ht="37.5" customHeight="1">
      <c r="A23" s="137" t="s">
        <v>89</v>
      </c>
      <c r="B23" s="138"/>
      <c r="C23" s="3">
        <f>C22+C19</f>
        <v>11</v>
      </c>
      <c r="D23" s="3">
        <f>D22+D19</f>
        <v>10</v>
      </c>
      <c r="E23" s="11">
        <f>D23-C23</f>
        <v>-1</v>
      </c>
      <c r="F23" s="3">
        <f>F22+F19</f>
        <v>448</v>
      </c>
      <c r="G23" s="3">
        <f>G22+G19</f>
        <v>274</v>
      </c>
      <c r="H23" s="3">
        <f t="shared" si="1"/>
        <v>-174</v>
      </c>
      <c r="I23" s="3">
        <f aca="true" t="shared" si="4" ref="I23:V23">I22+I19</f>
        <v>178</v>
      </c>
      <c r="J23" s="3">
        <f t="shared" si="4"/>
        <v>1</v>
      </c>
      <c r="K23" s="3">
        <f t="shared" si="4"/>
        <v>2</v>
      </c>
      <c r="L23" s="3">
        <f t="shared" si="4"/>
        <v>8</v>
      </c>
      <c r="M23" s="3">
        <f t="shared" si="4"/>
        <v>3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198</v>
      </c>
      <c r="R23" s="3">
        <f t="shared" si="4"/>
        <v>76</v>
      </c>
      <c r="S23" s="3">
        <f t="shared" si="4"/>
        <v>1217</v>
      </c>
      <c r="T23" s="3">
        <f t="shared" si="4"/>
        <v>2145</v>
      </c>
      <c r="U23" s="3">
        <f t="shared" si="4"/>
        <v>0</v>
      </c>
      <c r="V23" s="3">
        <f t="shared" si="4"/>
        <v>58</v>
      </c>
    </row>
    <row r="24" ht="14.25">
      <c r="B24" s="73"/>
    </row>
  </sheetData>
  <sheetProtection/>
  <mergeCells count="18">
    <mergeCell ref="U4:V4"/>
    <mergeCell ref="Q3:V3"/>
    <mergeCell ref="Q4:R4"/>
    <mergeCell ref="S4:T4"/>
    <mergeCell ref="I4:J4"/>
    <mergeCell ref="K4:L4"/>
    <mergeCell ref="A23:B23"/>
    <mergeCell ref="A19:B19"/>
    <mergeCell ref="A22:B22"/>
    <mergeCell ref="C1:R1"/>
    <mergeCell ref="F3:H3"/>
    <mergeCell ref="C3:E3"/>
    <mergeCell ref="C4:C5"/>
    <mergeCell ref="D4:D5"/>
    <mergeCell ref="F4:F5"/>
    <mergeCell ref="G4:G5"/>
    <mergeCell ref="M4:N4"/>
    <mergeCell ref="O4:P4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5" zoomScaleNormal="65" zoomScaleSheetLayoutView="75" zoomScalePageLayoutView="0" workbookViewId="0" topLeftCell="A1">
      <selection activeCell="A23" sqref="A23:B23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4" t="s">
        <v>109</v>
      </c>
      <c r="D1" s="94"/>
      <c r="E1" s="94"/>
      <c r="F1" s="94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5" t="s">
        <v>2</v>
      </c>
      <c r="B3" s="205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06"/>
      <c r="B4" s="206"/>
      <c r="C4" s="18">
        <v>2011</v>
      </c>
      <c r="D4" s="19">
        <v>2012</v>
      </c>
      <c r="E4" s="19" t="s">
        <v>95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07"/>
      <c r="B5" s="207"/>
      <c r="C5" s="40"/>
      <c r="D5" s="11"/>
      <c r="E5" s="11" t="s">
        <v>96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25.8</v>
      </c>
      <c r="D6" s="83">
        <v>22.1</v>
      </c>
      <c r="E6" s="82">
        <f aca="true" t="shared" si="0" ref="E6:E23">D6*100/C6</f>
        <v>85.65891472868216</v>
      </c>
      <c r="F6" s="83">
        <v>24.1</v>
      </c>
      <c r="G6" s="83">
        <v>22.1</v>
      </c>
      <c r="H6" s="83"/>
      <c r="I6" s="83"/>
      <c r="J6" s="83">
        <v>1.7</v>
      </c>
      <c r="K6" s="83"/>
      <c r="L6" s="20"/>
      <c r="M6" s="20"/>
    </row>
    <row r="7" spans="1:13" ht="16.5">
      <c r="A7" s="31">
        <v>2</v>
      </c>
      <c r="B7" s="31" t="s">
        <v>56</v>
      </c>
      <c r="C7" s="83">
        <v>9</v>
      </c>
      <c r="D7" s="83">
        <v>4.67</v>
      </c>
      <c r="E7" s="82">
        <f t="shared" si="0"/>
        <v>51.888888888888886</v>
      </c>
      <c r="F7" s="83">
        <v>9</v>
      </c>
      <c r="G7" s="83">
        <v>4.67</v>
      </c>
      <c r="H7" s="83"/>
      <c r="I7" s="83"/>
      <c r="J7" s="83"/>
      <c r="K7" s="83"/>
      <c r="L7" s="20"/>
      <c r="M7" s="20"/>
    </row>
    <row r="8" spans="1:13" ht="16.5">
      <c r="A8" s="31">
        <v>3</v>
      </c>
      <c r="B8" s="31" t="s">
        <v>57</v>
      </c>
      <c r="C8" s="83">
        <v>4</v>
      </c>
      <c r="D8" s="83">
        <v>4.4</v>
      </c>
      <c r="E8" s="82">
        <f t="shared" si="0"/>
        <v>110.00000000000001</v>
      </c>
      <c r="F8" s="83">
        <v>4</v>
      </c>
      <c r="G8" s="83">
        <v>4.4</v>
      </c>
      <c r="H8" s="83"/>
      <c r="I8" s="83"/>
      <c r="J8" s="83"/>
      <c r="K8" s="83"/>
      <c r="L8" s="20"/>
      <c r="M8" s="20"/>
    </row>
    <row r="9" spans="1:13" ht="16.5">
      <c r="A9" s="31">
        <v>4</v>
      </c>
      <c r="B9" s="41" t="s">
        <v>58</v>
      </c>
      <c r="C9" s="83">
        <v>72.8</v>
      </c>
      <c r="D9" s="83">
        <v>26.7</v>
      </c>
      <c r="E9" s="82">
        <f t="shared" si="0"/>
        <v>36.675824175824175</v>
      </c>
      <c r="F9" s="83">
        <v>65.4</v>
      </c>
      <c r="G9" s="83">
        <v>24.8</v>
      </c>
      <c r="H9" s="83">
        <v>6.1</v>
      </c>
      <c r="I9" s="83">
        <v>1.9</v>
      </c>
      <c r="J9" s="83">
        <v>1.3</v>
      </c>
      <c r="K9" s="83"/>
      <c r="L9" s="20"/>
      <c r="M9" s="20"/>
    </row>
    <row r="10" spans="1:13" ht="16.5">
      <c r="A10" s="31">
        <v>5</v>
      </c>
      <c r="B10" s="31" t="s">
        <v>59</v>
      </c>
      <c r="C10" s="83">
        <v>30.1</v>
      </c>
      <c r="D10" s="83">
        <v>40.9</v>
      </c>
      <c r="E10" s="82">
        <f t="shared" si="0"/>
        <v>135.88039867109634</v>
      </c>
      <c r="F10" s="83">
        <v>18</v>
      </c>
      <c r="G10" s="83">
        <v>31.13</v>
      </c>
      <c r="H10" s="83">
        <v>8.4</v>
      </c>
      <c r="I10" s="83">
        <v>7.17</v>
      </c>
      <c r="J10" s="83">
        <v>3.7</v>
      </c>
      <c r="K10" s="83">
        <v>2.6</v>
      </c>
      <c r="L10" s="20"/>
      <c r="M10" s="20"/>
    </row>
    <row r="11" spans="1:13" ht="16.5">
      <c r="A11" s="31">
        <v>6</v>
      </c>
      <c r="B11" s="32" t="s">
        <v>71</v>
      </c>
      <c r="C11" s="83">
        <v>11.2</v>
      </c>
      <c r="D11" s="119">
        <v>12.136</v>
      </c>
      <c r="E11" s="82">
        <f t="shared" si="0"/>
        <v>108.35714285714286</v>
      </c>
      <c r="F11" s="84">
        <v>10.1</v>
      </c>
      <c r="G11" s="84">
        <v>11.341</v>
      </c>
      <c r="H11" s="84"/>
      <c r="I11" s="84"/>
      <c r="J11" s="84">
        <v>1.1</v>
      </c>
      <c r="K11" s="84">
        <v>0.795</v>
      </c>
      <c r="L11" s="20"/>
      <c r="M11" s="20"/>
    </row>
    <row r="12" spans="1:13" ht="16.5">
      <c r="A12" s="31">
        <v>7</v>
      </c>
      <c r="B12" s="32" t="s">
        <v>60</v>
      </c>
      <c r="C12" s="83">
        <v>1</v>
      </c>
      <c r="D12" s="83"/>
      <c r="E12" s="82">
        <f t="shared" si="0"/>
        <v>0</v>
      </c>
      <c r="F12" s="84">
        <v>1</v>
      </c>
      <c r="G12" s="84"/>
      <c r="H12" s="84"/>
      <c r="I12" s="84"/>
      <c r="J12" s="84"/>
      <c r="K12" s="84"/>
      <c r="L12" s="20"/>
      <c r="M12" s="20"/>
    </row>
    <row r="13" spans="1:13" ht="16.5">
      <c r="A13" s="31">
        <v>8</v>
      </c>
      <c r="B13" s="32" t="s">
        <v>85</v>
      </c>
      <c r="C13" s="83"/>
      <c r="D13" s="83">
        <v>15.917</v>
      </c>
      <c r="E13" s="82"/>
      <c r="F13" s="84"/>
      <c r="G13" s="84">
        <v>15.917</v>
      </c>
      <c r="H13" s="84"/>
      <c r="I13" s="84"/>
      <c r="J13" s="84"/>
      <c r="K13" s="84"/>
      <c r="L13" s="20"/>
      <c r="M13" s="20"/>
    </row>
    <row r="14" spans="1:13" ht="16.5">
      <c r="A14" s="31">
        <v>9</v>
      </c>
      <c r="B14" s="32" t="s">
        <v>70</v>
      </c>
      <c r="C14" s="83">
        <v>16.5</v>
      </c>
      <c r="D14" s="83">
        <v>8.79</v>
      </c>
      <c r="E14" s="82">
        <f t="shared" si="0"/>
        <v>53.272727272727266</v>
      </c>
      <c r="F14" s="84">
        <v>16.4</v>
      </c>
      <c r="G14" s="84">
        <v>7.57</v>
      </c>
      <c r="H14" s="84"/>
      <c r="I14" s="84"/>
      <c r="J14" s="84">
        <v>0.1</v>
      </c>
      <c r="K14" s="84">
        <v>1.22</v>
      </c>
      <c r="L14" s="20"/>
      <c r="M14" s="20"/>
    </row>
    <row r="15" spans="1:13" ht="16.5">
      <c r="A15" s="31">
        <v>10</v>
      </c>
      <c r="B15" s="32" t="s">
        <v>61</v>
      </c>
      <c r="C15" s="83">
        <v>8.7</v>
      </c>
      <c r="D15" s="83">
        <v>13.7</v>
      </c>
      <c r="E15" s="82">
        <f t="shared" si="0"/>
        <v>157.4712643678161</v>
      </c>
      <c r="F15" s="84">
        <v>8.7</v>
      </c>
      <c r="G15" s="84">
        <v>13.4</v>
      </c>
      <c r="H15" s="84"/>
      <c r="I15" s="84"/>
      <c r="J15" s="84"/>
      <c r="K15" s="84">
        <v>0.3</v>
      </c>
      <c r="L15" s="20"/>
      <c r="M15" s="20"/>
    </row>
    <row r="16" spans="1:13" ht="16.5">
      <c r="A16" s="31">
        <v>11</v>
      </c>
      <c r="B16" s="32" t="s">
        <v>62</v>
      </c>
      <c r="C16" s="83">
        <v>6.8</v>
      </c>
      <c r="D16" s="83">
        <v>4.3</v>
      </c>
      <c r="E16" s="82">
        <f t="shared" si="0"/>
        <v>63.23529411764706</v>
      </c>
      <c r="F16" s="84">
        <v>6.4</v>
      </c>
      <c r="G16" s="84">
        <v>4.3</v>
      </c>
      <c r="H16" s="84"/>
      <c r="I16" s="84"/>
      <c r="J16" s="84">
        <v>0.4</v>
      </c>
      <c r="K16" s="84"/>
      <c r="L16" s="20"/>
      <c r="M16" s="20"/>
    </row>
    <row r="17" spans="1:13" ht="16.5">
      <c r="A17" s="31">
        <v>12</v>
      </c>
      <c r="B17" s="32" t="s">
        <v>63</v>
      </c>
      <c r="C17" s="83">
        <v>431</v>
      </c>
      <c r="D17" s="83">
        <v>523</v>
      </c>
      <c r="E17" s="82">
        <f t="shared" si="0"/>
        <v>121.34570765661253</v>
      </c>
      <c r="F17" s="84"/>
      <c r="G17" s="84"/>
      <c r="H17" s="84">
        <v>431</v>
      </c>
      <c r="I17" s="84">
        <v>523</v>
      </c>
      <c r="J17" s="84"/>
      <c r="K17" s="84"/>
      <c r="L17" s="20"/>
      <c r="M17" s="20"/>
    </row>
    <row r="18" spans="1:13" ht="16.5">
      <c r="A18" s="31">
        <v>13</v>
      </c>
      <c r="B18" s="32" t="s">
        <v>69</v>
      </c>
      <c r="C18" s="83">
        <v>2.8</v>
      </c>
      <c r="D18" s="83">
        <v>2.3</v>
      </c>
      <c r="E18" s="82">
        <f t="shared" si="0"/>
        <v>82.14285714285714</v>
      </c>
      <c r="F18" s="84"/>
      <c r="G18" s="84"/>
      <c r="H18" s="84"/>
      <c r="I18" s="84"/>
      <c r="J18" s="84">
        <v>2.8</v>
      </c>
      <c r="K18" s="84">
        <v>2</v>
      </c>
      <c r="L18" s="20"/>
      <c r="M18" s="20"/>
    </row>
    <row r="19" spans="1:13" ht="46.5" customHeight="1">
      <c r="A19" s="208" t="s">
        <v>87</v>
      </c>
      <c r="B19" s="209"/>
      <c r="C19" s="83">
        <f>SUM(C6:C18)</f>
        <v>619.6999999999999</v>
      </c>
      <c r="D19" s="83">
        <f>SUM(D6:D18)</f>
        <v>678.913</v>
      </c>
      <c r="E19" s="82">
        <f t="shared" si="0"/>
        <v>109.55510730998873</v>
      </c>
      <c r="F19" s="84">
        <f aca="true" t="shared" si="1" ref="F19:K19">SUM(F6:F18)</f>
        <v>163.1</v>
      </c>
      <c r="G19" s="84">
        <f t="shared" si="1"/>
        <v>139.62800000000001</v>
      </c>
      <c r="H19" s="84">
        <f t="shared" si="1"/>
        <v>445.5</v>
      </c>
      <c r="I19" s="84">
        <f t="shared" si="1"/>
        <v>532.07</v>
      </c>
      <c r="J19" s="84">
        <f t="shared" si="1"/>
        <v>11.100000000000001</v>
      </c>
      <c r="K19" s="84">
        <f t="shared" si="1"/>
        <v>6.915</v>
      </c>
      <c r="L19" s="20"/>
      <c r="M19" s="20"/>
    </row>
    <row r="20" spans="1:13" ht="16.5">
      <c r="A20" s="31">
        <v>1</v>
      </c>
      <c r="B20" s="32" t="s">
        <v>80</v>
      </c>
      <c r="C20" s="83"/>
      <c r="D20" s="83"/>
      <c r="E20" s="82"/>
      <c r="F20" s="84"/>
      <c r="G20" s="84"/>
      <c r="H20" s="84"/>
      <c r="I20" s="84"/>
      <c r="J20" s="84"/>
      <c r="K20" s="84"/>
      <c r="L20" s="20"/>
      <c r="M20" s="20"/>
    </row>
    <row r="21" spans="1:13" ht="18">
      <c r="A21" s="31">
        <v>2</v>
      </c>
      <c r="B21" s="32" t="s">
        <v>86</v>
      </c>
      <c r="C21" s="83"/>
      <c r="D21" s="83">
        <v>0.1</v>
      </c>
      <c r="E21" s="82"/>
      <c r="F21" s="16"/>
      <c r="G21" s="84"/>
      <c r="H21" s="16"/>
      <c r="I21" s="84"/>
      <c r="J21" s="84"/>
      <c r="K21" s="84">
        <v>0.1</v>
      </c>
      <c r="L21" s="20"/>
      <c r="M21" s="20"/>
    </row>
    <row r="22" spans="1:13" ht="18">
      <c r="A22" s="210" t="s">
        <v>88</v>
      </c>
      <c r="B22" s="211"/>
      <c r="C22" s="83">
        <f>SUM(C20:C21)</f>
        <v>0</v>
      </c>
      <c r="D22" s="83">
        <f>SUM(D20:D21)</f>
        <v>0.1</v>
      </c>
      <c r="E22" s="82"/>
      <c r="F22" s="16">
        <f aca="true" t="shared" si="2" ref="F22:K22">SUM(F20:F21)</f>
        <v>0</v>
      </c>
      <c r="G22" s="84">
        <f t="shared" si="2"/>
        <v>0</v>
      </c>
      <c r="H22" s="16">
        <f t="shared" si="2"/>
        <v>0</v>
      </c>
      <c r="I22" s="84">
        <f t="shared" si="2"/>
        <v>0</v>
      </c>
      <c r="J22" s="84">
        <f t="shared" si="2"/>
        <v>0</v>
      </c>
      <c r="K22" s="84">
        <f t="shared" si="2"/>
        <v>0.1</v>
      </c>
      <c r="L22" s="20"/>
      <c r="M22" s="20"/>
    </row>
    <row r="23" spans="1:13" ht="16.5">
      <c r="A23" s="203" t="s">
        <v>89</v>
      </c>
      <c r="B23" s="204"/>
      <c r="C23" s="85">
        <f>C19+C22</f>
        <v>619.6999999999999</v>
      </c>
      <c r="D23" s="85">
        <f>D19+D22</f>
        <v>679.013</v>
      </c>
      <c r="E23" s="82">
        <f t="shared" si="0"/>
        <v>109.57124415039537</v>
      </c>
      <c r="F23" s="85">
        <f aca="true" t="shared" si="3" ref="F23:K23">F19+F22</f>
        <v>163.1</v>
      </c>
      <c r="G23" s="85">
        <f t="shared" si="3"/>
        <v>139.62800000000001</v>
      </c>
      <c r="H23" s="85">
        <f t="shared" si="3"/>
        <v>445.5</v>
      </c>
      <c r="I23" s="85">
        <f t="shared" si="3"/>
        <v>532.07</v>
      </c>
      <c r="J23" s="85">
        <f t="shared" si="3"/>
        <v>11.100000000000001</v>
      </c>
      <c r="K23" s="85">
        <f t="shared" si="3"/>
        <v>7.015</v>
      </c>
      <c r="L23" s="20"/>
      <c r="M23" s="20"/>
    </row>
  </sheetData>
  <sheetProtection/>
  <mergeCells count="5">
    <mergeCell ref="A23:B23"/>
    <mergeCell ref="A3:A5"/>
    <mergeCell ref="B3:B5"/>
    <mergeCell ref="A19:B19"/>
    <mergeCell ref="A22:B22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O17" sqref="O17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375" style="0" customWidth="1"/>
    <col min="4" max="4" width="9.37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4"/>
      <c r="E4" s="104"/>
      <c r="F4" s="102"/>
      <c r="G4" s="102"/>
      <c r="H4" s="105"/>
      <c r="I4" s="97" t="s">
        <v>46</v>
      </c>
      <c r="J4" s="102"/>
      <c r="K4" s="104"/>
      <c r="L4" s="102"/>
      <c r="M4" s="102"/>
      <c r="N4" s="105"/>
      <c r="O4" s="97" t="s">
        <v>47</v>
      </c>
      <c r="P4" s="102"/>
      <c r="Q4" s="104"/>
      <c r="R4" s="102"/>
      <c r="S4" s="102"/>
      <c r="T4" s="105"/>
    </row>
    <row r="5" spans="1:20" ht="15" customHeight="1">
      <c r="A5" s="79" t="s">
        <v>2</v>
      </c>
      <c r="B5" s="33"/>
      <c r="C5" s="25" t="s">
        <v>48</v>
      </c>
      <c r="D5" s="102"/>
      <c r="E5" s="149" t="s">
        <v>102</v>
      </c>
      <c r="F5" s="97" t="s">
        <v>49</v>
      </c>
      <c r="G5" s="101"/>
      <c r="H5" s="149" t="s">
        <v>102</v>
      </c>
      <c r="I5" s="152" t="s">
        <v>48</v>
      </c>
      <c r="J5" s="152"/>
      <c r="K5" s="149" t="s">
        <v>102</v>
      </c>
      <c r="L5" s="152" t="s">
        <v>49</v>
      </c>
      <c r="M5" s="152"/>
      <c r="N5" s="149" t="s">
        <v>102</v>
      </c>
      <c r="O5" s="102" t="s">
        <v>48</v>
      </c>
      <c r="P5" s="102"/>
      <c r="Q5" s="149" t="s">
        <v>83</v>
      </c>
      <c r="R5" s="153" t="s">
        <v>49</v>
      </c>
      <c r="S5" s="154"/>
      <c r="T5" s="149" t="s">
        <v>102</v>
      </c>
    </row>
    <row r="6" spans="1:20" ht="15">
      <c r="A6" s="79" t="s">
        <v>68</v>
      </c>
      <c r="B6" s="33"/>
      <c r="C6" s="147">
        <v>2011</v>
      </c>
      <c r="D6" s="147">
        <v>2012</v>
      </c>
      <c r="E6" s="150"/>
      <c r="F6" s="147">
        <v>2011</v>
      </c>
      <c r="G6" s="147">
        <v>2012</v>
      </c>
      <c r="H6" s="150"/>
      <c r="I6" s="147">
        <v>2011</v>
      </c>
      <c r="J6" s="147">
        <v>2012</v>
      </c>
      <c r="K6" s="150"/>
      <c r="L6" s="147">
        <v>2011</v>
      </c>
      <c r="M6" s="147">
        <v>2012</v>
      </c>
      <c r="N6" s="150"/>
      <c r="O6" s="147">
        <v>2011</v>
      </c>
      <c r="P6" s="147">
        <v>2012</v>
      </c>
      <c r="Q6" s="150"/>
      <c r="R6" s="147">
        <v>2011</v>
      </c>
      <c r="S6" s="147">
        <v>2012</v>
      </c>
      <c r="T6" s="150"/>
    </row>
    <row r="7" spans="1:20" ht="15">
      <c r="A7" s="80"/>
      <c r="B7" s="29"/>
      <c r="C7" s="148"/>
      <c r="D7" s="148"/>
      <c r="E7" s="151"/>
      <c r="F7" s="148"/>
      <c r="G7" s="148"/>
      <c r="H7" s="151"/>
      <c r="I7" s="148"/>
      <c r="J7" s="148"/>
      <c r="K7" s="151"/>
      <c r="L7" s="148"/>
      <c r="M7" s="148"/>
      <c r="N7" s="151"/>
      <c r="O7" s="148"/>
      <c r="P7" s="148"/>
      <c r="Q7" s="151"/>
      <c r="R7" s="148"/>
      <c r="S7" s="148"/>
      <c r="T7" s="151"/>
    </row>
    <row r="8" spans="1:20" ht="15">
      <c r="A8" s="2">
        <v>1</v>
      </c>
      <c r="B8" s="22" t="s">
        <v>55</v>
      </c>
      <c r="C8" s="124">
        <v>145</v>
      </c>
      <c r="D8" s="3">
        <v>119</v>
      </c>
      <c r="E8" s="36">
        <f aca="true" t="shared" si="0" ref="E8:E18">D8/C8*100</f>
        <v>82.06896551724138</v>
      </c>
      <c r="F8" s="3"/>
      <c r="G8" s="3"/>
      <c r="H8" s="36"/>
      <c r="I8" s="3">
        <v>32646</v>
      </c>
      <c r="J8" s="3">
        <v>23493</v>
      </c>
      <c r="K8" s="36">
        <f>J8*100/I8</f>
        <v>71.96287447160448</v>
      </c>
      <c r="L8" s="3"/>
      <c r="M8" s="3"/>
      <c r="N8" s="36"/>
      <c r="O8" s="36">
        <f aca="true" t="shared" si="1" ref="O8:O18">C8/I8*100000</f>
        <v>444.1585492862832</v>
      </c>
      <c r="P8" s="36">
        <f aca="true" t="shared" si="2" ref="P8:P17">D8/J8*100000</f>
        <v>506.53386115012984</v>
      </c>
      <c r="Q8" s="36">
        <f aca="true" t="shared" si="3" ref="Q8:Q18">P8/O8*100</f>
        <v>114.04347883522163</v>
      </c>
      <c r="R8" s="36"/>
      <c r="S8" s="36"/>
      <c r="T8" s="36"/>
    </row>
    <row r="9" spans="1:20" ht="15">
      <c r="A9" s="2">
        <v>2</v>
      </c>
      <c r="B9" s="22" t="s">
        <v>56</v>
      </c>
      <c r="C9" s="124">
        <v>63.2</v>
      </c>
      <c r="D9" s="3">
        <v>68.91</v>
      </c>
      <c r="E9" s="36">
        <f t="shared" si="0"/>
        <v>109.03481012658227</v>
      </c>
      <c r="F9" s="3"/>
      <c r="G9" s="3"/>
      <c r="H9" s="36"/>
      <c r="I9" s="3">
        <v>28508</v>
      </c>
      <c r="J9" s="3">
        <v>23011</v>
      </c>
      <c r="K9" s="36">
        <f aca="true" t="shared" si="4" ref="K9:K23">J9*100/I9</f>
        <v>80.71769327907955</v>
      </c>
      <c r="L9" s="3"/>
      <c r="M9" s="3"/>
      <c r="N9" s="36"/>
      <c r="O9" s="36">
        <f t="shared" si="1"/>
        <v>221.69215658762454</v>
      </c>
      <c r="P9" s="36">
        <f t="shared" si="2"/>
        <v>299.46547303463564</v>
      </c>
      <c r="Q9" s="36">
        <f t="shared" si="3"/>
        <v>135.08167255176252</v>
      </c>
      <c r="R9" s="36"/>
      <c r="S9" s="36"/>
      <c r="T9" s="36"/>
    </row>
    <row r="10" spans="1:20" ht="15">
      <c r="A10" s="2">
        <v>3</v>
      </c>
      <c r="B10" s="37" t="s">
        <v>57</v>
      </c>
      <c r="C10" s="125">
        <v>60</v>
      </c>
      <c r="D10" s="19">
        <v>41</v>
      </c>
      <c r="E10" s="36">
        <f t="shared" si="0"/>
        <v>68.33333333333333</v>
      </c>
      <c r="F10" s="19"/>
      <c r="G10" s="19"/>
      <c r="H10" s="36"/>
      <c r="I10" s="3">
        <v>9065</v>
      </c>
      <c r="J10" s="3">
        <v>6695</v>
      </c>
      <c r="K10" s="36">
        <f t="shared" si="4"/>
        <v>73.85548814120243</v>
      </c>
      <c r="L10" s="19"/>
      <c r="M10" s="19"/>
      <c r="N10" s="87"/>
      <c r="O10" s="36">
        <f t="shared" si="1"/>
        <v>661.8863761720904</v>
      </c>
      <c r="P10" s="36">
        <f t="shared" si="2"/>
        <v>612.3973114264376</v>
      </c>
      <c r="Q10" s="36">
        <f t="shared" si="3"/>
        <v>92.52302713467762</v>
      </c>
      <c r="R10" s="87"/>
      <c r="S10" s="87"/>
      <c r="T10" s="87"/>
    </row>
    <row r="11" spans="1:20" ht="15">
      <c r="A11" s="2">
        <v>4</v>
      </c>
      <c r="B11" s="22" t="s">
        <v>58</v>
      </c>
      <c r="C11" s="124">
        <v>377</v>
      </c>
      <c r="D11" s="3">
        <v>273.9</v>
      </c>
      <c r="E11" s="36">
        <f t="shared" si="0"/>
        <v>72.65251989389921</v>
      </c>
      <c r="F11" s="3">
        <v>157</v>
      </c>
      <c r="G11" s="3">
        <v>144</v>
      </c>
      <c r="H11" s="36">
        <f>G11/F11*100</f>
        <v>91.71974522292994</v>
      </c>
      <c r="I11" s="3">
        <v>83906</v>
      </c>
      <c r="J11" s="3">
        <v>77112</v>
      </c>
      <c r="K11" s="36">
        <f t="shared" si="4"/>
        <v>91.90284365837961</v>
      </c>
      <c r="L11" s="3">
        <v>37503</v>
      </c>
      <c r="M11" s="3">
        <v>36677</v>
      </c>
      <c r="N11" s="36">
        <f>M11/L11*100</f>
        <v>97.79750953257073</v>
      </c>
      <c r="O11" s="36">
        <f t="shared" si="1"/>
        <v>449.31232569780474</v>
      </c>
      <c r="P11" s="36">
        <f t="shared" si="2"/>
        <v>355.1976346093993</v>
      </c>
      <c r="Q11" s="36">
        <f t="shared" si="3"/>
        <v>79.05361466720493</v>
      </c>
      <c r="R11" s="36">
        <f>F11/L11*100000</f>
        <v>418.6331760125857</v>
      </c>
      <c r="S11" s="36">
        <f>G11/M11*100000</f>
        <v>392.61662622351884</v>
      </c>
      <c r="T11" s="36">
        <f>S11/R11*100</f>
        <v>93.78535881057724</v>
      </c>
    </row>
    <row r="12" spans="1:20" ht="15">
      <c r="A12" s="2">
        <v>5</v>
      </c>
      <c r="B12" s="22" t="s">
        <v>59</v>
      </c>
      <c r="C12" s="126">
        <v>114</v>
      </c>
      <c r="D12" s="88">
        <v>117</v>
      </c>
      <c r="E12" s="89">
        <f t="shared" si="0"/>
        <v>102.63157894736842</v>
      </c>
      <c r="F12" s="88">
        <v>98</v>
      </c>
      <c r="G12" s="88">
        <v>10.73</v>
      </c>
      <c r="H12" s="36">
        <f>G12/F12*100</f>
        <v>10.948979591836736</v>
      </c>
      <c r="I12" s="3">
        <v>25994</v>
      </c>
      <c r="J12" s="3">
        <v>28311</v>
      </c>
      <c r="K12" s="36">
        <f t="shared" si="4"/>
        <v>108.91359544510271</v>
      </c>
      <c r="L12" s="3">
        <v>26692</v>
      </c>
      <c r="M12" s="3">
        <v>13153</v>
      </c>
      <c r="N12" s="36">
        <f>M12/L12*100</f>
        <v>49.27693690993556</v>
      </c>
      <c r="O12" s="36">
        <f t="shared" si="1"/>
        <v>438.56274524890364</v>
      </c>
      <c r="P12" s="36">
        <f t="shared" si="2"/>
        <v>413.26692804916814</v>
      </c>
      <c r="Q12" s="36">
        <f t="shared" si="3"/>
        <v>94.23210989219365</v>
      </c>
      <c r="R12" s="36">
        <f>F12/L12*100000</f>
        <v>367.1512063539637</v>
      </c>
      <c r="S12" s="36">
        <f>G12/M12*100000</f>
        <v>81.578347145138</v>
      </c>
      <c r="T12" s="36">
        <f>S12/R12*100</f>
        <v>22.219277979571668</v>
      </c>
    </row>
    <row r="13" spans="1:20" ht="15">
      <c r="A13" s="2">
        <v>6</v>
      </c>
      <c r="B13" s="38" t="s">
        <v>71</v>
      </c>
      <c r="C13" s="126">
        <v>66.54</v>
      </c>
      <c r="D13" s="88">
        <v>114.19</v>
      </c>
      <c r="E13" s="89">
        <f t="shared" si="0"/>
        <v>171.61106101593023</v>
      </c>
      <c r="F13" s="88"/>
      <c r="G13" s="88"/>
      <c r="H13" s="89"/>
      <c r="I13" s="88">
        <v>22215</v>
      </c>
      <c r="J13" s="88">
        <v>22421</v>
      </c>
      <c r="K13" s="36">
        <f t="shared" si="4"/>
        <v>100.9273013729462</v>
      </c>
      <c r="L13" s="88"/>
      <c r="M13" s="88"/>
      <c r="N13" s="89"/>
      <c r="O13" s="36">
        <f t="shared" si="1"/>
        <v>299.527346387576</v>
      </c>
      <c r="P13" s="36">
        <f t="shared" si="2"/>
        <v>509.2993176040319</v>
      </c>
      <c r="Q13" s="36">
        <f t="shared" si="3"/>
        <v>170.03433033624236</v>
      </c>
      <c r="R13" s="36"/>
      <c r="S13" s="36"/>
      <c r="T13" s="89"/>
    </row>
    <row r="14" spans="1:20" ht="15">
      <c r="A14" s="2">
        <v>7</v>
      </c>
      <c r="B14" s="38" t="s">
        <v>60</v>
      </c>
      <c r="C14" s="126">
        <v>52.7</v>
      </c>
      <c r="D14" s="88"/>
      <c r="E14" s="89">
        <f t="shared" si="0"/>
        <v>0</v>
      </c>
      <c r="F14" s="88"/>
      <c r="G14" s="88"/>
      <c r="H14" s="89"/>
      <c r="I14" s="88">
        <v>22350</v>
      </c>
      <c r="J14" s="88"/>
      <c r="K14" s="36">
        <f t="shared" si="4"/>
        <v>0</v>
      </c>
      <c r="L14" s="88"/>
      <c r="M14" s="88"/>
      <c r="N14" s="89"/>
      <c r="O14" s="36">
        <f t="shared" si="1"/>
        <v>235.79418344519019</v>
      </c>
      <c r="P14" s="36"/>
      <c r="Q14" s="89"/>
      <c r="R14" s="36"/>
      <c r="S14" s="3"/>
      <c r="T14" s="89"/>
    </row>
    <row r="15" spans="1:20" ht="15">
      <c r="A15" s="2">
        <v>8</v>
      </c>
      <c r="B15" s="32" t="s">
        <v>85</v>
      </c>
      <c r="C15" s="126"/>
      <c r="D15" s="88">
        <v>101.21</v>
      </c>
      <c r="E15" s="89"/>
      <c r="F15" s="88"/>
      <c r="G15" s="88"/>
      <c r="H15" s="89"/>
      <c r="I15" s="88"/>
      <c r="J15" s="88">
        <v>29916</v>
      </c>
      <c r="K15" s="36"/>
      <c r="L15" s="88"/>
      <c r="M15" s="88"/>
      <c r="N15" s="89"/>
      <c r="O15" s="36"/>
      <c r="P15" s="36">
        <f t="shared" si="2"/>
        <v>338.31394571466774</v>
      </c>
      <c r="Q15" s="89"/>
      <c r="R15" s="36"/>
      <c r="S15" s="3"/>
      <c r="T15" s="89"/>
    </row>
    <row r="16" spans="1:20" s="69" customFormat="1" ht="15">
      <c r="A16" s="2">
        <v>9</v>
      </c>
      <c r="B16" s="32" t="s">
        <v>70</v>
      </c>
      <c r="C16" s="127">
        <v>70.74</v>
      </c>
      <c r="D16" s="90">
        <v>143.86</v>
      </c>
      <c r="E16" s="91">
        <f t="shared" si="0"/>
        <v>203.36443313542554</v>
      </c>
      <c r="F16" s="90"/>
      <c r="G16" s="90"/>
      <c r="H16" s="91"/>
      <c r="I16" s="88">
        <v>17917</v>
      </c>
      <c r="J16" s="90">
        <v>28226</v>
      </c>
      <c r="K16" s="36">
        <f t="shared" si="4"/>
        <v>157.5375341854105</v>
      </c>
      <c r="L16" s="90"/>
      <c r="M16" s="90"/>
      <c r="N16" s="91"/>
      <c r="O16" s="36">
        <f t="shared" si="1"/>
        <v>394.82056147792593</v>
      </c>
      <c r="P16" s="36">
        <f t="shared" si="2"/>
        <v>509.6719336781691</v>
      </c>
      <c r="Q16" s="91">
        <f t="shared" si="3"/>
        <v>129.0895113897619</v>
      </c>
      <c r="R16" s="36"/>
      <c r="S16" s="36"/>
      <c r="T16" s="36"/>
    </row>
    <row r="17" spans="1:20" ht="15">
      <c r="A17" s="2">
        <v>10</v>
      </c>
      <c r="B17" s="38" t="s">
        <v>61</v>
      </c>
      <c r="C17" s="126">
        <v>94</v>
      </c>
      <c r="D17" s="88">
        <v>115</v>
      </c>
      <c r="E17" s="89">
        <f t="shared" si="0"/>
        <v>122.34042553191489</v>
      </c>
      <c r="F17" s="88"/>
      <c r="G17" s="88"/>
      <c r="H17" s="89"/>
      <c r="I17" s="90">
        <v>23545</v>
      </c>
      <c r="J17" s="88">
        <v>20481</v>
      </c>
      <c r="K17" s="36">
        <f t="shared" si="4"/>
        <v>86.98662136334679</v>
      </c>
      <c r="L17" s="88"/>
      <c r="M17" s="88"/>
      <c r="N17" s="89"/>
      <c r="O17" s="36">
        <f t="shared" si="1"/>
        <v>399.235506476959</v>
      </c>
      <c r="P17" s="36">
        <f t="shared" si="2"/>
        <v>561.4960207021142</v>
      </c>
      <c r="Q17" s="89">
        <f t="shared" si="3"/>
        <v>140.64280646203486</v>
      </c>
      <c r="R17" s="36"/>
      <c r="S17" s="36"/>
      <c r="T17" s="89"/>
    </row>
    <row r="18" spans="1:20" ht="15">
      <c r="A18" s="2">
        <v>11</v>
      </c>
      <c r="B18" s="38" t="s">
        <v>62</v>
      </c>
      <c r="C18" s="126">
        <v>44</v>
      </c>
      <c r="D18" s="88">
        <v>18.1</v>
      </c>
      <c r="E18" s="89">
        <f t="shared" si="0"/>
        <v>41.13636363636364</v>
      </c>
      <c r="F18" s="88"/>
      <c r="G18" s="88"/>
      <c r="H18" s="89"/>
      <c r="I18" s="88">
        <v>9366</v>
      </c>
      <c r="J18" s="88">
        <v>2580</v>
      </c>
      <c r="K18" s="36">
        <f t="shared" si="4"/>
        <v>27.546444586803332</v>
      </c>
      <c r="L18" s="88"/>
      <c r="M18" s="88"/>
      <c r="N18" s="89"/>
      <c r="O18" s="36">
        <f t="shared" si="1"/>
        <v>469.78432628656844</v>
      </c>
      <c r="P18" s="36">
        <f>D18/J18*100000</f>
        <v>701.5503875968993</v>
      </c>
      <c r="Q18" s="89">
        <f t="shared" si="3"/>
        <v>149.33456659619452</v>
      </c>
      <c r="R18" s="36"/>
      <c r="S18" s="36"/>
      <c r="T18" s="89"/>
    </row>
    <row r="19" spans="1:20" ht="15">
      <c r="A19" s="2">
        <v>12</v>
      </c>
      <c r="B19" s="81" t="s">
        <v>63</v>
      </c>
      <c r="C19" s="126"/>
      <c r="D19" s="88"/>
      <c r="E19" s="89"/>
      <c r="F19" s="88">
        <v>4473</v>
      </c>
      <c r="G19" s="88">
        <v>5734</v>
      </c>
      <c r="H19" s="89">
        <f>G19/F19*100</f>
        <v>128.19137044489156</v>
      </c>
      <c r="I19" s="3"/>
      <c r="J19" s="88"/>
      <c r="K19" s="36"/>
      <c r="L19" s="88">
        <v>1155115</v>
      </c>
      <c r="M19" s="88">
        <v>1366013</v>
      </c>
      <c r="N19" s="89">
        <f>M19/L19*100</f>
        <v>118.25774922843179</v>
      </c>
      <c r="O19" s="36"/>
      <c r="P19" s="36"/>
      <c r="Q19" s="89"/>
      <c r="R19" s="36">
        <f aca="true" t="shared" si="5" ref="R19:S21">F19/L19*100000</f>
        <v>387.2341714894188</v>
      </c>
      <c r="S19" s="36">
        <f t="shared" si="5"/>
        <v>419.7617445807616</v>
      </c>
      <c r="T19" s="89">
        <f>S19/R19*100</f>
        <v>108.39997486952973</v>
      </c>
    </row>
    <row r="20" spans="1:20" ht="43.5" customHeight="1">
      <c r="A20" s="139" t="s">
        <v>101</v>
      </c>
      <c r="B20" s="140"/>
      <c r="C20" s="128">
        <f>SUM(C8:C19)</f>
        <v>1087.18</v>
      </c>
      <c r="D20" s="3">
        <f>SUM(D8:D19)</f>
        <v>1112.17</v>
      </c>
      <c r="E20" s="36">
        <f>D20/C20*100</f>
        <v>102.29860740631726</v>
      </c>
      <c r="F20" s="36">
        <f>SUM(F11:F19)</f>
        <v>4728</v>
      </c>
      <c r="G20" s="3">
        <f>SUM(G11:G19)</f>
        <v>5888.73</v>
      </c>
      <c r="H20" s="36">
        <f>G20/F20*100</f>
        <v>124.55012690355329</v>
      </c>
      <c r="I20" s="3">
        <f>SUM(I8:I19)</f>
        <v>275512</v>
      </c>
      <c r="J20" s="3">
        <f>SUM(J8:J19)</f>
        <v>262246</v>
      </c>
      <c r="K20" s="36">
        <f t="shared" si="4"/>
        <v>95.18496472022997</v>
      </c>
      <c r="L20" s="3">
        <f>SUM(L11:L19)</f>
        <v>1219310</v>
      </c>
      <c r="M20" s="3">
        <f>SUM(M11:M19)</f>
        <v>1415843</v>
      </c>
      <c r="N20" s="36">
        <f>M20/L20*100</f>
        <v>116.11837842714321</v>
      </c>
      <c r="O20" s="36">
        <f aca="true" t="shared" si="6" ref="O20:P23">C20/I20*100000</f>
        <v>394.60350184383987</v>
      </c>
      <c r="P20" s="36">
        <f t="shared" si="6"/>
        <v>424.09417112177124</v>
      </c>
      <c r="Q20" s="36">
        <f>P20/O20*100</f>
        <v>107.47349406179421</v>
      </c>
      <c r="R20" s="36">
        <f t="shared" si="5"/>
        <v>387.7602906561908</v>
      </c>
      <c r="S20" s="36">
        <f t="shared" si="5"/>
        <v>415.91687778941593</v>
      </c>
      <c r="T20" s="36">
        <f>S20/R20*100</f>
        <v>107.26133846391978</v>
      </c>
    </row>
    <row r="21" spans="1:20" ht="15">
      <c r="A21" s="2">
        <v>13</v>
      </c>
      <c r="B21" s="32" t="s">
        <v>80</v>
      </c>
      <c r="C21" s="96"/>
      <c r="D21" s="88"/>
      <c r="E21" s="36"/>
      <c r="F21" s="88">
        <v>15</v>
      </c>
      <c r="G21" s="88">
        <v>27</v>
      </c>
      <c r="H21" s="36"/>
      <c r="I21" s="3"/>
      <c r="J21" s="88"/>
      <c r="K21" s="36"/>
      <c r="L21" s="88">
        <v>16174</v>
      </c>
      <c r="M21" s="88">
        <v>14080</v>
      </c>
      <c r="N21" s="89">
        <f>M21/L21*100</f>
        <v>87.05329541239026</v>
      </c>
      <c r="O21" s="36"/>
      <c r="P21" s="36"/>
      <c r="Q21" s="36"/>
      <c r="R21" s="36">
        <f t="shared" si="5"/>
        <v>92.74143687399531</v>
      </c>
      <c r="S21" s="36">
        <f t="shared" si="5"/>
        <v>191.76136363636363</v>
      </c>
      <c r="T21" s="36"/>
    </row>
    <row r="22" spans="1:20" ht="18" customHeight="1">
      <c r="A22" s="141" t="s">
        <v>88</v>
      </c>
      <c r="B22" s="142"/>
      <c r="C22" s="88"/>
      <c r="D22" s="88"/>
      <c r="E22" s="36"/>
      <c r="F22" s="88">
        <f>SUM(F21)</f>
        <v>15</v>
      </c>
      <c r="G22" s="88">
        <f>SUM(G21)</f>
        <v>27</v>
      </c>
      <c r="H22" s="36"/>
      <c r="I22" s="3"/>
      <c r="J22" s="88"/>
      <c r="K22" s="36"/>
      <c r="L22" s="88">
        <f>SUM(L21)</f>
        <v>16174</v>
      </c>
      <c r="M22" s="88">
        <f>SUM(M21)</f>
        <v>14080</v>
      </c>
      <c r="N22" s="89">
        <f>M22/L22*100</f>
        <v>87.05329541239026</v>
      </c>
      <c r="O22" s="36"/>
      <c r="P22" s="36"/>
      <c r="Q22" s="36"/>
      <c r="R22" s="36">
        <f>F22/L22*100000</f>
        <v>92.74143687399531</v>
      </c>
      <c r="S22" s="36">
        <f>G22/M22*100000</f>
        <v>191.76136363636363</v>
      </c>
      <c r="T22" s="36"/>
    </row>
    <row r="23" spans="1:20" ht="36.75" customHeight="1">
      <c r="A23" s="137" t="s">
        <v>89</v>
      </c>
      <c r="B23" s="138"/>
      <c r="C23" s="89">
        <f>C20+C22</f>
        <v>1087.18</v>
      </c>
      <c r="D23" s="89">
        <f>D20+D22</f>
        <v>1112.17</v>
      </c>
      <c r="E23" s="36">
        <f>D23/C23*100</f>
        <v>102.29860740631726</v>
      </c>
      <c r="F23" s="89">
        <f>F20+F22</f>
        <v>4743</v>
      </c>
      <c r="G23" s="89">
        <f>G20+G22</f>
        <v>5915.73</v>
      </c>
      <c r="H23" s="36">
        <f>G23/F23*100</f>
        <v>124.72549019607841</v>
      </c>
      <c r="I23" s="89">
        <f>I20+I22</f>
        <v>275512</v>
      </c>
      <c r="J23" s="89">
        <f>J20+J22</f>
        <v>262246</v>
      </c>
      <c r="K23" s="36">
        <f t="shared" si="4"/>
        <v>95.18496472022997</v>
      </c>
      <c r="L23" s="89">
        <f>L20+L22</f>
        <v>1235484</v>
      </c>
      <c r="M23" s="89">
        <f>M20+M22</f>
        <v>1429923</v>
      </c>
      <c r="N23" s="89"/>
      <c r="O23" s="36">
        <f t="shared" si="6"/>
        <v>394.60350184383987</v>
      </c>
      <c r="P23" s="36">
        <f t="shared" si="6"/>
        <v>424.09417112177124</v>
      </c>
      <c r="Q23" s="36">
        <f>P23/O23*100</f>
        <v>107.47349406179421</v>
      </c>
      <c r="R23" s="36">
        <f>F23/L23*100000</f>
        <v>383.8981322299601</v>
      </c>
      <c r="S23" s="36">
        <f>G23/M23*100000</f>
        <v>413.7096892629882</v>
      </c>
      <c r="T23" s="36">
        <f>S23/R23*100</f>
        <v>107.7654863439582</v>
      </c>
    </row>
  </sheetData>
  <sheetProtection/>
  <mergeCells count="24">
    <mergeCell ref="R6:R7"/>
    <mergeCell ref="O6:O7"/>
    <mergeCell ref="G6:G7"/>
    <mergeCell ref="H5:H7"/>
    <mergeCell ref="J6:J7"/>
    <mergeCell ref="S6:S7"/>
    <mergeCell ref="F6:F7"/>
    <mergeCell ref="I6:I7"/>
    <mergeCell ref="K5:K7"/>
    <mergeCell ref="E5:E7"/>
    <mergeCell ref="Q5:Q7"/>
    <mergeCell ref="N5:N7"/>
    <mergeCell ref="I5:J5"/>
    <mergeCell ref="P6:P7"/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75" zoomScaleNormal="50" zoomScaleSheetLayoutView="75" zoomScalePageLayoutView="0" workbookViewId="0" topLeftCell="A1">
      <selection activeCell="A23" sqref="A23:B23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9.125" style="72" customWidth="1"/>
  </cols>
  <sheetData>
    <row r="1" ht="15.75">
      <c r="B1" s="1" t="s">
        <v>115</v>
      </c>
    </row>
    <row r="2" spans="1:10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</row>
    <row r="3" spans="1:11" ht="15" customHeight="1">
      <c r="A3" s="23" t="s">
        <v>2</v>
      </c>
      <c r="B3" s="23" t="s">
        <v>3</v>
      </c>
      <c r="C3" s="25"/>
      <c r="D3" s="25" t="s">
        <v>51</v>
      </c>
      <c r="E3" s="27"/>
      <c r="F3" s="159" t="s">
        <v>10</v>
      </c>
      <c r="G3" s="160"/>
      <c r="H3" s="161"/>
      <c r="I3" s="25" t="s">
        <v>6</v>
      </c>
      <c r="J3" s="21" t="s">
        <v>7</v>
      </c>
      <c r="K3" s="162"/>
    </row>
    <row r="4" spans="1:11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  <c r="K4" s="163"/>
    </row>
    <row r="5" spans="1:11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63"/>
    </row>
    <row r="6" spans="1:11" ht="15">
      <c r="A6" s="3">
        <v>1</v>
      </c>
      <c r="B6" s="22" t="s">
        <v>55</v>
      </c>
      <c r="C6" s="3"/>
      <c r="D6" s="3"/>
      <c r="E6" s="36"/>
      <c r="F6" s="3">
        <v>22</v>
      </c>
      <c r="G6" s="3">
        <v>17</v>
      </c>
      <c r="H6" s="89">
        <f aca="true" t="shared" si="0" ref="H6:H19">G6*100/F6</f>
        <v>77.27272727272727</v>
      </c>
      <c r="I6" s="123">
        <f>F6+(C6*0.2)+('численность 1'!M6*0.3)+'численность 1'!G6+(('численность 1'!C6-'численность 1'!G6)*0.6)</f>
        <v>298</v>
      </c>
      <c r="J6" s="123">
        <f>G6+(D6*0.2)+('численность 1'!N6*0.3)+'численность 1'!H6+(('численность 1'!D6-'численность 1'!H6)*0.6)</f>
        <v>261.2</v>
      </c>
      <c r="K6" s="77"/>
    </row>
    <row r="7" spans="1:11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9">
        <f t="shared" si="0"/>
        <v>80</v>
      </c>
      <c r="I7" s="123">
        <f>F7+(C7*0.2)+('численность 1'!M7*0.3)+'численность 1'!G7+(('численность 1'!C7-'численность 1'!G7)*0.6)</f>
        <v>191</v>
      </c>
      <c r="J7" s="123">
        <f>G7+(D7*0.2)+('численность 1'!N7*0.3)+'численность 1'!H7+(('численность 1'!D7-'численность 1'!H7)*0.6)</f>
        <v>188.2</v>
      </c>
      <c r="K7" s="77"/>
    </row>
    <row r="8" spans="1:11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89">
        <f t="shared" si="0"/>
        <v>100</v>
      </c>
      <c r="I8" s="123">
        <f>F8+(C8*0.2)+('численность 1'!M8*0.3)+'численность 1'!G8+(('численность 1'!C8-'численность 1'!G8)*0.6)</f>
        <v>97.6</v>
      </c>
      <c r="J8" s="123">
        <f>G8+(D8*0.2)+('численность 1'!N8*0.3)+'численность 1'!H8+(('численность 1'!D8-'численность 1'!H8)*0.6)</f>
        <v>96.4</v>
      </c>
      <c r="K8" s="77"/>
    </row>
    <row r="9" spans="1:11" ht="15">
      <c r="A9" s="3">
        <v>4</v>
      </c>
      <c r="B9" s="22" t="s">
        <v>58</v>
      </c>
      <c r="C9" s="3"/>
      <c r="D9" s="3"/>
      <c r="E9" s="3"/>
      <c r="F9" s="3">
        <v>22</v>
      </c>
      <c r="G9" s="3">
        <v>20</v>
      </c>
      <c r="H9" s="89">
        <f t="shared" si="0"/>
        <v>90.9090909090909</v>
      </c>
      <c r="I9" s="123">
        <f>F9+(C9*0.2)+('численность 1'!M9*0.3)+'численность 1'!G9+(('численность 1'!C9-'численность 1'!G9)*0.6)</f>
        <v>738.9</v>
      </c>
      <c r="J9" s="123">
        <f>G9+(D9*0.2)+('численность 1'!N9*0.3)+'численность 1'!H9+(('численность 1'!D9-'численность 1'!H9)*0.6)</f>
        <v>768.7</v>
      </c>
      <c r="K9" s="77"/>
    </row>
    <row r="10" spans="1:11" ht="15">
      <c r="A10" s="3">
        <v>5</v>
      </c>
      <c r="B10" s="22" t="s">
        <v>59</v>
      </c>
      <c r="C10" s="86">
        <v>191</v>
      </c>
      <c r="D10" s="3">
        <v>126</v>
      </c>
      <c r="E10" s="89">
        <f>D10*100/C10</f>
        <v>65.96858638743456</v>
      </c>
      <c r="F10" s="3">
        <v>21</v>
      </c>
      <c r="G10" s="3">
        <v>16</v>
      </c>
      <c r="H10" s="89">
        <f t="shared" si="0"/>
        <v>76.19047619047619</v>
      </c>
      <c r="I10" s="123">
        <f>F10+(C10*0.2)+('численность 1'!M10*0.3)+'численность 1'!G10+(('численность 1'!C10-'численность 1'!G10)*0.6)</f>
        <v>590.9</v>
      </c>
      <c r="J10" s="123">
        <f>G10+(D10*0.2)+('численность 1'!N10*0.3)+'численность 1'!H10+(('численность 1'!D10-'численность 1'!H10)*0.6)</f>
        <v>392.8</v>
      </c>
      <c r="K10" s="77"/>
    </row>
    <row r="11" spans="1:11" ht="15">
      <c r="A11" s="3">
        <v>6</v>
      </c>
      <c r="B11" s="38" t="s">
        <v>71</v>
      </c>
      <c r="C11" s="88"/>
      <c r="D11" s="88"/>
      <c r="E11" s="89"/>
      <c r="F11" s="3">
        <v>9</v>
      </c>
      <c r="G11" s="3">
        <v>11</v>
      </c>
      <c r="H11" s="89">
        <f t="shared" si="0"/>
        <v>122.22222222222223</v>
      </c>
      <c r="I11" s="123">
        <f>F11+(C11*0.2)+('численность 1'!M11*0.3)+'численность 1'!G11+(('численность 1'!C11-'численность 1'!G11)*0.6)</f>
        <v>234.4</v>
      </c>
      <c r="J11" s="123">
        <f>G11+(D11*0.2)+('численность 1'!N11*0.3)+'численность 1'!H11+(('численность 1'!D11-'численность 1'!H11)*0.6)</f>
        <v>204</v>
      </c>
      <c r="K11" s="77"/>
    </row>
    <row r="12" spans="1:11" ht="15">
      <c r="A12" s="3">
        <v>7</v>
      </c>
      <c r="B12" s="22" t="s">
        <v>60</v>
      </c>
      <c r="C12" s="88"/>
      <c r="D12" s="88"/>
      <c r="E12" s="89"/>
      <c r="F12" s="88">
        <v>3</v>
      </c>
      <c r="G12" s="88"/>
      <c r="H12" s="89">
        <f t="shared" si="0"/>
        <v>0</v>
      </c>
      <c r="I12" s="123">
        <f>F12+(C12*0.2)+('численность 1'!M12*0.3)+'численность 1'!G12+(('численность 1'!C12-'численность 1'!G12)*0.6)</f>
        <v>63</v>
      </c>
      <c r="J12" s="123">
        <f>G12+(D12*0.2)+('численность 1'!N12*0.3)+'численность 1'!H12+(('численность 1'!D12-'численность 1'!H12)*0.6)</f>
        <v>0</v>
      </c>
      <c r="K12" s="77"/>
    </row>
    <row r="13" spans="1:11" ht="15">
      <c r="A13" s="3">
        <v>8</v>
      </c>
      <c r="B13" s="32" t="s">
        <v>85</v>
      </c>
      <c r="C13" s="88"/>
      <c r="D13" s="88"/>
      <c r="E13" s="89"/>
      <c r="F13" s="88"/>
      <c r="G13" s="88">
        <v>3</v>
      </c>
      <c r="H13" s="89"/>
      <c r="I13" s="123">
        <f>F13+(C13*0.2)+('численность 1'!M13*0.3)+'численность 1'!G13+(('численность 1'!C13-'численность 1'!G13)*0.6)</f>
        <v>88.8</v>
      </c>
      <c r="J13" s="123">
        <f>G13+(D13*0.2)+('численность 1'!N13*0.3)+'численность 1'!H13+(('численность 1'!D13-'численность 1'!H13)*0.6)</f>
        <v>173.6</v>
      </c>
      <c r="K13" s="77"/>
    </row>
    <row r="14" spans="1:11" ht="15">
      <c r="A14" s="3">
        <v>9</v>
      </c>
      <c r="B14" s="32" t="s">
        <v>70</v>
      </c>
      <c r="C14" s="88">
        <v>167</v>
      </c>
      <c r="D14" s="88">
        <v>205</v>
      </c>
      <c r="E14" s="89">
        <f>D14*100/C14</f>
        <v>122.75449101796407</v>
      </c>
      <c r="F14" s="3">
        <v>6</v>
      </c>
      <c r="G14" s="3">
        <v>3</v>
      </c>
      <c r="H14" s="89">
        <f t="shared" si="0"/>
        <v>50</v>
      </c>
      <c r="I14" s="123">
        <f>F14+(C14*0.2)+('численность 1'!M14*0.3)+'численность 1'!G14+(('численность 1'!C14-'численность 1'!G14)*0.6)</f>
        <v>213.4</v>
      </c>
      <c r="J14" s="123">
        <f>G14+(D14*0.2)+('численность 1'!N14*0.3)+'численность 1'!H14+(('численность 1'!D14-'численность 1'!H14)*0.6)</f>
        <v>236</v>
      </c>
      <c r="K14" s="77"/>
    </row>
    <row r="15" spans="1:11" ht="15">
      <c r="A15" s="3">
        <v>10</v>
      </c>
      <c r="B15" s="22" t="s">
        <v>61</v>
      </c>
      <c r="C15" s="88"/>
      <c r="D15" s="88"/>
      <c r="E15" s="89"/>
      <c r="F15" s="3">
        <v>3</v>
      </c>
      <c r="G15" s="3">
        <v>4</v>
      </c>
      <c r="H15" s="89">
        <f t="shared" si="0"/>
        <v>133.33333333333334</v>
      </c>
      <c r="I15" s="123">
        <f>F15+(C15*0.2)+('численность 1'!M15*0.3)+'численность 1'!G15+(('численность 1'!C15-'численность 1'!G15)*0.6)</f>
        <v>193.6</v>
      </c>
      <c r="J15" s="123">
        <f>G15+(D15*0.2)+('численность 1'!N15*0.3)+'численность 1'!H15+(('численность 1'!D15-'численность 1'!H15)*0.6)</f>
        <v>192.2</v>
      </c>
      <c r="K15" s="77"/>
    </row>
    <row r="16" spans="1:11" ht="15">
      <c r="A16" s="3">
        <v>11</v>
      </c>
      <c r="B16" s="22" t="s">
        <v>62</v>
      </c>
      <c r="C16" s="88"/>
      <c r="D16" s="88"/>
      <c r="E16" s="89"/>
      <c r="F16" s="3">
        <v>1</v>
      </c>
      <c r="G16" s="3">
        <v>1</v>
      </c>
      <c r="H16" s="89">
        <f t="shared" si="0"/>
        <v>100</v>
      </c>
      <c r="I16" s="123">
        <f>F16+(C16*0.2)+('численность 1'!M16*0.3)+'численность 1'!G16+(('численность 1'!C16-'численность 1'!G16)*0.6)</f>
        <v>69.4</v>
      </c>
      <c r="J16" s="123">
        <f>G16+(D16*0.2)+('численность 1'!N16*0.3)+'численность 1'!H16+(('численность 1'!D16-'численность 1'!H16)*0.6)</f>
        <v>42.2</v>
      </c>
      <c r="K16" s="77"/>
    </row>
    <row r="17" spans="1:11" ht="15">
      <c r="A17" s="3">
        <v>12</v>
      </c>
      <c r="B17" s="22" t="s">
        <v>63</v>
      </c>
      <c r="C17" s="88"/>
      <c r="D17" s="88"/>
      <c r="E17" s="89"/>
      <c r="F17" s="3">
        <v>1</v>
      </c>
      <c r="G17" s="3">
        <v>1</v>
      </c>
      <c r="H17" s="89">
        <f t="shared" si="0"/>
        <v>100</v>
      </c>
      <c r="I17" s="123">
        <f>F17+(C17*0.2)+('численность 1'!M17*0.3)+'численность 1'!G17+(('численность 1'!C17-'численность 1'!G17)*0.6)</f>
        <v>2803.6</v>
      </c>
      <c r="J17" s="123">
        <f>G17+(D17*0.2)+('численность 1'!N17*0.3)+'численность 1'!H17+(('численность 1'!D17-'численность 1'!H17)*0.6)</f>
        <v>2936.2</v>
      </c>
      <c r="K17" s="77"/>
    </row>
    <row r="18" spans="1:11" ht="15">
      <c r="A18" s="3">
        <v>13</v>
      </c>
      <c r="B18" s="32" t="s">
        <v>69</v>
      </c>
      <c r="C18" s="88"/>
      <c r="D18" s="88"/>
      <c r="E18" s="89"/>
      <c r="F18" s="3">
        <v>126</v>
      </c>
      <c r="G18" s="3">
        <v>164</v>
      </c>
      <c r="H18" s="89">
        <f t="shared" si="0"/>
        <v>130.15873015873015</v>
      </c>
      <c r="I18" s="123">
        <f>F18+(C18*0.2)+('численность 1'!M18*0.3)+'численность 1'!G18+(('численность 1'!C18-'численность 1'!G18)*0.6)</f>
        <v>126</v>
      </c>
      <c r="J18" s="123">
        <f>G18+(D18*0.2)+('численность 1'!N18*0.3)+'численность 1'!H18+(('численность 1'!D18-'численность 1'!H18)*0.6)</f>
        <v>164</v>
      </c>
      <c r="K18" s="77"/>
    </row>
    <row r="19" spans="1:11" ht="60" customHeight="1">
      <c r="A19" s="155" t="s">
        <v>101</v>
      </c>
      <c r="B19" s="156"/>
      <c r="C19" s="88">
        <f>SUM(C10:C18)</f>
        <v>358</v>
      </c>
      <c r="D19" s="88">
        <f>SUM(D10:D18)</f>
        <v>331</v>
      </c>
      <c r="E19" s="89">
        <f>D19*100/C19</f>
        <v>92.45810055865921</v>
      </c>
      <c r="F19" s="3">
        <f>SUM(F6:F18)</f>
        <v>220</v>
      </c>
      <c r="G19" s="3">
        <f>SUM(G6:G18)</f>
        <v>245</v>
      </c>
      <c r="H19" s="89">
        <f t="shared" si="0"/>
        <v>111.36363636363636</v>
      </c>
      <c r="I19" s="123">
        <f>SUM(I6:I18)</f>
        <v>5708.6</v>
      </c>
      <c r="J19" s="123">
        <f>SUM(J6:J18)</f>
        <v>5655.5</v>
      </c>
      <c r="K19" s="77"/>
    </row>
    <row r="20" spans="1:11" ht="15">
      <c r="A20" s="3">
        <v>1</v>
      </c>
      <c r="B20" s="32" t="s">
        <v>80</v>
      </c>
      <c r="C20" s="88"/>
      <c r="D20" s="88"/>
      <c r="E20" s="89"/>
      <c r="F20" s="3"/>
      <c r="G20" s="3"/>
      <c r="H20" s="89"/>
      <c r="I20" s="123">
        <f>F20+(C20*0.2)+('численность 1'!M20*0.3)+'численность 1'!G20+(('численность 1'!C20-'численность 1'!G20)*0.6)</f>
        <v>28.5</v>
      </c>
      <c r="J20" s="123">
        <f>G20+(D20*0.2)+('численность 1'!N20*0.3)+'численность 1'!H20+(('численность 1'!D20-'численность 1'!H20)*0.6)</f>
        <v>30.599999999999998</v>
      </c>
      <c r="K20" s="77"/>
    </row>
    <row r="21" spans="1:11" ht="15">
      <c r="A21" s="3">
        <v>2</v>
      </c>
      <c r="B21" s="32" t="s">
        <v>86</v>
      </c>
      <c r="C21" s="3"/>
      <c r="D21" s="3">
        <v>61</v>
      </c>
      <c r="E21" s="36"/>
      <c r="F21" s="3"/>
      <c r="G21" s="3">
        <v>8</v>
      </c>
      <c r="H21" s="89"/>
      <c r="I21" s="123">
        <f>F21+(C21*0.2)+('численность 1'!M21*0.3)+'численность 1'!G21+(('численность 1'!C21-'численность 1'!G21)*0.6)</f>
        <v>0</v>
      </c>
      <c r="J21" s="123">
        <f>G21+(D21*0.2)+('численность 1'!N21*0.3)+'численность 1'!H21+(('численность 1'!D21-'численность 1'!H21)*0.6)</f>
        <v>20.200000000000003</v>
      </c>
      <c r="K21" s="77"/>
    </row>
    <row r="22" spans="1:10" ht="25.5" customHeight="1">
      <c r="A22" s="155" t="s">
        <v>88</v>
      </c>
      <c r="B22" s="156"/>
      <c r="C22" s="88">
        <f>SUM(C21)</f>
        <v>0</v>
      </c>
      <c r="D22" s="88">
        <f>SUM(D21)</f>
        <v>61</v>
      </c>
      <c r="E22" s="36"/>
      <c r="F22" s="88">
        <f>SUM(F20:F21)</f>
        <v>0</v>
      </c>
      <c r="G22" s="88">
        <f>SUM(G20:G21)</f>
        <v>8</v>
      </c>
      <c r="H22" s="89"/>
      <c r="I22" s="123">
        <f>SUM(I20:I21)</f>
        <v>28.5</v>
      </c>
      <c r="J22" s="123">
        <f>SUM(J20:J21)</f>
        <v>50.8</v>
      </c>
    </row>
    <row r="23" spans="1:10" ht="41.25" customHeight="1">
      <c r="A23" s="157" t="s">
        <v>89</v>
      </c>
      <c r="B23" s="158"/>
      <c r="C23" s="88">
        <f>C19+C22</f>
        <v>358</v>
      </c>
      <c r="D23" s="88">
        <f>D19+D22</f>
        <v>392</v>
      </c>
      <c r="E23" s="36">
        <f>D23/C23*100</f>
        <v>109.4972067039106</v>
      </c>
      <c r="F23" s="88">
        <f>F19+F22</f>
        <v>220</v>
      </c>
      <c r="G23" s="88">
        <f>G19+G22</f>
        <v>253</v>
      </c>
      <c r="H23" s="89">
        <f>G23*100/F23</f>
        <v>115</v>
      </c>
      <c r="I23" s="120">
        <f>I19+I22</f>
        <v>5737.1</v>
      </c>
      <c r="J23" s="120">
        <f>J19+J22</f>
        <v>5706.3</v>
      </c>
    </row>
  </sheetData>
  <sheetProtection/>
  <mergeCells count="5">
    <mergeCell ref="A22:B22"/>
    <mergeCell ref="A23:B23"/>
    <mergeCell ref="F3:H3"/>
    <mergeCell ref="K3:K5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50" zoomScalePageLayoutView="0" workbookViewId="0" topLeftCell="A1">
      <selection activeCell="S13" sqref="S13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114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7" t="s">
        <v>3</v>
      </c>
      <c r="C3" s="144" t="s">
        <v>73</v>
      </c>
      <c r="D3" s="164"/>
      <c r="E3" s="165"/>
      <c r="F3" s="149" t="s">
        <v>72</v>
      </c>
      <c r="G3" s="144" t="s">
        <v>8</v>
      </c>
      <c r="H3" s="164"/>
      <c r="I3" s="165"/>
      <c r="J3" s="166" t="s">
        <v>67</v>
      </c>
      <c r="K3" s="167"/>
      <c r="L3" s="168"/>
      <c r="M3" s="144" t="s">
        <v>9</v>
      </c>
      <c r="N3" s="164"/>
      <c r="O3" s="164"/>
      <c r="P3" s="164"/>
      <c r="Q3" s="164"/>
      <c r="R3" s="164"/>
      <c r="S3" s="164"/>
      <c r="T3" s="164"/>
      <c r="U3" s="165"/>
    </row>
    <row r="4" spans="1:21" s="20" customFormat="1" ht="23.25" customHeight="1">
      <c r="A4" s="33"/>
      <c r="B4" s="171"/>
      <c r="C4" s="147">
        <v>2011</v>
      </c>
      <c r="D4" s="147">
        <v>2012</v>
      </c>
      <c r="E4" s="100" t="s">
        <v>4</v>
      </c>
      <c r="F4" s="150"/>
      <c r="G4" s="147">
        <v>2011</v>
      </c>
      <c r="H4" s="147">
        <v>2012</v>
      </c>
      <c r="I4" s="100" t="s">
        <v>4</v>
      </c>
      <c r="J4" s="147">
        <v>2011</v>
      </c>
      <c r="K4" s="147">
        <v>2012</v>
      </c>
      <c r="L4" s="100" t="s">
        <v>4</v>
      </c>
      <c r="M4" s="147">
        <v>2011</v>
      </c>
      <c r="N4" s="147">
        <v>2012</v>
      </c>
      <c r="O4" s="100" t="s">
        <v>4</v>
      </c>
      <c r="P4" s="97" t="s">
        <v>5</v>
      </c>
      <c r="Q4" s="101" t="s">
        <v>66</v>
      </c>
      <c r="R4" s="149" t="s">
        <v>100</v>
      </c>
      <c r="S4" s="97" t="s">
        <v>50</v>
      </c>
      <c r="T4" s="102"/>
      <c r="U4" s="149" t="s">
        <v>100</v>
      </c>
    </row>
    <row r="5" spans="1:21" s="20" customFormat="1" ht="23.25" customHeight="1">
      <c r="A5" s="29"/>
      <c r="B5" s="148"/>
      <c r="C5" s="169"/>
      <c r="D5" s="169"/>
      <c r="E5" s="103">
        <v>2011</v>
      </c>
      <c r="F5" s="151"/>
      <c r="G5" s="169"/>
      <c r="H5" s="169"/>
      <c r="I5" s="103">
        <v>2011</v>
      </c>
      <c r="J5" s="169"/>
      <c r="K5" s="169"/>
      <c r="L5" s="103">
        <v>2011</v>
      </c>
      <c r="M5" s="169"/>
      <c r="N5" s="169"/>
      <c r="O5" s="103">
        <v>2011</v>
      </c>
      <c r="P5" s="98">
        <v>2011</v>
      </c>
      <c r="Q5" s="98">
        <v>2012</v>
      </c>
      <c r="R5" s="170"/>
      <c r="S5" s="98">
        <v>2011</v>
      </c>
      <c r="T5" s="98">
        <v>2012</v>
      </c>
      <c r="U5" s="170"/>
    </row>
    <row r="6" spans="1:34" s="20" customFormat="1" ht="24.75" customHeight="1">
      <c r="A6" s="3">
        <v>1</v>
      </c>
      <c r="B6" s="22" t="s">
        <v>55</v>
      </c>
      <c r="C6" s="3">
        <v>340</v>
      </c>
      <c r="D6" s="3">
        <v>287</v>
      </c>
      <c r="E6" s="36">
        <f aca="true" t="shared" si="0" ref="E6:E16">D6*100/C6</f>
        <v>84.41176470588235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3">K6*100/J6</f>
        <v>100</v>
      </c>
      <c r="M6" s="66"/>
      <c r="N6" s="3"/>
      <c r="O6" s="36"/>
      <c r="P6" s="66"/>
      <c r="Q6" s="3"/>
      <c r="R6" s="36"/>
      <c r="S6" s="110"/>
      <c r="T6" s="36"/>
      <c r="U6" s="36"/>
      <c r="AH6" s="86"/>
    </row>
    <row r="7" spans="1:34" s="20" customFormat="1" ht="24.75" customHeight="1">
      <c r="A7" s="3">
        <v>2</v>
      </c>
      <c r="B7" s="22" t="s">
        <v>56</v>
      </c>
      <c r="C7" s="3">
        <v>240</v>
      </c>
      <c r="D7" s="3">
        <v>237</v>
      </c>
      <c r="E7" s="36">
        <f t="shared" si="0"/>
        <v>98.75</v>
      </c>
      <c r="F7" s="3">
        <v>16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0"/>
      <c r="T7" s="36"/>
      <c r="U7" s="36"/>
      <c r="AH7" s="86"/>
    </row>
    <row r="8" spans="1:34" s="20" customFormat="1" ht="24.75" customHeight="1">
      <c r="A8" s="3">
        <v>3</v>
      </c>
      <c r="B8" s="22" t="s">
        <v>57</v>
      </c>
      <c r="C8" s="3">
        <v>121</v>
      </c>
      <c r="D8" s="3">
        <v>119</v>
      </c>
      <c r="E8" s="36">
        <f t="shared" si="0"/>
        <v>98.34710743801652</v>
      </c>
      <c r="F8" s="88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99"/>
      <c r="P8" s="66"/>
      <c r="Q8" s="3"/>
      <c r="R8" s="36"/>
      <c r="S8" s="110"/>
      <c r="T8" s="36"/>
      <c r="U8" s="36"/>
      <c r="AH8" s="86"/>
    </row>
    <row r="9" spans="1:34" s="20" customFormat="1" ht="24.75" customHeight="1">
      <c r="A9" s="3">
        <v>4</v>
      </c>
      <c r="B9" s="22" t="s">
        <v>58</v>
      </c>
      <c r="C9" s="3">
        <v>798</v>
      </c>
      <c r="D9" s="3">
        <v>869</v>
      </c>
      <c r="E9" s="36">
        <f t="shared" si="0"/>
        <v>108.89724310776943</v>
      </c>
      <c r="F9" s="3">
        <v>40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383</v>
      </c>
      <c r="N9" s="3">
        <v>347</v>
      </c>
      <c r="O9" s="36">
        <f>N9*100/M9</f>
        <v>90.60052219321149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38</v>
      </c>
      <c r="U9" s="36">
        <f>T9*100/S9</f>
        <v>152</v>
      </c>
      <c r="AH9" s="86"/>
    </row>
    <row r="10" spans="1:34" s="20" customFormat="1" ht="24.75" customHeight="1">
      <c r="A10" s="3">
        <v>5</v>
      </c>
      <c r="B10" s="22" t="s">
        <v>59</v>
      </c>
      <c r="C10" s="3">
        <v>480</v>
      </c>
      <c r="D10" s="3">
        <v>355</v>
      </c>
      <c r="E10" s="36">
        <f t="shared" si="0"/>
        <v>73.95833333333333</v>
      </c>
      <c r="F10" s="120"/>
      <c r="G10" s="3">
        <v>280</v>
      </c>
      <c r="H10" s="3">
        <v>225</v>
      </c>
      <c r="I10" s="36">
        <f t="shared" si="1"/>
        <v>80.35714285714286</v>
      </c>
      <c r="J10" s="3">
        <v>280</v>
      </c>
      <c r="K10" s="3">
        <v>237</v>
      </c>
      <c r="L10" s="36">
        <f t="shared" si="2"/>
        <v>84.64285714285714</v>
      </c>
      <c r="M10" s="3">
        <v>439</v>
      </c>
      <c r="N10" s="3">
        <v>162</v>
      </c>
      <c r="O10" s="36">
        <f>N10*100/M10</f>
        <v>36.902050113895214</v>
      </c>
      <c r="P10" s="3">
        <v>80</v>
      </c>
      <c r="Q10" s="3">
        <v>69</v>
      </c>
      <c r="R10" s="36">
        <f>Q10*100/P10</f>
        <v>86.25</v>
      </c>
      <c r="S10" s="3">
        <v>22</v>
      </c>
      <c r="T10" s="3"/>
      <c r="U10" s="36">
        <f>T10*100/S10</f>
        <v>0</v>
      </c>
      <c r="AH10" s="86"/>
    </row>
    <row r="11" spans="1:34" s="20" customFormat="1" ht="24.75" customHeight="1">
      <c r="A11" s="3">
        <v>6</v>
      </c>
      <c r="B11" s="38" t="s">
        <v>71</v>
      </c>
      <c r="C11" s="3">
        <v>319</v>
      </c>
      <c r="D11" s="3">
        <v>265</v>
      </c>
      <c r="E11" s="36">
        <f t="shared" si="0"/>
        <v>83.07210031347962</v>
      </c>
      <c r="F11" s="120">
        <v>24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6"/>
    </row>
    <row r="12" spans="1:34" s="20" customFormat="1" ht="24.75" customHeight="1">
      <c r="A12" s="3">
        <v>7</v>
      </c>
      <c r="B12" s="22" t="s">
        <v>60</v>
      </c>
      <c r="C12" s="3">
        <v>60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/>
      <c r="M12" s="3"/>
      <c r="N12" s="3"/>
      <c r="O12" s="36"/>
      <c r="P12" s="3"/>
      <c r="Q12" s="3"/>
      <c r="R12" s="36"/>
      <c r="S12" s="3"/>
      <c r="T12" s="3"/>
      <c r="U12" s="36"/>
      <c r="AH12" s="86"/>
    </row>
    <row r="13" spans="1:34" s="20" customFormat="1" ht="24.75" customHeight="1">
      <c r="A13" s="3">
        <v>8</v>
      </c>
      <c r="B13" s="32" t="s">
        <v>85</v>
      </c>
      <c r="C13" s="3">
        <v>148</v>
      </c>
      <c r="D13" s="3">
        <v>241</v>
      </c>
      <c r="E13" s="36">
        <f t="shared" si="0"/>
        <v>162.83783783783784</v>
      </c>
      <c r="F13" s="3">
        <v>7</v>
      </c>
      <c r="G13" s="3"/>
      <c r="H13" s="3">
        <v>65</v>
      </c>
      <c r="I13" s="36"/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6"/>
    </row>
    <row r="14" spans="1:34" s="20" customFormat="1" ht="24.75" customHeight="1">
      <c r="A14" s="3">
        <v>9</v>
      </c>
      <c r="B14" s="32" t="s">
        <v>70</v>
      </c>
      <c r="C14" s="3">
        <v>238</v>
      </c>
      <c r="D14" s="3">
        <v>268</v>
      </c>
      <c r="E14" s="36">
        <f t="shared" si="0"/>
        <v>112.60504201680672</v>
      </c>
      <c r="F14" s="3">
        <v>28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6"/>
    </row>
    <row r="15" spans="1:34" s="20" customFormat="1" ht="24.75" customHeight="1">
      <c r="A15" s="3">
        <v>10</v>
      </c>
      <c r="B15" s="22" t="s">
        <v>61</v>
      </c>
      <c r="C15" s="3">
        <v>251</v>
      </c>
      <c r="D15" s="3">
        <v>247</v>
      </c>
      <c r="E15" s="36">
        <f t="shared" si="0"/>
        <v>98.40637450199203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6"/>
    </row>
    <row r="16" spans="1:34" s="20" customFormat="1" ht="24.75" customHeight="1">
      <c r="A16" s="3">
        <v>11</v>
      </c>
      <c r="B16" s="22" t="s">
        <v>62</v>
      </c>
      <c r="C16" s="3">
        <v>86</v>
      </c>
      <c r="D16" s="3">
        <v>42</v>
      </c>
      <c r="E16" s="36">
        <f t="shared" si="0"/>
        <v>48.83720930232558</v>
      </c>
      <c r="F16" s="3"/>
      <c r="G16" s="3">
        <v>42</v>
      </c>
      <c r="H16" s="3">
        <v>40</v>
      </c>
      <c r="I16" s="36">
        <f t="shared" si="1"/>
        <v>95.23809523809524</v>
      </c>
      <c r="J16" s="3">
        <v>42</v>
      </c>
      <c r="K16" s="3">
        <v>41</v>
      </c>
      <c r="L16" s="36">
        <f t="shared" si="2"/>
        <v>97.61904761904762</v>
      </c>
      <c r="M16" s="3"/>
      <c r="N16" s="3"/>
      <c r="O16" s="36"/>
      <c r="P16" s="3"/>
      <c r="Q16" s="3"/>
      <c r="R16" s="36"/>
      <c r="S16" s="3"/>
      <c r="T16" s="3"/>
      <c r="U16" s="36"/>
      <c r="AH16" s="86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9342</v>
      </c>
      <c r="N17" s="3">
        <v>9784</v>
      </c>
      <c r="O17" s="36">
        <f>N17*100/M17</f>
        <v>104.73132091629202</v>
      </c>
      <c r="P17" s="3">
        <v>240</v>
      </c>
      <c r="Q17" s="3">
        <v>240</v>
      </c>
      <c r="R17" s="36">
        <f>Q17*100/P17</f>
        <v>100</v>
      </c>
      <c r="S17" s="3">
        <v>548</v>
      </c>
      <c r="T17" s="3">
        <v>430</v>
      </c>
      <c r="U17" s="36">
        <f>T17*100/S17</f>
        <v>78.46715328467154</v>
      </c>
      <c r="AH17" s="86"/>
    </row>
    <row r="18" spans="1:34" s="20" customFormat="1" ht="24.75" customHeight="1">
      <c r="A18" s="3">
        <v>13</v>
      </c>
      <c r="B18" s="32" t="s">
        <v>69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6"/>
    </row>
    <row r="19" spans="1:21" s="20" customFormat="1" ht="57" customHeight="1">
      <c r="A19" s="155" t="s">
        <v>101</v>
      </c>
      <c r="B19" s="156"/>
      <c r="C19" s="3">
        <f>SUM(C6:C18)</f>
        <v>3081</v>
      </c>
      <c r="D19" s="3">
        <f>SUM(D6:D18)</f>
        <v>2930</v>
      </c>
      <c r="E19" s="36">
        <f>D19*100/C19</f>
        <v>95.09899383317105</v>
      </c>
      <c r="F19" s="3">
        <f>SUM(F6:F18)</f>
        <v>133</v>
      </c>
      <c r="G19" s="3">
        <f>SUM(G6:G18)</f>
        <v>1298</v>
      </c>
      <c r="H19" s="3">
        <f>SUM(H6:H18)</f>
        <v>1246</v>
      </c>
      <c r="I19" s="36">
        <f>H19*100/G19</f>
        <v>95.99383667180277</v>
      </c>
      <c r="J19" s="3">
        <f>SUM(J6:J18)</f>
        <v>1298</v>
      </c>
      <c r="K19" s="3">
        <f>SUM(K6:K18)</f>
        <v>1259</v>
      </c>
      <c r="L19" s="36">
        <f t="shared" si="2"/>
        <v>96.99537750385208</v>
      </c>
      <c r="M19" s="3">
        <f>SUM(M9:M18)</f>
        <v>10164</v>
      </c>
      <c r="N19" s="3">
        <f>SUM(N9:N18)</f>
        <v>10293</v>
      </c>
      <c r="O19" s="36">
        <f>N19*100/M19</f>
        <v>101.26918536009445</v>
      </c>
      <c r="P19" s="3">
        <f>SUM(P9:P18)</f>
        <v>340</v>
      </c>
      <c r="Q19" s="3">
        <f>SUM(Q9:Q18)</f>
        <v>337</v>
      </c>
      <c r="R19" s="36">
        <f>Q19*100/P19</f>
        <v>99.11764705882354</v>
      </c>
      <c r="S19" s="3">
        <f>SUM(S9:S18)</f>
        <v>595</v>
      </c>
      <c r="T19" s="36">
        <f>SUM(T9:T18)</f>
        <v>468</v>
      </c>
      <c r="U19" s="36">
        <f>T19*100/S19</f>
        <v>78.65546218487395</v>
      </c>
    </row>
    <row r="20" spans="1:34" s="20" customFormat="1" ht="24.75" customHeight="1">
      <c r="A20" s="3">
        <v>1</v>
      </c>
      <c r="B20" s="32" t="s">
        <v>80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>
        <v>95</v>
      </c>
      <c r="N20" s="3">
        <v>102</v>
      </c>
      <c r="O20" s="36">
        <f>N20*100/M20</f>
        <v>107.36842105263158</v>
      </c>
      <c r="P20" s="3">
        <v>10</v>
      </c>
      <c r="Q20" s="3">
        <v>10</v>
      </c>
      <c r="R20" s="36">
        <f>Q20*100/P20</f>
        <v>100</v>
      </c>
      <c r="S20" s="3">
        <v>2</v>
      </c>
      <c r="T20" s="3"/>
      <c r="U20" s="36">
        <f>T20*100/S20</f>
        <v>0</v>
      </c>
      <c r="AH20" s="86"/>
    </row>
    <row r="21" spans="1:34" s="20" customFormat="1" ht="24.75" customHeight="1">
      <c r="A21" s="3">
        <v>2</v>
      </c>
      <c r="B21" s="32" t="s">
        <v>86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"/>
      <c r="U21" s="36"/>
      <c r="AH21" s="86"/>
    </row>
    <row r="22" spans="1:34" s="20" customFormat="1" ht="24.75" customHeight="1">
      <c r="A22" s="155" t="s">
        <v>88</v>
      </c>
      <c r="B22" s="156"/>
      <c r="C22" s="3"/>
      <c r="D22" s="3"/>
      <c r="E22" s="36"/>
      <c r="F22" s="3"/>
      <c r="G22" s="3"/>
      <c r="H22" s="3"/>
      <c r="I22" s="36"/>
      <c r="J22" s="3"/>
      <c r="K22" s="3"/>
      <c r="L22" s="36"/>
      <c r="M22" s="3">
        <f>SUM(M20:M21)</f>
        <v>95</v>
      </c>
      <c r="N22" s="3">
        <f>SUM(N20:N21)</f>
        <v>102</v>
      </c>
      <c r="O22" s="36">
        <f>N22*100/M22</f>
        <v>107.36842105263158</v>
      </c>
      <c r="P22" s="3">
        <f>SUM(P20:P21)</f>
        <v>10</v>
      </c>
      <c r="Q22" s="3">
        <f>SUM(Q20:Q21)</f>
        <v>10</v>
      </c>
      <c r="R22" s="36">
        <f>Q22*100/P22</f>
        <v>100</v>
      </c>
      <c r="S22" s="3">
        <f>SUM(S20:S21)</f>
        <v>2</v>
      </c>
      <c r="T22" s="3">
        <f>SUM(T20:T21)</f>
        <v>0</v>
      </c>
      <c r="U22" s="36">
        <f>T22*100/S22</f>
        <v>0</v>
      </c>
      <c r="AH22" s="86"/>
    </row>
    <row r="23" spans="1:34" s="20" customFormat="1" ht="36" customHeight="1">
      <c r="A23" s="157" t="s">
        <v>89</v>
      </c>
      <c r="B23" s="158"/>
      <c r="C23" s="3">
        <f>C19+C22</f>
        <v>3081</v>
      </c>
      <c r="D23" s="3">
        <f>D19+D22</f>
        <v>2930</v>
      </c>
      <c r="E23" s="36">
        <f>D23*100/C23</f>
        <v>95.09899383317105</v>
      </c>
      <c r="F23" s="3">
        <f>F19+F22</f>
        <v>133</v>
      </c>
      <c r="G23" s="3">
        <f>G19+G22</f>
        <v>1298</v>
      </c>
      <c r="H23" s="3">
        <f>H19+H22</f>
        <v>1246</v>
      </c>
      <c r="I23" s="36">
        <f>H23*100/G23</f>
        <v>95.99383667180277</v>
      </c>
      <c r="J23" s="3">
        <f>J19+J22</f>
        <v>1298</v>
      </c>
      <c r="K23" s="3">
        <f>K19+K22</f>
        <v>1259</v>
      </c>
      <c r="L23" s="36">
        <f t="shared" si="2"/>
        <v>96.99537750385208</v>
      </c>
      <c r="M23" s="3">
        <f>M19+M22</f>
        <v>10259</v>
      </c>
      <c r="N23" s="3">
        <f>N19+N22</f>
        <v>10395</v>
      </c>
      <c r="O23" s="36">
        <f>N23*100/M23</f>
        <v>101.32566526951945</v>
      </c>
      <c r="P23" s="3">
        <f>P19+P22</f>
        <v>350</v>
      </c>
      <c r="Q23" s="3">
        <f>Q19+Q22</f>
        <v>347</v>
      </c>
      <c r="R23" s="36">
        <f>Q23*100/P23</f>
        <v>99.14285714285714</v>
      </c>
      <c r="S23" s="3">
        <f>S19+S22</f>
        <v>597</v>
      </c>
      <c r="T23" s="3">
        <f>T19+T22</f>
        <v>468</v>
      </c>
      <c r="U23" s="36">
        <f>T23*100/S23</f>
        <v>78.39195979899498</v>
      </c>
      <c r="AH23" s="86"/>
    </row>
  </sheetData>
  <sheetProtection/>
  <mergeCells count="19">
    <mergeCell ref="A22:B22"/>
    <mergeCell ref="A23:B23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19:B19"/>
    <mergeCell ref="J3:L3"/>
    <mergeCell ref="J4:J5"/>
    <mergeCell ref="K4:K5"/>
    <mergeCell ref="M3:U3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view="pageBreakPreview" zoomScale="75" zoomScaleNormal="75" zoomScaleSheetLayoutView="75" zoomScalePageLayoutView="0" workbookViewId="0" topLeftCell="A1">
      <selection activeCell="L41" sqref="L41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113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5" t="s">
        <v>104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2.75">
      <c r="A4" s="147" t="s">
        <v>2</v>
      </c>
      <c r="B4" s="149" t="s">
        <v>3</v>
      </c>
      <c r="C4" s="153" t="s">
        <v>77</v>
      </c>
      <c r="D4" s="178"/>
      <c r="E4" s="174"/>
      <c r="F4" s="172" t="s">
        <v>64</v>
      </c>
      <c r="G4" s="186"/>
      <c r="H4" s="172" t="s">
        <v>76</v>
      </c>
      <c r="I4" s="173"/>
      <c r="J4" s="174"/>
      <c r="K4" s="172" t="s">
        <v>74</v>
      </c>
      <c r="L4" s="186"/>
      <c r="M4" s="172" t="s">
        <v>75</v>
      </c>
      <c r="N4" s="186"/>
    </row>
    <row r="5" spans="1:14" ht="31.5" customHeight="1">
      <c r="A5" s="171"/>
      <c r="B5" s="150"/>
      <c r="C5" s="179"/>
      <c r="D5" s="180"/>
      <c r="E5" s="181"/>
      <c r="F5" s="175"/>
      <c r="G5" s="187"/>
      <c r="H5" s="175"/>
      <c r="I5" s="176"/>
      <c r="J5" s="177"/>
      <c r="K5" s="175"/>
      <c r="L5" s="187"/>
      <c r="M5" s="175"/>
      <c r="N5" s="187"/>
    </row>
    <row r="6" spans="1:14" ht="30">
      <c r="A6" s="148"/>
      <c r="B6" s="151"/>
      <c r="C6" s="3">
        <v>2011</v>
      </c>
      <c r="D6" s="19">
        <v>2012</v>
      </c>
      <c r="E6" s="95" t="s">
        <v>107</v>
      </c>
      <c r="F6" s="3">
        <v>2011</v>
      </c>
      <c r="G6" s="19">
        <v>2012</v>
      </c>
      <c r="H6" s="3">
        <v>2011</v>
      </c>
      <c r="I6" s="19">
        <v>2012</v>
      </c>
      <c r="J6" s="95" t="s">
        <v>107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327</v>
      </c>
      <c r="D7" s="31">
        <v>445</v>
      </c>
      <c r="E7" s="31">
        <f aca="true" t="shared" si="0" ref="E7:E13">D7-C7</f>
        <v>118</v>
      </c>
      <c r="F7" s="31">
        <v>187</v>
      </c>
      <c r="G7" s="31">
        <v>172</v>
      </c>
      <c r="H7" s="75">
        <f>F7*100/20</f>
        <v>935</v>
      </c>
      <c r="I7" s="75">
        <f>G7*100/28</f>
        <v>614.2857142857143</v>
      </c>
      <c r="J7" s="74">
        <f aca="true" t="shared" si="1" ref="J7:J13">I7-H7</f>
        <v>-320.71428571428567</v>
      </c>
      <c r="K7" s="31">
        <v>55</v>
      </c>
      <c r="L7" s="31">
        <v>20</v>
      </c>
      <c r="M7" s="93">
        <f aca="true" t="shared" si="2" ref="M7:M13">G7/L7</f>
        <v>8.6</v>
      </c>
      <c r="N7" s="93">
        <f aca="true" t="shared" si="3" ref="N7:N13">(D7-G7)/(K7-L7)</f>
        <v>7.8</v>
      </c>
    </row>
    <row r="8" spans="1:15" ht="16.5" customHeight="1">
      <c r="A8" s="31">
        <v>2</v>
      </c>
      <c r="B8" s="31" t="s">
        <v>59</v>
      </c>
      <c r="C8" s="31">
        <v>289</v>
      </c>
      <c r="D8" s="31">
        <v>113</v>
      </c>
      <c r="E8" s="31">
        <f t="shared" si="0"/>
        <v>-176</v>
      </c>
      <c r="F8" s="31">
        <v>277</v>
      </c>
      <c r="G8" s="31">
        <v>95</v>
      </c>
      <c r="H8" s="75">
        <f>F8*100/80</f>
        <v>346.25</v>
      </c>
      <c r="I8" s="75">
        <f>G8*100/80</f>
        <v>118.75</v>
      </c>
      <c r="J8" s="74">
        <f t="shared" si="1"/>
        <v>-227.5</v>
      </c>
      <c r="K8" s="32">
        <v>18</v>
      </c>
      <c r="L8" s="32">
        <v>15</v>
      </c>
      <c r="M8" s="93">
        <f t="shared" si="2"/>
        <v>6.333333333333333</v>
      </c>
      <c r="N8" s="93">
        <f t="shared" si="3"/>
        <v>6</v>
      </c>
      <c r="O8" s="15"/>
    </row>
    <row r="9" spans="1:14" ht="16.5" customHeight="1">
      <c r="A9" s="31">
        <v>3</v>
      </c>
      <c r="B9" s="32" t="s">
        <v>63</v>
      </c>
      <c r="C9" s="31">
        <v>6336</v>
      </c>
      <c r="D9" s="31">
        <v>6615</v>
      </c>
      <c r="E9" s="31">
        <f t="shared" si="0"/>
        <v>279</v>
      </c>
      <c r="F9" s="31">
        <v>3721</v>
      </c>
      <c r="G9" s="31">
        <v>3970</v>
      </c>
      <c r="H9" s="75">
        <f>F9*100/226</f>
        <v>1646.4601769911505</v>
      </c>
      <c r="I9" s="75">
        <f>G9*100/240</f>
        <v>1654.1666666666667</v>
      </c>
      <c r="J9" s="74">
        <f t="shared" si="1"/>
        <v>7.706489675516195</v>
      </c>
      <c r="K9" s="32">
        <v>746</v>
      </c>
      <c r="L9" s="32">
        <v>407</v>
      </c>
      <c r="M9" s="117">
        <f t="shared" si="2"/>
        <v>9.754299754299755</v>
      </c>
      <c r="N9" s="117">
        <f t="shared" si="3"/>
        <v>7.8023598820058995</v>
      </c>
    </row>
    <row r="10" spans="1:14" ht="42.75" customHeight="1">
      <c r="A10" s="183" t="s">
        <v>99</v>
      </c>
      <c r="B10" s="184"/>
      <c r="C10" s="31">
        <f>SUM(C7:C9)</f>
        <v>6952</v>
      </c>
      <c r="D10" s="31">
        <f>SUM(D7:D9)</f>
        <v>7173</v>
      </c>
      <c r="E10" s="31">
        <f t="shared" si="0"/>
        <v>221</v>
      </c>
      <c r="F10" s="31">
        <f>SUM(F7:F9)</f>
        <v>4185</v>
      </c>
      <c r="G10" s="31">
        <f>SUM(G7:G9)</f>
        <v>4237</v>
      </c>
      <c r="H10" s="75">
        <f>F10*100/326</f>
        <v>1283.7423312883436</v>
      </c>
      <c r="I10" s="75">
        <f>G10*100/348</f>
        <v>1217.528735632184</v>
      </c>
      <c r="J10" s="74">
        <f t="shared" si="1"/>
        <v>-66.21359565615967</v>
      </c>
      <c r="K10" s="74">
        <f>SUM(K7:K9)</f>
        <v>819</v>
      </c>
      <c r="L10" s="74">
        <f>SUM(L7:L9)</f>
        <v>442</v>
      </c>
      <c r="M10" s="93">
        <f t="shared" si="2"/>
        <v>9.585972850678733</v>
      </c>
      <c r="N10" s="93">
        <f t="shared" si="3"/>
        <v>7.787798408488063</v>
      </c>
    </row>
    <row r="11" spans="1:14" ht="15">
      <c r="A11" s="31">
        <v>1</v>
      </c>
      <c r="B11" s="32" t="s">
        <v>80</v>
      </c>
      <c r="C11" s="31">
        <v>15</v>
      </c>
      <c r="D11" s="31">
        <v>8</v>
      </c>
      <c r="E11" s="31">
        <f t="shared" si="0"/>
        <v>-7</v>
      </c>
      <c r="F11" s="2">
        <v>15</v>
      </c>
      <c r="G11" s="2">
        <v>8</v>
      </c>
      <c r="H11" s="75">
        <f>F11*100/11</f>
        <v>136.36363636363637</v>
      </c>
      <c r="I11" s="75">
        <f>G11*100/10</f>
        <v>80</v>
      </c>
      <c r="J11" s="74">
        <f t="shared" si="1"/>
        <v>-56.363636363636374</v>
      </c>
      <c r="K11" s="74">
        <v>1</v>
      </c>
      <c r="L11" s="2">
        <v>1</v>
      </c>
      <c r="M11" s="93">
        <f t="shared" si="2"/>
        <v>8</v>
      </c>
      <c r="N11" s="93"/>
    </row>
    <row r="12" spans="1:14" ht="25.5" customHeight="1">
      <c r="A12" s="155" t="s">
        <v>88</v>
      </c>
      <c r="B12" s="156"/>
      <c r="C12" s="31">
        <f>SUM(C11)</f>
        <v>15</v>
      </c>
      <c r="D12" s="31">
        <f>SUM(D11)</f>
        <v>8</v>
      </c>
      <c r="E12" s="31">
        <f t="shared" si="0"/>
        <v>-7</v>
      </c>
      <c r="F12" s="31">
        <f>SUM(F11)</f>
        <v>15</v>
      </c>
      <c r="G12" s="31">
        <f>SUM(G11)</f>
        <v>8</v>
      </c>
      <c r="H12" s="75">
        <f>F12*100/11</f>
        <v>136.36363636363637</v>
      </c>
      <c r="I12" s="75">
        <f>G12*100/10</f>
        <v>80</v>
      </c>
      <c r="J12" s="74">
        <f t="shared" si="1"/>
        <v>-56.363636363636374</v>
      </c>
      <c r="K12" s="31">
        <f>SUM(K11)</f>
        <v>1</v>
      </c>
      <c r="L12" s="31">
        <f>SUM(L11)</f>
        <v>1</v>
      </c>
      <c r="M12" s="93">
        <f t="shared" si="2"/>
        <v>8</v>
      </c>
      <c r="N12" s="93"/>
    </row>
    <row r="13" spans="1:14" ht="28.5" customHeight="1">
      <c r="A13" s="182" t="s">
        <v>89</v>
      </c>
      <c r="B13" s="182"/>
      <c r="C13" s="31">
        <f>C10+C12</f>
        <v>6967</v>
      </c>
      <c r="D13" s="31">
        <f>SUM(D10:D11)</f>
        <v>7181</v>
      </c>
      <c r="E13" s="31">
        <f t="shared" si="0"/>
        <v>214</v>
      </c>
      <c r="F13" s="31">
        <f>F10+F12</f>
        <v>4200</v>
      </c>
      <c r="G13" s="31">
        <f>SUM(G10:G11)</f>
        <v>4245</v>
      </c>
      <c r="H13" s="75">
        <f>F13*100/337</f>
        <v>1246.2908011869436</v>
      </c>
      <c r="I13" s="75">
        <f>G13*100/358</f>
        <v>1185.7541899441342</v>
      </c>
      <c r="J13" s="74">
        <f t="shared" si="1"/>
        <v>-60.536611242809386</v>
      </c>
      <c r="K13" s="31">
        <f>K10+K12</f>
        <v>820</v>
      </c>
      <c r="L13" s="31">
        <f>SUM(L10:L11)</f>
        <v>443</v>
      </c>
      <c r="M13" s="93">
        <f t="shared" si="2"/>
        <v>9.582392776523703</v>
      </c>
      <c r="N13" s="93">
        <f t="shared" si="3"/>
        <v>7.787798408488063</v>
      </c>
    </row>
    <row r="14" spans="2:17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5">
      <c r="B15" s="72"/>
      <c r="C15" s="112"/>
      <c r="D15" s="112"/>
      <c r="E15" s="112"/>
      <c r="F15" s="112"/>
      <c r="G15" s="112"/>
      <c r="H15" s="113"/>
      <c r="I15" s="114"/>
      <c r="J15" s="113"/>
      <c r="K15" s="112"/>
      <c r="L15" s="112"/>
      <c r="M15" s="115"/>
      <c r="N15" s="115"/>
      <c r="O15" s="72"/>
      <c r="P15" s="72"/>
      <c r="Q15" s="72"/>
    </row>
    <row r="16" spans="2:17" ht="15">
      <c r="B16" s="72"/>
      <c r="C16" s="112"/>
      <c r="D16" s="112"/>
      <c r="E16" s="112"/>
      <c r="F16" s="112"/>
      <c r="G16" s="112"/>
      <c r="H16" s="114"/>
      <c r="I16" s="114"/>
      <c r="J16" s="113"/>
      <c r="K16" s="116"/>
      <c r="L16" s="116"/>
      <c r="M16" s="115"/>
      <c r="N16" s="115"/>
      <c r="O16" s="72"/>
      <c r="P16" s="72"/>
      <c r="Q16" s="72"/>
    </row>
    <row r="17" spans="2:17" ht="15">
      <c r="B17" s="72"/>
      <c r="C17" s="112"/>
      <c r="D17" s="112"/>
      <c r="E17" s="112"/>
      <c r="F17" s="112"/>
      <c r="G17" s="112"/>
      <c r="H17" s="113"/>
      <c r="I17" s="114"/>
      <c r="J17" s="113"/>
      <c r="K17" s="116"/>
      <c r="L17" s="116"/>
      <c r="M17" s="115"/>
      <c r="N17" s="115"/>
      <c r="O17" s="72"/>
      <c r="P17" s="72"/>
      <c r="Q17" s="72"/>
    </row>
    <row r="18" spans="2:17" ht="15">
      <c r="B18" s="72"/>
      <c r="C18" s="112"/>
      <c r="D18" s="112"/>
      <c r="E18" s="112"/>
      <c r="F18" s="112"/>
      <c r="G18" s="112"/>
      <c r="H18" s="113"/>
      <c r="I18" s="114"/>
      <c r="J18" s="113"/>
      <c r="K18" s="116"/>
      <c r="L18" s="116"/>
      <c r="M18" s="115"/>
      <c r="N18" s="115"/>
      <c r="O18" s="72"/>
      <c r="P18" s="72"/>
      <c r="Q18" s="72"/>
    </row>
    <row r="19" spans="2:17" ht="15">
      <c r="B19" s="72"/>
      <c r="C19" s="112"/>
      <c r="D19" s="112"/>
      <c r="E19" s="112"/>
      <c r="F19" s="112"/>
      <c r="G19" s="112"/>
      <c r="H19" s="113"/>
      <c r="I19" s="114"/>
      <c r="J19" s="113"/>
      <c r="K19" s="116"/>
      <c r="L19" s="116"/>
      <c r="M19" s="115"/>
      <c r="N19" s="115"/>
      <c r="O19" s="72"/>
      <c r="P19" s="72"/>
      <c r="Q19" s="72"/>
    </row>
    <row r="20" spans="2:17" ht="15">
      <c r="B20" s="72"/>
      <c r="C20" s="112"/>
      <c r="D20" s="112"/>
      <c r="E20" s="112"/>
      <c r="F20" s="112"/>
      <c r="G20" s="112"/>
      <c r="H20" s="113"/>
      <c r="I20" s="114"/>
      <c r="J20" s="113"/>
      <c r="K20" s="114"/>
      <c r="L20" s="114"/>
      <c r="M20" s="115"/>
      <c r="N20" s="115"/>
      <c r="O20" s="72"/>
      <c r="P20" s="72"/>
      <c r="Q20" s="72"/>
    </row>
    <row r="21" spans="2:17" ht="15">
      <c r="B21" s="72"/>
      <c r="C21" s="112"/>
      <c r="D21" s="112"/>
      <c r="E21" s="112"/>
      <c r="F21" s="112"/>
      <c r="G21" s="112"/>
      <c r="H21" s="113"/>
      <c r="I21" s="114"/>
      <c r="J21" s="113"/>
      <c r="K21" s="116"/>
      <c r="L21" s="116"/>
      <c r="M21" s="115"/>
      <c r="N21" s="115"/>
      <c r="O21" s="72"/>
      <c r="P21" s="72"/>
      <c r="Q21" s="72"/>
    </row>
    <row r="22" spans="2:17" ht="15">
      <c r="B22" s="72"/>
      <c r="C22" s="112"/>
      <c r="D22" s="112"/>
      <c r="E22" s="112"/>
      <c r="F22" s="112"/>
      <c r="G22" s="112"/>
      <c r="H22" s="114"/>
      <c r="I22" s="114"/>
      <c r="J22" s="113"/>
      <c r="K22" s="116"/>
      <c r="L22" s="116"/>
      <c r="M22" s="115"/>
      <c r="N22" s="115"/>
      <c r="O22" s="72"/>
      <c r="P22" s="72"/>
      <c r="Q22" s="72"/>
    </row>
    <row r="23" spans="2:17" ht="12.7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</sheetData>
  <sheetProtection/>
  <mergeCells count="11">
    <mergeCell ref="A3:N3"/>
    <mergeCell ref="F4:G5"/>
    <mergeCell ref="K4:L5"/>
    <mergeCell ref="M4:N5"/>
    <mergeCell ref="B4:B6"/>
    <mergeCell ref="A4:A6"/>
    <mergeCell ref="H4:J5"/>
    <mergeCell ref="C4:E5"/>
    <mergeCell ref="A12:B12"/>
    <mergeCell ref="A13:B13"/>
    <mergeCell ref="A10:B10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O22" sqref="O22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30" t="s">
        <v>112</v>
      </c>
      <c r="D1" s="130"/>
      <c r="E1" s="130"/>
      <c r="F1" s="130"/>
      <c r="G1" s="130"/>
      <c r="H1" s="130"/>
      <c r="I1" s="130"/>
      <c r="J1" s="130"/>
      <c r="K1" s="130"/>
      <c r="L1" s="20"/>
      <c r="M1" s="20"/>
      <c r="N1" s="20"/>
    </row>
    <row r="2" spans="1:14" ht="15">
      <c r="A2" s="147" t="s">
        <v>2</v>
      </c>
      <c r="B2" s="147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1"/>
      <c r="B3" s="171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48"/>
      <c r="B4" s="148"/>
      <c r="C4" s="29"/>
      <c r="D4" s="29"/>
      <c r="E4" s="45" t="s">
        <v>103</v>
      </c>
      <c r="F4" s="29"/>
      <c r="G4" s="29"/>
      <c r="H4" s="45" t="s">
        <v>105</v>
      </c>
      <c r="I4" s="29"/>
      <c r="J4" s="29"/>
      <c r="K4" s="45" t="s">
        <v>103</v>
      </c>
      <c r="L4" s="29"/>
      <c r="M4" s="29"/>
      <c r="N4" s="45" t="s">
        <v>103</v>
      </c>
    </row>
    <row r="5" spans="1:14" ht="16.5" customHeight="1">
      <c r="A5" s="31">
        <v>1</v>
      </c>
      <c r="B5" s="31" t="s">
        <v>55</v>
      </c>
      <c r="C5" s="12">
        <v>120</v>
      </c>
      <c r="D5" s="12">
        <v>109</v>
      </c>
      <c r="E5" s="16">
        <f aca="true" t="shared" si="0" ref="E5:E15">D5-C5</f>
        <v>-11</v>
      </c>
      <c r="F5" s="12">
        <v>6</v>
      </c>
      <c r="G5" s="12">
        <v>20</v>
      </c>
      <c r="H5" s="16">
        <f aca="true" t="shared" si="1" ref="H5:H15">G5-F5</f>
        <v>14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126</v>
      </c>
      <c r="D6" s="12">
        <v>112</v>
      </c>
      <c r="E6" s="16">
        <f t="shared" si="0"/>
        <v>-14</v>
      </c>
      <c r="F6" s="12">
        <v>9</v>
      </c>
      <c r="G6" s="12">
        <v>1</v>
      </c>
      <c r="H6" s="16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33</v>
      </c>
      <c r="D7" s="12">
        <v>25</v>
      </c>
      <c r="E7" s="16">
        <f t="shared" si="0"/>
        <v>-8</v>
      </c>
      <c r="F7" s="12">
        <v>2</v>
      </c>
      <c r="G7" s="12"/>
      <c r="H7" s="16">
        <f t="shared" si="1"/>
        <v>-2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172</v>
      </c>
      <c r="D8" s="12">
        <v>308</v>
      </c>
      <c r="E8" s="16">
        <f t="shared" si="0"/>
        <v>136</v>
      </c>
      <c r="F8" s="12">
        <v>12</v>
      </c>
      <c r="G8" s="12">
        <v>5</v>
      </c>
      <c r="H8" s="16">
        <f t="shared" si="1"/>
        <v>-7</v>
      </c>
      <c r="I8" s="16">
        <v>65</v>
      </c>
      <c r="J8" s="16">
        <v>76</v>
      </c>
      <c r="K8" s="12">
        <f>J8-I8</f>
        <v>11</v>
      </c>
      <c r="L8" s="12">
        <v>30</v>
      </c>
      <c r="M8" s="12">
        <v>44</v>
      </c>
      <c r="N8" s="12">
        <f>M8-L8</f>
        <v>14</v>
      </c>
    </row>
    <row r="9" spans="1:14" ht="16.5" customHeight="1">
      <c r="A9" s="31">
        <v>5</v>
      </c>
      <c r="B9" s="31" t="s">
        <v>59</v>
      </c>
      <c r="C9" s="12">
        <v>137</v>
      </c>
      <c r="D9" s="12">
        <v>89</v>
      </c>
      <c r="E9" s="16">
        <f t="shared" si="0"/>
        <v>-48</v>
      </c>
      <c r="F9" s="12"/>
      <c r="G9" s="12"/>
      <c r="H9" s="16">
        <f t="shared" si="1"/>
        <v>0</v>
      </c>
      <c r="I9" s="12">
        <v>80</v>
      </c>
      <c r="J9" s="12">
        <v>82</v>
      </c>
      <c r="K9" s="12">
        <f>J9-I9</f>
        <v>2</v>
      </c>
      <c r="L9" s="12">
        <v>5</v>
      </c>
      <c r="M9" s="16">
        <v>12</v>
      </c>
      <c r="N9" s="12">
        <f>M9-L9</f>
        <v>7</v>
      </c>
    </row>
    <row r="10" spans="1:14" ht="16.5" customHeight="1">
      <c r="A10" s="31">
        <v>6</v>
      </c>
      <c r="B10" s="32" t="s">
        <v>71</v>
      </c>
      <c r="C10" s="12">
        <v>28</v>
      </c>
      <c r="D10" s="12">
        <v>38</v>
      </c>
      <c r="E10" s="16">
        <f t="shared" si="0"/>
        <v>10</v>
      </c>
      <c r="F10" s="12">
        <v>2</v>
      </c>
      <c r="G10" s="12"/>
      <c r="H10" s="16">
        <f t="shared" si="1"/>
        <v>-2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54</v>
      </c>
      <c r="D11" s="12"/>
      <c r="E11" s="16">
        <f t="shared" si="0"/>
        <v>-54</v>
      </c>
      <c r="F11" s="12">
        <v>2</v>
      </c>
      <c r="G11" s="12"/>
      <c r="H11" s="16">
        <f t="shared" si="1"/>
        <v>-2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85</v>
      </c>
      <c r="C12" s="12"/>
      <c r="D12" s="12">
        <v>73</v>
      </c>
      <c r="E12" s="16">
        <f t="shared" si="0"/>
        <v>73</v>
      </c>
      <c r="F12" s="12"/>
      <c r="G12" s="12">
        <v>13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70</v>
      </c>
      <c r="C13" s="12">
        <v>79</v>
      </c>
      <c r="D13" s="12">
        <v>97</v>
      </c>
      <c r="E13" s="16">
        <f t="shared" si="0"/>
        <v>18</v>
      </c>
      <c r="F13" s="12">
        <v>3</v>
      </c>
      <c r="G13" s="12">
        <v>35</v>
      </c>
      <c r="H13" s="16">
        <f t="shared" si="1"/>
        <v>32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55</v>
      </c>
      <c r="D14" s="12">
        <v>37</v>
      </c>
      <c r="E14" s="16">
        <f t="shared" si="0"/>
        <v>-18</v>
      </c>
      <c r="F14" s="12">
        <v>15</v>
      </c>
      <c r="G14" s="12"/>
      <c r="H14" s="16">
        <f t="shared" si="1"/>
        <v>-15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34</v>
      </c>
      <c r="D15" s="12">
        <v>20</v>
      </c>
      <c r="E15" s="16">
        <f t="shared" si="0"/>
        <v>-14</v>
      </c>
      <c r="F15" s="12">
        <v>3</v>
      </c>
      <c r="G15" s="12"/>
      <c r="H15" s="16">
        <f t="shared" si="1"/>
        <v>-3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1074</v>
      </c>
      <c r="J16" s="12">
        <v>1115</v>
      </c>
      <c r="K16" s="12">
        <f>J16-I16</f>
        <v>41</v>
      </c>
      <c r="L16" s="12">
        <v>428</v>
      </c>
      <c r="M16" s="12">
        <v>474</v>
      </c>
      <c r="N16" s="12">
        <f>M16-L16</f>
        <v>46</v>
      </c>
    </row>
    <row r="17" spans="1:14" ht="60.75" customHeight="1">
      <c r="A17" s="155" t="s">
        <v>98</v>
      </c>
      <c r="B17" s="156"/>
      <c r="C17" s="12">
        <f>SUM(C5:C15)</f>
        <v>838</v>
      </c>
      <c r="D17" s="12">
        <f>SUM(D5:D16)</f>
        <v>908</v>
      </c>
      <c r="E17" s="12">
        <f>D17-C17</f>
        <v>70</v>
      </c>
      <c r="F17" s="12">
        <f>SUM(F5:F16)</f>
        <v>54</v>
      </c>
      <c r="G17" s="12">
        <f>SUM(G5:G16)</f>
        <v>74</v>
      </c>
      <c r="H17" s="12">
        <f>G17-F17</f>
        <v>20</v>
      </c>
      <c r="I17" s="12">
        <f>SUM(I8:I16)</f>
        <v>1219</v>
      </c>
      <c r="J17" s="12">
        <f>SUM(J8:J16)</f>
        <v>1273</v>
      </c>
      <c r="K17" s="12">
        <f>J17-I17</f>
        <v>54</v>
      </c>
      <c r="L17" s="12">
        <f>SUM(L8:L16)</f>
        <v>463</v>
      </c>
      <c r="M17" s="12">
        <f>SUM(M8:M16)</f>
        <v>530</v>
      </c>
      <c r="N17" s="12">
        <f>M17-L17</f>
        <v>67</v>
      </c>
    </row>
    <row r="18" spans="1:14" ht="16.5" customHeight="1">
      <c r="A18" s="31">
        <v>1</v>
      </c>
      <c r="B18" s="32" t="s">
        <v>80</v>
      </c>
      <c r="C18" s="12"/>
      <c r="D18" s="16"/>
      <c r="E18" s="12">
        <f>D18-C18</f>
        <v>0</v>
      </c>
      <c r="F18" s="16"/>
      <c r="G18" s="16"/>
      <c r="H18" s="12">
        <f>G18-F18</f>
        <v>0</v>
      </c>
      <c r="I18" s="12"/>
      <c r="J18" s="12"/>
      <c r="K18" s="12">
        <f>J18-I18</f>
        <v>0</v>
      </c>
      <c r="L18" s="12"/>
      <c r="M18" s="12"/>
      <c r="N18" s="12">
        <f>M18-L18</f>
        <v>0</v>
      </c>
    </row>
    <row r="19" spans="1:14" ht="18.75" customHeight="1">
      <c r="A19" s="155" t="s">
        <v>88</v>
      </c>
      <c r="B19" s="156"/>
      <c r="C19" s="12"/>
      <c r="D19" s="12"/>
      <c r="E19" s="12">
        <f>D19-C19</f>
        <v>0</v>
      </c>
      <c r="F19" s="12"/>
      <c r="G19" s="12"/>
      <c r="H19" s="12">
        <f>G19-F19</f>
        <v>0</v>
      </c>
      <c r="I19" s="12"/>
      <c r="J19" s="12"/>
      <c r="K19" s="12">
        <f>J19-I19</f>
        <v>0</v>
      </c>
      <c r="L19" s="12"/>
      <c r="M19" s="12"/>
      <c r="N19" s="12">
        <f>M19-L19</f>
        <v>0</v>
      </c>
    </row>
    <row r="20" spans="1:14" ht="39" customHeight="1">
      <c r="A20" s="157" t="s">
        <v>89</v>
      </c>
      <c r="B20" s="158"/>
      <c r="C20" s="12">
        <f>C17+C19</f>
        <v>838</v>
      </c>
      <c r="D20" s="12">
        <f>D17+D19</f>
        <v>908</v>
      </c>
      <c r="E20" s="12">
        <f>D20-C20</f>
        <v>70</v>
      </c>
      <c r="F20" s="12">
        <f>F17+F19</f>
        <v>54</v>
      </c>
      <c r="G20" s="12">
        <f>G17+G19</f>
        <v>74</v>
      </c>
      <c r="H20" s="12">
        <f>G20-F20</f>
        <v>20</v>
      </c>
      <c r="I20" s="12">
        <f>I17+I19</f>
        <v>1219</v>
      </c>
      <c r="J20" s="12">
        <f>J17+J19</f>
        <v>1273</v>
      </c>
      <c r="K20" s="12">
        <f>J20-I20</f>
        <v>54</v>
      </c>
      <c r="L20" s="12">
        <f>L17+L19</f>
        <v>463</v>
      </c>
      <c r="M20" s="12">
        <f>M17+M19</f>
        <v>530</v>
      </c>
      <c r="N20" s="12">
        <f>M20-L20</f>
        <v>67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A17" sqref="A17:B17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8" t="s">
        <v>111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52" t="s">
        <v>2</v>
      </c>
      <c r="B3" s="152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1"/>
      <c r="B4" s="191"/>
      <c r="C4" s="18">
        <v>2011</v>
      </c>
      <c r="D4" s="19">
        <v>2012</v>
      </c>
      <c r="E4" s="19" t="s">
        <v>95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1"/>
      <c r="B5" s="191"/>
      <c r="C5" s="40"/>
      <c r="D5" s="11"/>
      <c r="E5" s="11" t="s">
        <v>96</v>
      </c>
      <c r="F5" s="29"/>
      <c r="G5" s="28"/>
      <c r="H5" s="29" t="s">
        <v>97</v>
      </c>
      <c r="I5" s="18">
        <v>2011</v>
      </c>
      <c r="J5" s="19">
        <v>2012</v>
      </c>
      <c r="K5" s="29" t="s">
        <v>97</v>
      </c>
      <c r="L5" s="18">
        <v>2011</v>
      </c>
      <c r="M5" s="19">
        <v>2012</v>
      </c>
      <c r="N5" s="29" t="s">
        <v>97</v>
      </c>
    </row>
    <row r="6" spans="1:14" ht="16.5" customHeight="1">
      <c r="A6" s="31">
        <v>1</v>
      </c>
      <c r="B6" s="31" t="s">
        <v>55</v>
      </c>
      <c r="C6" s="36">
        <v>108</v>
      </c>
      <c r="D6" s="36">
        <v>76</v>
      </c>
      <c r="E6" s="36">
        <f aca="true" t="shared" si="0" ref="E6:E17">D6*100/C6</f>
        <v>70.37037037037037</v>
      </c>
      <c r="F6" s="36">
        <v>100</v>
      </c>
      <c r="G6" s="36">
        <v>73</v>
      </c>
      <c r="H6" s="36">
        <f aca="true" t="shared" si="1" ref="H6:H17">G6-F6</f>
        <v>-27</v>
      </c>
      <c r="I6" s="36">
        <f>F6*100/180</f>
        <v>55.55555555555556</v>
      </c>
      <c r="J6" s="36">
        <f>G6*100/180</f>
        <v>40.55555555555556</v>
      </c>
      <c r="K6" s="36">
        <f aca="true" t="shared" si="2" ref="K6:K17">J6-I6</f>
        <v>-15</v>
      </c>
      <c r="L6" s="36">
        <f>(C6-F6)*100/180</f>
        <v>4.444444444444445</v>
      </c>
      <c r="M6" s="36">
        <f>(D6-G6)*100/180</f>
        <v>1.6666666666666667</v>
      </c>
      <c r="N6" s="36">
        <f>M6-L6</f>
        <v>-2.7777777777777777</v>
      </c>
    </row>
    <row r="7" spans="1:14" ht="16.5" customHeight="1">
      <c r="A7" s="31">
        <v>2</v>
      </c>
      <c r="B7" s="31" t="s">
        <v>56</v>
      </c>
      <c r="C7" s="36">
        <v>93</v>
      </c>
      <c r="D7" s="36">
        <v>85</v>
      </c>
      <c r="E7" s="36">
        <f t="shared" si="0"/>
        <v>91.39784946236558</v>
      </c>
      <c r="F7" s="36">
        <v>84</v>
      </c>
      <c r="G7" s="36">
        <v>82</v>
      </c>
      <c r="H7" s="36">
        <f t="shared" si="1"/>
        <v>-2</v>
      </c>
      <c r="I7" s="36">
        <f>F7*100/105</f>
        <v>80</v>
      </c>
      <c r="J7" s="36">
        <f>G7*100/105</f>
        <v>78.0952380952381</v>
      </c>
      <c r="K7" s="36">
        <f>J7-I7</f>
        <v>-1.904761904761898</v>
      </c>
      <c r="L7" s="36">
        <f>(C7-F7)*100/105</f>
        <v>8.571428571428571</v>
      </c>
      <c r="M7" s="36">
        <f>(D7-G7)*100/105</f>
        <v>2.857142857142857</v>
      </c>
      <c r="N7" s="36">
        <f>M7-L7</f>
        <v>-5.7142857142857135</v>
      </c>
    </row>
    <row r="8" spans="1:14" ht="16.5" customHeight="1">
      <c r="A8" s="31">
        <v>3</v>
      </c>
      <c r="B8" s="31" t="s">
        <v>57</v>
      </c>
      <c r="C8" s="36">
        <v>34</v>
      </c>
      <c r="D8" s="36">
        <v>36</v>
      </c>
      <c r="E8" s="36">
        <f t="shared" si="0"/>
        <v>105.88235294117646</v>
      </c>
      <c r="F8" s="36">
        <v>34</v>
      </c>
      <c r="G8" s="36">
        <v>36</v>
      </c>
      <c r="H8" s="36">
        <f t="shared" si="1"/>
        <v>2</v>
      </c>
      <c r="I8" s="36">
        <f>F8*100/60</f>
        <v>56.666666666666664</v>
      </c>
      <c r="J8" s="36">
        <f>G8*100/60</f>
        <v>60</v>
      </c>
      <c r="K8" s="36">
        <f>J8-I8</f>
        <v>3.3333333333333357</v>
      </c>
      <c r="L8" s="36">
        <f>(C8-F8)*100/60</f>
        <v>0</v>
      </c>
      <c r="M8" s="36">
        <f>(D8-G8)*100/60</f>
        <v>0</v>
      </c>
      <c r="N8" s="36">
        <f>M8-L8</f>
        <v>0</v>
      </c>
    </row>
    <row r="9" spans="1:14" ht="16.5" customHeight="1">
      <c r="A9" s="31">
        <v>4</v>
      </c>
      <c r="B9" s="22" t="s">
        <v>58</v>
      </c>
      <c r="C9" s="36">
        <v>114</v>
      </c>
      <c r="D9" s="36">
        <v>149</v>
      </c>
      <c r="E9" s="36">
        <f t="shared" si="0"/>
        <v>130.7017543859649</v>
      </c>
      <c r="F9" s="36">
        <v>92</v>
      </c>
      <c r="G9" s="36">
        <v>127</v>
      </c>
      <c r="H9" s="36">
        <f t="shared" si="1"/>
        <v>35</v>
      </c>
      <c r="I9" s="36">
        <f>F9*100/308</f>
        <v>29.87012987012987</v>
      </c>
      <c r="J9" s="36">
        <f>G9*100/308</f>
        <v>41.23376623376623</v>
      </c>
      <c r="K9" s="36">
        <f t="shared" si="2"/>
        <v>11.363636363636363</v>
      </c>
      <c r="L9" s="36">
        <f>(C9-F9)*100/308</f>
        <v>7.142857142857143</v>
      </c>
      <c r="M9" s="36">
        <f>(D9-G9)*100/308</f>
        <v>7.142857142857143</v>
      </c>
      <c r="N9" s="36">
        <f aca="true" t="shared" si="3" ref="N9:N17">M9-L9</f>
        <v>0</v>
      </c>
    </row>
    <row r="10" spans="1:14" ht="16.5" customHeight="1">
      <c r="A10" s="31">
        <v>5</v>
      </c>
      <c r="B10" s="31" t="s">
        <v>59</v>
      </c>
      <c r="C10" s="36">
        <v>66</v>
      </c>
      <c r="D10" s="36">
        <v>107</v>
      </c>
      <c r="E10" s="36">
        <f t="shared" si="0"/>
        <v>162.12121212121212</v>
      </c>
      <c r="F10" s="36">
        <v>64</v>
      </c>
      <c r="G10" s="36">
        <v>93</v>
      </c>
      <c r="H10" s="36">
        <f t="shared" si="1"/>
        <v>29</v>
      </c>
      <c r="I10" s="36">
        <f>F10*100/280</f>
        <v>22.857142857142858</v>
      </c>
      <c r="J10" s="36">
        <f>G10*100/280</f>
        <v>33.214285714285715</v>
      </c>
      <c r="K10" s="36">
        <f t="shared" si="2"/>
        <v>10.357142857142858</v>
      </c>
      <c r="L10" s="36">
        <f>(C10-F10)*100/280</f>
        <v>0.7142857142857143</v>
      </c>
      <c r="M10" s="36">
        <f>(D10-G10)*100/280</f>
        <v>5</v>
      </c>
      <c r="N10" s="36">
        <f t="shared" si="3"/>
        <v>4.285714285714286</v>
      </c>
    </row>
    <row r="11" spans="1:14" ht="16.5" customHeight="1">
      <c r="A11" s="31">
        <v>6</v>
      </c>
      <c r="B11" s="32" t="s">
        <v>71</v>
      </c>
      <c r="C11" s="89">
        <v>63</v>
      </c>
      <c r="D11" s="89">
        <v>60</v>
      </c>
      <c r="E11" s="36">
        <f t="shared" si="0"/>
        <v>95.23809523809524</v>
      </c>
      <c r="F11" s="89">
        <v>57</v>
      </c>
      <c r="G11" s="89">
        <v>47</v>
      </c>
      <c r="H11" s="36">
        <f t="shared" si="1"/>
        <v>-10</v>
      </c>
      <c r="I11" s="89">
        <f>F11*100/85</f>
        <v>67.05882352941177</v>
      </c>
      <c r="J11" s="89">
        <f>G11*100/85</f>
        <v>55.294117647058826</v>
      </c>
      <c r="K11" s="36">
        <f t="shared" si="2"/>
        <v>-11.764705882352942</v>
      </c>
      <c r="L11" s="36">
        <f>(C11-F11)*100/85</f>
        <v>7.0588235294117645</v>
      </c>
      <c r="M11" s="36">
        <f>(D11-G11)*100/85</f>
        <v>15.294117647058824</v>
      </c>
      <c r="N11" s="89">
        <f t="shared" si="3"/>
        <v>8.23529411764706</v>
      </c>
    </row>
    <row r="12" spans="1:14" ht="16.5" customHeight="1">
      <c r="A12" s="31">
        <v>7</v>
      </c>
      <c r="B12" s="32" t="s">
        <v>60</v>
      </c>
      <c r="C12" s="89">
        <v>66</v>
      </c>
      <c r="D12" s="89"/>
      <c r="E12" s="36">
        <f t="shared" si="0"/>
        <v>0</v>
      </c>
      <c r="F12" s="89">
        <v>58</v>
      </c>
      <c r="G12" s="89"/>
      <c r="H12" s="36">
        <f t="shared" si="1"/>
        <v>-58</v>
      </c>
      <c r="I12" s="89">
        <f>F12*100/60</f>
        <v>96.66666666666667</v>
      </c>
      <c r="J12" s="89">
        <f>G12*100/60</f>
        <v>0</v>
      </c>
      <c r="K12" s="36">
        <f t="shared" si="2"/>
        <v>-96.66666666666667</v>
      </c>
      <c r="L12" s="36">
        <f>(C12-F12)*100/60</f>
        <v>13.333333333333334</v>
      </c>
      <c r="M12" s="36">
        <f>(D12-G12)*100/60</f>
        <v>0</v>
      </c>
      <c r="N12" s="89">
        <f t="shared" si="3"/>
        <v>-13.333333333333334</v>
      </c>
    </row>
    <row r="13" spans="1:14" ht="16.5" customHeight="1">
      <c r="A13" s="31">
        <v>8</v>
      </c>
      <c r="B13" s="32" t="s">
        <v>85</v>
      </c>
      <c r="C13" s="118"/>
      <c r="D13" s="89">
        <v>79</v>
      </c>
      <c r="E13" s="36">
        <f>D13*100/C14</f>
        <v>111.26760563380282</v>
      </c>
      <c r="F13" s="89"/>
      <c r="G13" s="89">
        <v>65</v>
      </c>
      <c r="H13" s="36">
        <f t="shared" si="1"/>
        <v>65</v>
      </c>
      <c r="I13" s="89"/>
      <c r="J13" s="89">
        <f>G13*100/5</f>
        <v>1300</v>
      </c>
      <c r="K13" s="36"/>
      <c r="L13" s="36"/>
      <c r="M13" s="36">
        <f>(D13-G13)*100/5</f>
        <v>280</v>
      </c>
      <c r="N13" s="89"/>
    </row>
    <row r="14" spans="1:14" ht="16.5" customHeight="1">
      <c r="A14" s="31">
        <v>9</v>
      </c>
      <c r="B14" s="32" t="s">
        <v>70</v>
      </c>
      <c r="C14" s="89">
        <v>71</v>
      </c>
      <c r="D14" s="89">
        <v>43</v>
      </c>
      <c r="E14" s="36">
        <f>D14*100/C15</f>
        <v>89.58333333333333</v>
      </c>
      <c r="F14" s="89">
        <v>61</v>
      </c>
      <c r="G14" s="89">
        <v>40</v>
      </c>
      <c r="H14" s="36">
        <f t="shared" si="1"/>
        <v>-21</v>
      </c>
      <c r="I14" s="89">
        <f>F14*100/78</f>
        <v>78.2051282051282</v>
      </c>
      <c r="J14" s="89">
        <f>G14*100/78</f>
        <v>51.282051282051285</v>
      </c>
      <c r="K14" s="36">
        <f t="shared" si="2"/>
        <v>-26.92307692307692</v>
      </c>
      <c r="L14" s="36">
        <f>(C14-F14)*100/78</f>
        <v>12.820512820512821</v>
      </c>
      <c r="M14" s="36">
        <f>(D14-G14)*100/78</f>
        <v>3.8461538461538463</v>
      </c>
      <c r="N14" s="89">
        <f t="shared" si="3"/>
        <v>-8.974358974358974</v>
      </c>
    </row>
    <row r="15" spans="1:14" ht="16.5" customHeight="1">
      <c r="A15" s="31">
        <v>10</v>
      </c>
      <c r="B15" s="32" t="s">
        <v>61</v>
      </c>
      <c r="C15" s="89">
        <v>48</v>
      </c>
      <c r="D15" s="89">
        <v>65</v>
      </c>
      <c r="E15" s="36">
        <f>D15*100/C16</f>
        <v>240.74074074074073</v>
      </c>
      <c r="F15" s="89">
        <v>45</v>
      </c>
      <c r="G15" s="89">
        <v>57</v>
      </c>
      <c r="H15" s="36">
        <f t="shared" si="1"/>
        <v>12</v>
      </c>
      <c r="I15" s="89">
        <f>F15*100/100</f>
        <v>45</v>
      </c>
      <c r="J15" s="89">
        <f>G15*100/100</f>
        <v>57</v>
      </c>
      <c r="K15" s="36">
        <f t="shared" si="2"/>
        <v>12</v>
      </c>
      <c r="L15" s="36">
        <f>(C15-F15)*100/100</f>
        <v>3</v>
      </c>
      <c r="M15" s="36">
        <f>(D15-G15)*100/100</f>
        <v>8</v>
      </c>
      <c r="N15" s="89">
        <f t="shared" si="3"/>
        <v>5</v>
      </c>
    </row>
    <row r="16" spans="1:14" ht="16.5" customHeight="1">
      <c r="A16" s="31">
        <v>11</v>
      </c>
      <c r="B16" s="32" t="s">
        <v>62</v>
      </c>
      <c r="C16" s="89">
        <v>27</v>
      </c>
      <c r="D16" s="89">
        <v>27</v>
      </c>
      <c r="E16" s="36">
        <f>D16*100/C17</f>
        <v>3.9130434782608696</v>
      </c>
      <c r="F16" s="89">
        <v>27</v>
      </c>
      <c r="G16" s="89">
        <v>27</v>
      </c>
      <c r="H16" s="36">
        <f t="shared" si="1"/>
        <v>0</v>
      </c>
      <c r="I16" s="89">
        <f>F16*100/42</f>
        <v>64.28571428571429</v>
      </c>
      <c r="J16" s="89">
        <f>G16*100/42</f>
        <v>64.28571428571429</v>
      </c>
      <c r="K16" s="36">
        <f t="shared" si="2"/>
        <v>0</v>
      </c>
      <c r="L16" s="36">
        <f>(C16-F16)*100/42</f>
        <v>0</v>
      </c>
      <c r="M16" s="36">
        <f>(D16-G16)*100/42</f>
        <v>0</v>
      </c>
      <c r="N16" s="89">
        <f t="shared" si="3"/>
        <v>0</v>
      </c>
    </row>
    <row r="17" spans="1:14" ht="61.5" customHeight="1">
      <c r="A17" s="189" t="s">
        <v>94</v>
      </c>
      <c r="B17" s="190"/>
      <c r="C17" s="36">
        <f>SUM(C6:C16)</f>
        <v>690</v>
      </c>
      <c r="D17" s="3">
        <f>SUM(D6:D16)</f>
        <v>727</v>
      </c>
      <c r="E17" s="36">
        <f t="shared" si="0"/>
        <v>105.3623188405797</v>
      </c>
      <c r="F17" s="3">
        <f>SUM(F6:F16)</f>
        <v>622</v>
      </c>
      <c r="G17" s="3">
        <f>SUM(G6:G16)</f>
        <v>647</v>
      </c>
      <c r="H17" s="36">
        <f t="shared" si="1"/>
        <v>25</v>
      </c>
      <c r="I17" s="36">
        <f>F17*100/1298</f>
        <v>47.919876733436055</v>
      </c>
      <c r="J17" s="36">
        <f>G17*100/1303</f>
        <v>49.65464313123561</v>
      </c>
      <c r="K17" s="36">
        <f t="shared" si="2"/>
        <v>1.7347663977995538</v>
      </c>
      <c r="L17" s="36">
        <f>(C17-F17)*100/1298</f>
        <v>5.238828967642527</v>
      </c>
      <c r="M17" s="36">
        <f>(D17-G17)*100/1303</f>
        <v>6.139677666922487</v>
      </c>
      <c r="N17" s="36">
        <f t="shared" si="3"/>
        <v>0.90084869927996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A17" sqref="A17:B17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92" t="s">
        <v>106</v>
      </c>
      <c r="B1" s="192"/>
      <c r="C1" s="192"/>
      <c r="D1" s="192"/>
      <c r="E1" s="192"/>
      <c r="F1" s="192"/>
      <c r="G1" s="76"/>
      <c r="H1" s="76"/>
      <c r="I1" s="76"/>
    </row>
    <row r="2" spans="1:9" ht="15.75">
      <c r="A2" s="193" t="s">
        <v>110</v>
      </c>
      <c r="B2" s="193"/>
      <c r="C2" s="193"/>
      <c r="D2" s="193"/>
      <c r="E2" s="193"/>
      <c r="F2" s="193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112</v>
      </c>
      <c r="D5" s="36">
        <f>(молоко!D7*1000)/1875</f>
        <v>95.2</v>
      </c>
      <c r="E5" s="36">
        <f>(мясо!C6*1000)/1875</f>
        <v>13.76</v>
      </c>
      <c r="F5" s="36">
        <f>(мясо!D6*1000)/1875</f>
        <v>11.786666666666667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180.2252816020025</v>
      </c>
      <c r="D6" s="36">
        <f>(молоко!D8*1000)/799</f>
        <v>168.72340425531914</v>
      </c>
      <c r="E6" s="36">
        <f>(мясо!C7*1000)/799</f>
        <v>11.264080100125156</v>
      </c>
      <c r="F6" s="36">
        <f>(мясо!D7*1000)/799</f>
        <v>5.844806007509387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52.839506172839506</v>
      </c>
      <c r="D7" s="36">
        <f>(молоко!D9*1000)/2025</f>
        <v>49.382716049382715</v>
      </c>
      <c r="E7" s="36">
        <f>(мясо!C8*1000)/2025</f>
        <v>1.9753086419753085</v>
      </c>
      <c r="F7" s="36">
        <f>(мясо!D8*1000)/2025</f>
        <v>2.1728395061728394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166.10169491525423</v>
      </c>
      <c r="D8" s="36">
        <f>(молоко!D10*1000)/2478</f>
        <v>198.54721549636804</v>
      </c>
      <c r="E8" s="36">
        <f>(мясо!C9*1000)/2478</f>
        <v>29.37853107344633</v>
      </c>
      <c r="F8" s="36">
        <f>(мясо!D9*1000)/2478</f>
        <v>10.774818401937045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106.62957811775614</v>
      </c>
      <c r="D9" s="36">
        <f>(молоко!D11*1000)/2157</f>
        <v>76.95873898933704</v>
      </c>
      <c r="E9" s="36">
        <f>(мясо!C10*1000)/2157</f>
        <v>13.954566527584609</v>
      </c>
      <c r="F9" s="36">
        <f>(мясо!D10*1000)/2157</f>
        <v>18.96152063050533</v>
      </c>
      <c r="H9" s="76"/>
      <c r="I9" s="76"/>
    </row>
    <row r="10" spans="1:9" ht="15">
      <c r="A10" s="3">
        <v>6</v>
      </c>
      <c r="B10" s="38" t="s">
        <v>71</v>
      </c>
      <c r="C10" s="36">
        <f>(молоко!C12*1000)/859</f>
        <v>219.44121071012805</v>
      </c>
      <c r="D10" s="36">
        <f>(молоко!D12*1000)/859</f>
        <v>205.0640279394645</v>
      </c>
      <c r="E10" s="36">
        <f>(мясо!C11*1000)/859</f>
        <v>13.038416763678697</v>
      </c>
      <c r="F10" s="36">
        <f>(мясо!D11*1000)/859</f>
        <v>14.128055878928988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83.94062078272604</v>
      </c>
      <c r="D11" s="36">
        <f>(молоко!D13*1000)/1482</f>
        <v>0</v>
      </c>
      <c r="E11" s="36">
        <f>(мясо!C12*1000)/1482</f>
        <v>0.6747638326585695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85</v>
      </c>
      <c r="C12" s="36"/>
      <c r="D12" s="36"/>
      <c r="E12" s="36"/>
      <c r="F12" s="36"/>
      <c r="H12" s="76"/>
      <c r="I12" s="76"/>
    </row>
    <row r="13" spans="1:9" ht="15.75" customHeight="1">
      <c r="A13" s="3">
        <v>9</v>
      </c>
      <c r="B13" s="32" t="s">
        <v>70</v>
      </c>
      <c r="C13" s="36">
        <f>(молоко!C15*1000)/1077</f>
        <v>206.76880222841226</v>
      </c>
      <c r="D13" s="36">
        <f>(молоко!D15*1000)/1077</f>
        <v>206.84122562674094</v>
      </c>
      <c r="E13" s="36">
        <f>(мясо!C14*1000)/1077</f>
        <v>15.32033426183844</v>
      </c>
      <c r="F13" s="36">
        <f>(мясо!D14*1000)/1077</f>
        <v>8.161559888579387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128.04428044280442</v>
      </c>
      <c r="D14" s="36">
        <f>(молоко!D16*1000)/1084</f>
        <v>139.29889298892988</v>
      </c>
      <c r="E14" s="36">
        <f>(мясо!C15*1000)/1084</f>
        <v>8.025830258302584</v>
      </c>
      <c r="F14" s="36">
        <f>(мясо!D15*1000)/1084</f>
        <v>12.638376383763838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117.35905044510386</v>
      </c>
      <c r="D15" s="36">
        <f>(молоко!D17*1000)/674</f>
        <v>103.41246290801188</v>
      </c>
      <c r="E15" s="36">
        <f>(мясо!C16*1000)/674</f>
        <v>10.089020771513352</v>
      </c>
      <c r="F15" s="36">
        <f>(мясо!D16*1000)/674</f>
        <v>6.379821958456973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438.4537131230926</v>
      </c>
      <c r="F16" s="36">
        <f>(мясо!D17*1000)/983</f>
        <v>532.0447609359105</v>
      </c>
      <c r="H16" s="76"/>
      <c r="I16" s="76"/>
    </row>
    <row r="17" spans="1:6" ht="63.75" customHeight="1">
      <c r="A17" s="189" t="s">
        <v>94</v>
      </c>
      <c r="B17" s="190"/>
      <c r="C17" s="36">
        <f>(молоко!C18*1000)/22877</f>
        <v>81.13345281286882</v>
      </c>
      <c r="D17" s="36">
        <f>(молоко!D18*1000)/22877</f>
        <v>80.72596931415832</v>
      </c>
      <c r="E17" s="36">
        <f>(мясо!C23*1000)/22877</f>
        <v>27.08834200288499</v>
      </c>
      <c r="F17" s="36">
        <f>(мясо!D23*1000)/22877</f>
        <v>29.68103335227521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75" zoomScaleSheetLayoutView="70" zoomScalePageLayoutView="0" workbookViewId="0" topLeftCell="A1">
      <selection activeCell="A21" sqref="A21:B21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108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7" t="s">
        <v>2</v>
      </c>
      <c r="B3" s="196" t="s">
        <v>3</v>
      </c>
      <c r="C3" s="197" t="s">
        <v>90</v>
      </c>
      <c r="D3" s="198"/>
      <c r="E3" s="199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1"/>
      <c r="B4" s="171"/>
      <c r="C4" s="58">
        <v>2011</v>
      </c>
      <c r="D4" s="54">
        <v>2012</v>
      </c>
      <c r="E4" s="54" t="s">
        <v>95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95</v>
      </c>
      <c r="K4" s="61" t="s">
        <v>18</v>
      </c>
    </row>
    <row r="5" spans="1:11" ht="18">
      <c r="A5" s="148"/>
      <c r="B5" s="148"/>
      <c r="C5" s="62"/>
      <c r="D5" s="63"/>
      <c r="E5" s="63" t="s">
        <v>96</v>
      </c>
      <c r="F5" s="63" t="s">
        <v>13</v>
      </c>
      <c r="G5" s="64"/>
      <c r="H5" s="62"/>
      <c r="I5" s="63"/>
      <c r="J5" s="63" t="s">
        <v>96</v>
      </c>
      <c r="K5" s="65" t="s">
        <v>0</v>
      </c>
    </row>
    <row r="6" spans="1:11" ht="18" customHeight="1">
      <c r="A6" s="200" t="s">
        <v>91</v>
      </c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6.5" customHeight="1">
      <c r="A7" s="31">
        <v>1</v>
      </c>
      <c r="B7" s="66" t="s">
        <v>55</v>
      </c>
      <c r="C7" s="12">
        <v>210</v>
      </c>
      <c r="D7" s="12">
        <v>178.5</v>
      </c>
      <c r="E7" s="13">
        <f aca="true" t="shared" si="0" ref="E7:E17">D7/C7*100</f>
        <v>85</v>
      </c>
      <c r="F7" s="12">
        <v>150.5</v>
      </c>
      <c r="G7" s="13">
        <f aca="true" t="shared" si="1" ref="G7:G17">F7/D7*100</f>
        <v>84.31372549019608</v>
      </c>
      <c r="H7" s="17">
        <f>C7/'численность 1'!J6*1000</f>
        <v>1166.6666666666667</v>
      </c>
      <c r="I7" s="17">
        <f>D7/'численность 1'!K6*1000</f>
        <v>991.6666666666667</v>
      </c>
      <c r="J7" s="13">
        <f aca="true" t="shared" si="2" ref="J7:J20">I7/H7*100</f>
        <v>85</v>
      </c>
      <c r="K7" s="12"/>
    </row>
    <row r="8" spans="1:11" ht="16.5" customHeight="1">
      <c r="A8" s="31">
        <v>2</v>
      </c>
      <c r="B8" s="66" t="s">
        <v>56</v>
      </c>
      <c r="C8" s="12">
        <v>144</v>
      </c>
      <c r="D8" s="12">
        <v>134.81</v>
      </c>
      <c r="E8" s="13">
        <f t="shared" si="0"/>
        <v>93.61805555555556</v>
      </c>
      <c r="F8" s="12">
        <v>113.972</v>
      </c>
      <c r="G8" s="13">
        <f t="shared" si="1"/>
        <v>84.54268971144573</v>
      </c>
      <c r="H8" s="17">
        <f>C8/'численность 1'!J7*1000</f>
        <v>1371.4285714285713</v>
      </c>
      <c r="I8" s="13">
        <f>D8/'численность 1'!K7*1000</f>
        <v>1283.904761904762</v>
      </c>
      <c r="J8" s="13">
        <f t="shared" si="2"/>
        <v>93.61805555555557</v>
      </c>
      <c r="K8" s="12"/>
    </row>
    <row r="9" spans="1:11" ht="16.5" customHeight="1">
      <c r="A9" s="31">
        <v>3</v>
      </c>
      <c r="B9" s="66" t="s">
        <v>57</v>
      </c>
      <c r="C9" s="12">
        <v>107</v>
      </c>
      <c r="D9" s="12">
        <v>100</v>
      </c>
      <c r="E9" s="13">
        <f t="shared" si="0"/>
        <v>93.45794392523365</v>
      </c>
      <c r="F9" s="12">
        <v>72</v>
      </c>
      <c r="G9" s="13">
        <f t="shared" si="1"/>
        <v>72</v>
      </c>
      <c r="H9" s="17">
        <f>C9/'численность 1'!J8*1000</f>
        <v>1783.3333333333335</v>
      </c>
      <c r="I9" s="13">
        <f>D9/'численность 1'!K8*1000</f>
        <v>1666.6666666666667</v>
      </c>
      <c r="J9" s="13">
        <f t="shared" si="2"/>
        <v>93.45794392523365</v>
      </c>
      <c r="K9" s="12"/>
    </row>
    <row r="10" spans="1:11" ht="16.5" customHeight="1">
      <c r="A10" s="31">
        <v>4</v>
      </c>
      <c r="B10" s="66" t="s">
        <v>58</v>
      </c>
      <c r="C10" s="12">
        <v>411.6</v>
      </c>
      <c r="D10" s="12">
        <v>492</v>
      </c>
      <c r="E10" s="13">
        <f t="shared" si="0"/>
        <v>119.533527696793</v>
      </c>
      <c r="F10" s="12">
        <v>455.2</v>
      </c>
      <c r="G10" s="13">
        <f t="shared" si="1"/>
        <v>92.52032520325203</v>
      </c>
      <c r="H10" s="17">
        <f>C10/'численность 1'!J9*1000</f>
        <v>1336.3636363636365</v>
      </c>
      <c r="I10" s="13">
        <f>D10/'численность 1'!K9*1000</f>
        <v>1597.4025974025974</v>
      </c>
      <c r="J10" s="13">
        <f t="shared" si="2"/>
        <v>119.533527696793</v>
      </c>
      <c r="K10" s="12"/>
    </row>
    <row r="11" spans="1:11" ht="16.5" customHeight="1">
      <c r="A11" s="31">
        <v>5</v>
      </c>
      <c r="B11" s="67" t="s">
        <v>59</v>
      </c>
      <c r="C11" s="12">
        <v>230</v>
      </c>
      <c r="D11" s="12">
        <v>166</v>
      </c>
      <c r="E11" s="13">
        <f t="shared" si="0"/>
        <v>72.17391304347827</v>
      </c>
      <c r="F11" s="12">
        <v>124</v>
      </c>
      <c r="G11" s="13">
        <f t="shared" si="1"/>
        <v>74.69879518072288</v>
      </c>
      <c r="H11" s="17">
        <f>C11/'численность 1'!J10*1000</f>
        <v>821.4285714285714</v>
      </c>
      <c r="I11" s="131">
        <f>D11/'численность 1'!K10*1000</f>
        <v>700.42194092827</v>
      </c>
      <c r="J11" s="13">
        <f t="shared" si="2"/>
        <v>85.26875802605026</v>
      </c>
      <c r="K11" s="12"/>
    </row>
    <row r="12" spans="1:11" ht="16.5" customHeight="1">
      <c r="A12" s="31">
        <v>6</v>
      </c>
      <c r="B12" s="67" t="s">
        <v>71</v>
      </c>
      <c r="C12" s="16">
        <v>188.5</v>
      </c>
      <c r="D12" s="16">
        <v>176.15</v>
      </c>
      <c r="E12" s="13">
        <f t="shared" si="0"/>
        <v>93.44827586206897</v>
      </c>
      <c r="F12" s="16">
        <v>148.2</v>
      </c>
      <c r="G12" s="17">
        <f t="shared" si="1"/>
        <v>84.13284132841328</v>
      </c>
      <c r="H12" s="17">
        <f>C12/'численность 1'!J11*1000</f>
        <v>2217.6470588235297</v>
      </c>
      <c r="I12" s="13">
        <f>D12/'численность 1'!K11*1000</f>
        <v>2072.3529411764707</v>
      </c>
      <c r="J12" s="13">
        <f t="shared" si="2"/>
        <v>93.44827586206897</v>
      </c>
      <c r="K12" s="132">
        <v>196.1</v>
      </c>
    </row>
    <row r="13" spans="1:11" ht="16.5" customHeight="1">
      <c r="A13" s="31">
        <v>7</v>
      </c>
      <c r="B13" s="67" t="s">
        <v>60</v>
      </c>
      <c r="C13" s="16">
        <v>124.4</v>
      </c>
      <c r="D13" s="16"/>
      <c r="E13" s="13">
        <f t="shared" si="0"/>
        <v>0</v>
      </c>
      <c r="F13" s="16"/>
      <c r="G13" s="17"/>
      <c r="H13" s="17">
        <f>C13/'численность 1'!J12*1000</f>
        <v>2073.333333333333</v>
      </c>
      <c r="I13" s="13"/>
      <c r="J13" s="13"/>
      <c r="K13" s="16"/>
    </row>
    <row r="14" spans="1:11" ht="16.5" customHeight="1">
      <c r="A14" s="31">
        <v>8</v>
      </c>
      <c r="B14" s="67" t="s">
        <v>85</v>
      </c>
      <c r="C14" s="16"/>
      <c r="D14" s="16">
        <v>155.84</v>
      </c>
      <c r="E14" s="13"/>
      <c r="F14" s="16">
        <v>104.714</v>
      </c>
      <c r="G14" s="17">
        <f t="shared" si="1"/>
        <v>67.19327515400411</v>
      </c>
      <c r="H14" s="17"/>
      <c r="I14" s="17">
        <f>D14/'численность 1'!K13*1000</f>
        <v>2397.5384615384614</v>
      </c>
      <c r="J14" s="13"/>
      <c r="K14" s="16">
        <v>31.422</v>
      </c>
    </row>
    <row r="15" spans="1:11" ht="16.5" customHeight="1">
      <c r="A15" s="31">
        <v>9</v>
      </c>
      <c r="B15" s="67" t="s">
        <v>70</v>
      </c>
      <c r="C15" s="16">
        <v>222.69</v>
      </c>
      <c r="D15" s="16">
        <v>222.768</v>
      </c>
      <c r="E15" s="17">
        <f t="shared" si="0"/>
        <v>100.03502626970229</v>
      </c>
      <c r="F15" s="16">
        <v>209.4</v>
      </c>
      <c r="G15" s="17">
        <f t="shared" si="1"/>
        <v>93.99913811678518</v>
      </c>
      <c r="H15" s="17">
        <f>C15/'численность 1'!J14*1000</f>
        <v>2855</v>
      </c>
      <c r="I15" s="17">
        <f>D15/'численность 1'!K14*1000</f>
        <v>2856</v>
      </c>
      <c r="J15" s="13">
        <f t="shared" si="2"/>
        <v>100.03502626970229</v>
      </c>
      <c r="K15" s="16"/>
    </row>
    <row r="16" spans="1:11" ht="16.5" customHeight="1">
      <c r="A16" s="31">
        <v>10</v>
      </c>
      <c r="B16" s="67" t="s">
        <v>61</v>
      </c>
      <c r="C16" s="16">
        <v>138.8</v>
      </c>
      <c r="D16" s="16">
        <v>151</v>
      </c>
      <c r="E16" s="13">
        <f t="shared" si="0"/>
        <v>108.78962536023053</v>
      </c>
      <c r="F16" s="16">
        <v>117</v>
      </c>
      <c r="G16" s="17">
        <f t="shared" si="1"/>
        <v>77.48344370860927</v>
      </c>
      <c r="H16" s="17">
        <f>C16/'численность 1'!J15*1000</f>
        <v>1388.0000000000002</v>
      </c>
      <c r="I16" s="13">
        <f>D16/'численность 1'!K15*1000</f>
        <v>1510</v>
      </c>
      <c r="J16" s="13">
        <f t="shared" si="2"/>
        <v>108.78962536023053</v>
      </c>
      <c r="K16" s="16"/>
    </row>
    <row r="17" spans="1:11" ht="16.5" customHeight="1">
      <c r="A17" s="31">
        <v>11</v>
      </c>
      <c r="B17" s="67" t="s">
        <v>62</v>
      </c>
      <c r="C17" s="16">
        <v>79.1</v>
      </c>
      <c r="D17" s="16">
        <v>69.7</v>
      </c>
      <c r="E17" s="13">
        <f t="shared" si="0"/>
        <v>88.11630847029079</v>
      </c>
      <c r="F17" s="16">
        <v>62.3</v>
      </c>
      <c r="G17" s="17">
        <f t="shared" si="1"/>
        <v>89.38307030129124</v>
      </c>
      <c r="H17" s="17">
        <f>C17/'численность 1'!J16*1000</f>
        <v>1883.3333333333333</v>
      </c>
      <c r="I17" s="13">
        <f>D17/'численность 1'!K16*1000</f>
        <v>1700.0000000000002</v>
      </c>
      <c r="J17" s="13">
        <f t="shared" si="2"/>
        <v>90.26548672566373</v>
      </c>
      <c r="K17" s="16"/>
    </row>
    <row r="18" spans="1:11" ht="57" customHeight="1">
      <c r="A18" s="155" t="s">
        <v>101</v>
      </c>
      <c r="B18" s="156"/>
      <c r="C18" s="16">
        <f>SUM(C7:C17)</f>
        <v>1856.09</v>
      </c>
      <c r="D18" s="68">
        <f>SUM(D7:D17)</f>
        <v>1846.768</v>
      </c>
      <c r="E18" s="13">
        <f>D18/C18*100</f>
        <v>99.49776142320685</v>
      </c>
      <c r="F18" s="68">
        <f>SUM(F7:F17)</f>
        <v>1557.286</v>
      </c>
      <c r="G18" s="13">
        <f>F18/D18*100</f>
        <v>84.32493957010301</v>
      </c>
      <c r="H18" s="13">
        <f>C18/'численность 1'!J19*1000</f>
        <v>1429.9614791987674</v>
      </c>
      <c r="I18" s="13">
        <f>D18/'численность 1'!K19*1000</f>
        <v>1466.8530579825258</v>
      </c>
      <c r="J18" s="13">
        <f t="shared" si="2"/>
        <v>102.57990018055796</v>
      </c>
      <c r="K18" s="68">
        <f>SUM(K7:K17)</f>
        <v>227.522</v>
      </c>
    </row>
    <row r="19" spans="1:11" ht="18">
      <c r="A19" s="200" t="s">
        <v>92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2"/>
    </row>
    <row r="20" spans="1:11" ht="17.25" customHeight="1">
      <c r="A20" s="121">
        <v>1</v>
      </c>
      <c r="B20" s="67" t="s">
        <v>70</v>
      </c>
      <c r="C20" s="121">
        <v>14.15</v>
      </c>
      <c r="D20" s="121">
        <v>31.929</v>
      </c>
      <c r="E20" s="13">
        <f>D20/C20*100</f>
        <v>225.6466431095406</v>
      </c>
      <c r="F20" s="121">
        <v>12.53</v>
      </c>
      <c r="G20" s="13">
        <f>F20/D20*100</f>
        <v>39.24332111873219</v>
      </c>
      <c r="H20" s="121">
        <f>C20*1000/50</f>
        <v>283</v>
      </c>
      <c r="I20" s="129">
        <f>D20*1000/82</f>
        <v>389.3780487804878</v>
      </c>
      <c r="J20" s="13">
        <f t="shared" si="2"/>
        <v>137.5894165302077</v>
      </c>
      <c r="K20" s="121"/>
    </row>
    <row r="21" spans="1:11" ht="37.5" customHeight="1">
      <c r="A21" s="194" t="s">
        <v>89</v>
      </c>
      <c r="B21" s="195"/>
      <c r="C21" s="121">
        <f>C18+C20</f>
        <v>1870.24</v>
      </c>
      <c r="D21" s="121">
        <f>D18+D20</f>
        <v>1878.6970000000001</v>
      </c>
      <c r="E21" s="13">
        <f>D21/C21*100</f>
        <v>100.45218795448714</v>
      </c>
      <c r="F21" s="121">
        <f>F18+F20</f>
        <v>1569.816</v>
      </c>
      <c r="G21" s="13">
        <f>F21/D21*100</f>
        <v>83.55876439894246</v>
      </c>
      <c r="H21" s="122" t="s">
        <v>93</v>
      </c>
      <c r="I21" s="122" t="s">
        <v>93</v>
      </c>
      <c r="J21" s="122" t="s">
        <v>93</v>
      </c>
      <c r="K21" s="121">
        <f>K18+K20</f>
        <v>227.522</v>
      </c>
    </row>
  </sheetData>
  <sheetProtection/>
  <mergeCells count="7">
    <mergeCell ref="A21:B21"/>
    <mergeCell ref="A3:A5"/>
    <mergeCell ref="B3:B5"/>
    <mergeCell ref="A18:B18"/>
    <mergeCell ref="C3:E3"/>
    <mergeCell ref="A6:K6"/>
    <mergeCell ref="A19:K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2012-07-03T11:09:57Z</cp:lastPrinted>
  <dcterms:created xsi:type="dcterms:W3CDTF">2002-11-05T10:10:22Z</dcterms:created>
  <dcterms:modified xsi:type="dcterms:W3CDTF">2012-09-11T05:54:58Z</dcterms:modified>
  <cp:category/>
  <cp:version/>
  <cp:contentType/>
  <cp:contentStatus/>
</cp:coreProperties>
</file>