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'молоко'!$A$1:$K$22</definedName>
    <definedName name="_xlnm.Print_Area" localSheetId="9">'мясо'!$A$1:$K$26</definedName>
    <definedName name="_xlnm.Print_Area" localSheetId="7">'на 100 га'!$A$1:$F$16</definedName>
    <definedName name="_xlnm.Print_Area" localSheetId="0">'пало1'!$A$1:$V$26</definedName>
    <definedName name="_xlnm.Print_Area" localSheetId="1">'привес'!$A$1:$T$23</definedName>
    <definedName name="_xlnm.Print_Area" localSheetId="6">'приплод 1'!$A$1:$N$19</definedName>
    <definedName name="_xlnm.Print_Area" localSheetId="4">'приплод 2'!$A$1:$N$13</definedName>
    <definedName name="_xlnm.Print_Area" localSheetId="5">'случка'!$A$1:$N$19</definedName>
    <definedName name="_xlnm.Print_Area" localSheetId="3">'численность 1'!$A$1:$U$26</definedName>
    <definedName name="_xlnm.Print_Area" localSheetId="2">'численность 2'!$A$1:$K$26</definedName>
  </definedNames>
  <calcPr fullCalcOnLoad="1"/>
</workbook>
</file>

<file path=xl/sharedStrings.xml><?xml version="1.0" encoding="utf-8"?>
<sst xmlns="http://schemas.openxmlformats.org/spreadsheetml/2006/main" count="316" uniqueCount="123">
  <si>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</si>
  <si>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</si>
  <si>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</si>
  <si>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</si>
  <si>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</si>
  <si>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</si>
  <si>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</si>
  <si>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</si>
  <si>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</si>
  <si>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</si>
  <si>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</si>
  <si>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</si>
  <si>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</si>
  <si>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</si>
  <si>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</si>
  <si>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</si>
  <si>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</si>
  <si>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</si>
  <si>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</si>
  <si>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</si>
  <si>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</si>
  <si>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</si>
  <si>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</si>
  <si>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</si>
  <si>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</si>
  <si>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</si>
  <si>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</si>
  <si>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</si>
  <si>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</si>
  <si>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</si>
  <si>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</si>
  <si>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</si>
  <si>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</si>
  <si>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</si>
  <si>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</si>
  <si>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</si>
  <si>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</si>
  <si>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</si>
  <si>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</si>
  <si>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</si>
  <si>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</si>
  <si>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</si>
  <si>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</si>
  <si>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</si>
  <si>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</si>
  <si>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</si>
  <si>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</si>
  <si>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</si>
  <si>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</si>
  <si>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</si>
  <si>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</si>
  <si>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</si>
  <si>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</si>
  <si>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</si>
  <si>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</si>
  <si>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</si>
  <si>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</si>
  <si>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</si>
  <si>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</si>
  <si>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</si>
  <si>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</si>
  <si>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</si>
  <si>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</si>
  <si>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</si>
  <si>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</si>
  <si>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</si>
  <si>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</si>
  <si>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</si>
  <si>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</si>
  <si>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</si>
  <si>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</si>
  <si>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</si>
  <si>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</si>
  <si>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</si>
  <si>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</si>
  <si>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</si>
  <si>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</si>
  <si>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</si>
  <si>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</si>
  <si>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</si>
  <si>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</si>
  <si>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</si>
  <si>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</si>
  <si>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</si>
  <si>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</si>
  <si>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</si>
  <si>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</si>
  <si>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</si>
  <si>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</si>
  <si>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</si>
  <si>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</si>
  <si>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Итого в сельскохозяйственных организациях района</t>
  </si>
  <si>
    <t>Итого по сельскохозяйственным оргаизациям по району</t>
  </si>
  <si>
    <t>Итого по сельскохозяйственным организациям района</t>
  </si>
  <si>
    <t xml:space="preserve">                      </t>
  </si>
  <si>
    <t xml:space="preserve">    Производство мяса и молока на 100 га с/х угодий</t>
  </si>
  <si>
    <t>КФХ Николаев Н.С.</t>
  </si>
  <si>
    <t>Итого по К(Ф)(Х</t>
  </si>
  <si>
    <t>К(Ф)Х Николаев Н.С.</t>
  </si>
  <si>
    <t>КФХ Акимов И.К.</t>
  </si>
  <si>
    <t>ЗАО "Агрофирма "Климовская"</t>
  </si>
  <si>
    <t>маточное поголовье овец и коз на отчетную дату</t>
  </si>
  <si>
    <t>2013 в %</t>
  </si>
  <si>
    <t>к 20121 г.</t>
  </si>
  <si>
    <t>к 2012 г.</t>
  </si>
  <si>
    <t>к 2012г.</t>
  </si>
  <si>
    <t>2012 г.</t>
  </si>
  <si>
    <t>с 2012 г.</t>
  </si>
  <si>
    <t>разница с 2012г.</t>
  </si>
  <si>
    <t>в % к 2012 г.</t>
  </si>
  <si>
    <t>2013 к 2012 г. %</t>
  </si>
  <si>
    <t xml:space="preserve"> всего усл. гол.</t>
  </si>
  <si>
    <t>КФХ Хайбуллин Ф.И.</t>
  </si>
  <si>
    <t>Пало, погибло, куплено и продано  сельскохозяйственных животных за январь-июль 2013 года по Ибресинскому.р-ну</t>
  </si>
  <si>
    <t>Показатели получения привесов за январь-июль 2013 года по Ибресинскому району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</si>
  <si>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1.08.2013 г., (голов)</t>
    </r>
  </si>
  <si>
    <t xml:space="preserve"> Численность скота по Ибресинскому району на 1.08.2013 г., (голов)</t>
  </si>
  <si>
    <t>Поступление приплода (поросят) за январь-июль 2012 года по Ибресинкому  району</t>
  </si>
  <si>
    <t>Случено и осеменено за январь-июль 2012 года по Ибресинскому району</t>
  </si>
  <si>
    <t>Поступление приплода (телят) за январь-июль 2013 года по Ибресинскому  району</t>
  </si>
  <si>
    <t xml:space="preserve">по Ибресинскому району за январь-июль 2013  года </t>
  </si>
  <si>
    <t>Производство молока за  январь-июль 2013 года по Ибресинскому району</t>
  </si>
  <si>
    <t xml:space="preserve">   Производство мяса за январь-июль 2013 года по Ибресинскому району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</si>
</sst>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00390625" defaultRowHeight="12.75"/>
  <cols>
    <col min="1" max="1" width="4.00390625" style="70" customWidth="1"/>
    <col min="2" max="2" width="34.375" style="70" customWidth="1"/>
    <col min="3" max="4" width="8.75390625" style="70" customWidth="1"/>
    <col min="5" max="5" width="10.375" style="70" customWidth="1"/>
    <col min="6" max="7" width="8.75390625" style="70" customWidth="1"/>
    <col min="8" max="8" width="10.75390625" style="70" customWidth="1"/>
    <col min="9" max="14" width="8.75390625" style="70" customWidth="1"/>
    <col min="15" max="15" width="8.875" style="70" customWidth="1"/>
    <col min="16" max="18" width="8.75390625" style="70" customWidth="1"/>
    <col min="19" max="19" width="8.875" style="70" customWidth="1"/>
    <col min="20" max="20" width="8.75390625" style="70" customWidth="1"/>
    <col min="21" max="21" width="8.875" style="70" customWidth="1"/>
    <col min="22" max="22" width="8.75390625" style="70" customWidth="1"/>
    <col min="23" max="16384" width="9.125" style="70" customWidth="1"/>
  </cols>
  <sheetData>
    <row r="1" spans="3:18" ht="15.75">
      <c r="C1" s="153" t="s">
        <v>113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3:10" ht="15">
      <c r="C2" s="71"/>
      <c r="D2" s="71"/>
      <c r="E2" s="71"/>
      <c r="F2" s="71"/>
      <c r="G2" s="71"/>
      <c r="H2" s="71"/>
      <c r="I2" s="71"/>
      <c r="J2" s="71"/>
    </row>
    <row r="3" spans="1:22" s="20" customFormat="1" ht="18.75" customHeight="1">
      <c r="A3" s="34" t="s">
        <v>2</v>
      </c>
      <c r="B3" s="23" t="s">
        <v>3</v>
      </c>
      <c r="C3" s="146" t="s">
        <v>36</v>
      </c>
      <c r="D3" s="147"/>
      <c r="E3" s="148"/>
      <c r="F3" s="146" t="s">
        <v>50</v>
      </c>
      <c r="G3" s="147"/>
      <c r="H3" s="148"/>
      <c r="I3" s="146" t="s">
        <v>38</v>
      </c>
      <c r="J3" s="147"/>
      <c r="K3" s="147"/>
      <c r="L3" s="147"/>
      <c r="M3" s="147"/>
      <c r="N3" s="147"/>
      <c r="O3" s="147"/>
      <c r="P3" s="148"/>
      <c r="Q3" s="146" t="s">
        <v>39</v>
      </c>
      <c r="R3" s="147"/>
      <c r="S3" s="147"/>
      <c r="T3" s="147"/>
      <c r="U3" s="147"/>
      <c r="V3" s="147"/>
    </row>
    <row r="4" spans="1:22" s="20" customFormat="1" ht="18.75" customHeight="1">
      <c r="A4" s="39"/>
      <c r="B4" s="33"/>
      <c r="C4" s="145">
        <v>2012</v>
      </c>
      <c r="D4" s="145">
        <v>2013</v>
      </c>
      <c r="E4" s="104" t="s">
        <v>37</v>
      </c>
      <c r="F4" s="156">
        <v>2012</v>
      </c>
      <c r="G4" s="145">
        <v>2013</v>
      </c>
      <c r="H4" s="104" t="s">
        <v>37</v>
      </c>
      <c r="I4" s="145" t="s">
        <v>80</v>
      </c>
      <c r="J4" s="145"/>
      <c r="K4" s="145" t="s">
        <v>79</v>
      </c>
      <c r="L4" s="145"/>
      <c r="M4" s="145" t="s">
        <v>75</v>
      </c>
      <c r="N4" s="145"/>
      <c r="O4" s="145" t="s">
        <v>76</v>
      </c>
      <c r="P4" s="145"/>
      <c r="Q4" s="145" t="s">
        <v>78</v>
      </c>
      <c r="R4" s="145"/>
      <c r="S4" s="145" t="s">
        <v>79</v>
      </c>
      <c r="T4" s="145"/>
      <c r="U4" s="145" t="s">
        <v>76</v>
      </c>
      <c r="V4" s="145"/>
    </row>
    <row r="5" spans="1:22" s="20" customFormat="1" ht="18.75" customHeight="1">
      <c r="A5" s="30"/>
      <c r="B5" s="29"/>
      <c r="C5" s="145"/>
      <c r="D5" s="145"/>
      <c r="E5" s="140" t="s">
        <v>107</v>
      </c>
      <c r="F5" s="157"/>
      <c r="G5" s="145"/>
      <c r="H5" s="140" t="s">
        <v>107</v>
      </c>
      <c r="I5" s="105">
        <v>2012</v>
      </c>
      <c r="J5" s="106">
        <v>2013</v>
      </c>
      <c r="K5" s="105">
        <v>2012</v>
      </c>
      <c r="L5" s="106">
        <v>2013</v>
      </c>
      <c r="M5" s="105">
        <v>2012</v>
      </c>
      <c r="N5" s="106">
        <v>2013</v>
      </c>
      <c r="O5" s="105">
        <v>2012</v>
      </c>
      <c r="P5" s="106">
        <v>2013</v>
      </c>
      <c r="Q5" s="105">
        <v>2012</v>
      </c>
      <c r="R5" s="106">
        <v>2013</v>
      </c>
      <c r="S5" s="105">
        <v>2012</v>
      </c>
      <c r="T5" s="106">
        <v>2013</v>
      </c>
      <c r="U5" s="105">
        <v>2012</v>
      </c>
      <c r="V5" s="106">
        <v>2013</v>
      </c>
    </row>
    <row r="6" spans="1:22" s="20" customFormat="1" ht="15" customHeight="1">
      <c r="A6" s="31">
        <v>1</v>
      </c>
      <c r="B6" s="31" t="s">
        <v>53</v>
      </c>
      <c r="C6" s="3"/>
      <c r="D6" s="3"/>
      <c r="E6" s="11">
        <f aca="true" t="shared" si="0" ref="E6:E25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20" customFormat="1" ht="13.5" customHeight="1">
      <c r="A7" s="31">
        <v>2</v>
      </c>
      <c r="B7" s="31" t="s">
        <v>54</v>
      </c>
      <c r="C7" s="3"/>
      <c r="D7" s="3">
        <v>8</v>
      </c>
      <c r="E7" s="11">
        <f t="shared" si="0"/>
        <v>8</v>
      </c>
      <c r="F7" s="3"/>
      <c r="G7" s="3"/>
      <c r="H7" s="3"/>
      <c r="I7" s="3"/>
      <c r="J7" s="3">
        <v>1</v>
      </c>
      <c r="K7" s="3"/>
      <c r="L7" s="3"/>
      <c r="M7" s="3"/>
      <c r="N7" s="3"/>
      <c r="O7" s="3"/>
      <c r="P7" s="3"/>
      <c r="Q7" s="3">
        <v>42</v>
      </c>
      <c r="R7" s="3">
        <v>21</v>
      </c>
      <c r="S7" s="3"/>
      <c r="T7" s="3"/>
      <c r="U7" s="3"/>
      <c r="V7" s="3"/>
    </row>
    <row r="8" spans="1:22" s="20" customFormat="1" ht="13.5" customHeight="1">
      <c r="A8" s="31">
        <v>3</v>
      </c>
      <c r="B8" s="31" t="s">
        <v>55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19</v>
      </c>
      <c r="R8" s="3">
        <v>22</v>
      </c>
      <c r="S8" s="3"/>
      <c r="T8" s="3"/>
      <c r="U8" s="3"/>
      <c r="V8" s="3"/>
    </row>
    <row r="9" spans="1:22" s="20" customFormat="1" ht="12.75" customHeight="1">
      <c r="A9" s="31">
        <v>4</v>
      </c>
      <c r="B9" s="22" t="s">
        <v>56</v>
      </c>
      <c r="C9" s="3">
        <v>5</v>
      </c>
      <c r="D9" s="3">
        <v>2</v>
      </c>
      <c r="E9" s="11">
        <f t="shared" si="0"/>
        <v>-3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>
        <v>497</v>
      </c>
      <c r="T9" s="3">
        <v>314</v>
      </c>
      <c r="U9" s="3"/>
      <c r="V9" s="3"/>
    </row>
    <row r="10" spans="1:22" s="20" customFormat="1" ht="13.5" customHeight="1">
      <c r="A10" s="31">
        <v>5</v>
      </c>
      <c r="B10" s="91" t="s">
        <v>57</v>
      </c>
      <c r="C10" s="3">
        <v>3</v>
      </c>
      <c r="D10" s="3">
        <v>2</v>
      </c>
      <c r="E10" s="11">
        <f t="shared" si="0"/>
        <v>-1</v>
      </c>
      <c r="F10" s="3">
        <v>6</v>
      </c>
      <c r="G10" s="3"/>
      <c r="H10" s="3">
        <f>G10-F10</f>
        <v>-6</v>
      </c>
      <c r="I10" s="3"/>
      <c r="J10" s="3"/>
      <c r="K10" s="3"/>
      <c r="L10" s="3">
        <v>2</v>
      </c>
      <c r="M10" s="3"/>
      <c r="N10" s="3"/>
      <c r="O10" s="3"/>
      <c r="P10" s="3"/>
      <c r="Q10" s="3"/>
      <c r="R10" s="3">
        <v>9</v>
      </c>
      <c r="S10" s="3">
        <v>46</v>
      </c>
      <c r="T10" s="3">
        <v>54</v>
      </c>
      <c r="U10" s="3"/>
      <c r="V10" s="3"/>
    </row>
    <row r="11" spans="1:22" s="20" customFormat="1" ht="12.75" customHeight="1">
      <c r="A11" s="31">
        <v>6</v>
      </c>
      <c r="B11" s="32" t="s">
        <v>68</v>
      </c>
      <c r="C11" s="3">
        <v>2</v>
      </c>
      <c r="D11" s="3">
        <v>3</v>
      </c>
      <c r="E11" s="11">
        <f t="shared" si="0"/>
        <v>1</v>
      </c>
      <c r="F11" s="3"/>
      <c r="G11" s="3"/>
      <c r="H11" s="3"/>
      <c r="I11" s="87"/>
      <c r="J11" s="87"/>
      <c r="K11" s="87"/>
      <c r="L11" s="87"/>
      <c r="M11" s="87"/>
      <c r="N11" s="87"/>
      <c r="O11" s="87"/>
      <c r="P11" s="87"/>
      <c r="Q11" s="87">
        <v>22</v>
      </c>
      <c r="R11" s="87">
        <v>12</v>
      </c>
      <c r="S11" s="87"/>
      <c r="T11" s="87"/>
      <c r="U11" s="87"/>
      <c r="V11" s="87"/>
    </row>
    <row r="12" spans="1:22" s="20" customFormat="1" ht="12.75" customHeight="1">
      <c r="A12" s="31">
        <v>8</v>
      </c>
      <c r="B12" s="32" t="s">
        <v>81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14"/>
      <c r="S12" s="3"/>
      <c r="T12" s="3"/>
      <c r="U12" s="3"/>
      <c r="V12" s="3"/>
    </row>
    <row r="13" spans="1:22" s="20" customFormat="1" ht="13.5" customHeight="1">
      <c r="A13" s="31">
        <v>9</v>
      </c>
      <c r="B13" s="32" t="s">
        <v>67</v>
      </c>
      <c r="C13" s="3"/>
      <c r="D13" s="3"/>
      <c r="E13" s="11">
        <f t="shared" si="0"/>
        <v>0</v>
      </c>
      <c r="F13" s="3"/>
      <c r="G13" s="3"/>
      <c r="H13" s="3"/>
      <c r="I13" s="3">
        <v>1</v>
      </c>
      <c r="J13" s="3"/>
      <c r="K13" s="3"/>
      <c r="L13" s="3"/>
      <c r="M13" s="3"/>
      <c r="N13" s="3"/>
      <c r="O13" s="3"/>
      <c r="P13" s="3"/>
      <c r="Q13" s="3">
        <v>1</v>
      </c>
      <c r="R13" s="3">
        <v>58</v>
      </c>
      <c r="S13" s="3"/>
      <c r="T13" s="3"/>
      <c r="U13" s="3">
        <v>58</v>
      </c>
      <c r="V13" s="3">
        <v>11</v>
      </c>
    </row>
    <row r="14" spans="1:22" s="20" customFormat="1" ht="12.75" customHeight="1">
      <c r="A14" s="31">
        <v>10</v>
      </c>
      <c r="B14" s="31" t="s">
        <v>58</v>
      </c>
      <c r="C14" s="3"/>
      <c r="D14" s="3">
        <v>2</v>
      </c>
      <c r="E14" s="11">
        <f t="shared" si="0"/>
        <v>2</v>
      </c>
      <c r="F14" s="3"/>
      <c r="G14" s="3"/>
      <c r="H14" s="3"/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20" customFormat="1" ht="12.75" customHeight="1">
      <c r="A15" s="31">
        <v>11</v>
      </c>
      <c r="B15" s="31" t="s">
        <v>59</v>
      </c>
      <c r="C15" s="3"/>
      <c r="D15" s="3">
        <v>2</v>
      </c>
      <c r="E15" s="11">
        <f t="shared" si="0"/>
        <v>2</v>
      </c>
      <c r="F15" s="3"/>
      <c r="G15" s="3"/>
      <c r="H15" s="3"/>
      <c r="I15" s="3"/>
      <c r="J15" s="3">
        <v>27</v>
      </c>
      <c r="K15" s="3"/>
      <c r="L15" s="3"/>
      <c r="M15" s="3"/>
      <c r="N15" s="3"/>
      <c r="O15" s="3"/>
      <c r="P15" s="3"/>
      <c r="Q15" s="3">
        <v>2</v>
      </c>
      <c r="R15" s="3">
        <v>26</v>
      </c>
      <c r="S15" s="3"/>
      <c r="T15" s="3"/>
      <c r="U15" s="3"/>
      <c r="V15" s="3"/>
    </row>
    <row r="16" spans="1:22" s="20" customFormat="1" ht="12.75" customHeight="1">
      <c r="A16" s="31">
        <v>12</v>
      </c>
      <c r="B16" s="31" t="s">
        <v>60</v>
      </c>
      <c r="C16" s="3"/>
      <c r="D16" s="3"/>
      <c r="E16" s="11"/>
      <c r="F16" s="3">
        <v>326</v>
      </c>
      <c r="G16" s="3">
        <v>331</v>
      </c>
      <c r="H16" s="3">
        <f>G16-F16</f>
        <v>5</v>
      </c>
      <c r="I16" s="3"/>
      <c r="J16" s="3"/>
      <c r="K16" s="3">
        <v>8</v>
      </c>
      <c r="L16" s="114">
        <v>4</v>
      </c>
      <c r="M16" s="3"/>
      <c r="N16" s="3"/>
      <c r="O16" s="3"/>
      <c r="P16" s="3"/>
      <c r="Q16" s="3"/>
      <c r="R16" s="3"/>
      <c r="S16" s="3">
        <v>1953</v>
      </c>
      <c r="T16" s="3">
        <v>1733</v>
      </c>
      <c r="U16" s="3"/>
      <c r="V16" s="3"/>
    </row>
    <row r="17" spans="1:22" s="20" customFormat="1" ht="12.75" customHeight="1">
      <c r="A17" s="31">
        <v>13</v>
      </c>
      <c r="B17" s="32" t="s">
        <v>66</v>
      </c>
      <c r="C17" s="3"/>
      <c r="D17" s="3"/>
      <c r="E17" s="11"/>
      <c r="F17" s="3"/>
      <c r="G17" s="3"/>
      <c r="H17" s="3"/>
      <c r="I17" s="3"/>
      <c r="J17" s="3"/>
      <c r="K17" s="3"/>
      <c r="L17" s="3"/>
      <c r="M17" s="3"/>
      <c r="N17" s="3">
        <v>2</v>
      </c>
      <c r="O17" s="3"/>
      <c r="P17" s="3"/>
      <c r="Q17" s="3"/>
      <c r="R17" s="3"/>
      <c r="S17" s="3"/>
      <c r="T17" s="3"/>
      <c r="U17" s="3"/>
      <c r="V17" s="3"/>
    </row>
    <row r="18" spans="1:22" s="20" customFormat="1" ht="12.75" customHeight="1">
      <c r="A18" s="31">
        <v>14</v>
      </c>
      <c r="B18" s="32" t="s">
        <v>100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20" customFormat="1" ht="44.25" customHeight="1">
      <c r="A19" s="154" t="s">
        <v>93</v>
      </c>
      <c r="B19" s="155"/>
      <c r="C19" s="3">
        <f>SUM(C6:C17)</f>
        <v>10</v>
      </c>
      <c r="D19" s="3">
        <f>SUM(D6:D17)</f>
        <v>19</v>
      </c>
      <c r="E19" s="11">
        <f t="shared" si="0"/>
        <v>9</v>
      </c>
      <c r="F19" s="3">
        <f>SUM(F10:F17)</f>
        <v>332</v>
      </c>
      <c r="G19" s="3">
        <f>SUM(G10:G17)</f>
        <v>331</v>
      </c>
      <c r="H19" s="3">
        <f>G19-F19</f>
        <v>-1</v>
      </c>
      <c r="I19" s="3">
        <f>SUM(I6:I17)</f>
        <v>2</v>
      </c>
      <c r="J19" s="3">
        <f aca="true" t="shared" si="1" ref="J19:T19">SUM(J6:J17)</f>
        <v>28</v>
      </c>
      <c r="K19" s="3">
        <f t="shared" si="1"/>
        <v>8</v>
      </c>
      <c r="L19" s="3">
        <f t="shared" si="1"/>
        <v>6</v>
      </c>
      <c r="M19" s="3">
        <f t="shared" si="1"/>
        <v>0</v>
      </c>
      <c r="N19" s="3">
        <f t="shared" si="1"/>
        <v>2</v>
      </c>
      <c r="O19" s="3">
        <f t="shared" si="1"/>
        <v>0</v>
      </c>
      <c r="P19" s="3">
        <f t="shared" si="1"/>
        <v>0</v>
      </c>
      <c r="Q19" s="3">
        <f t="shared" si="1"/>
        <v>86</v>
      </c>
      <c r="R19" s="3">
        <f t="shared" si="1"/>
        <v>148</v>
      </c>
      <c r="S19" s="3">
        <f t="shared" si="1"/>
        <v>2496</v>
      </c>
      <c r="T19" s="3">
        <f t="shared" si="1"/>
        <v>2101</v>
      </c>
      <c r="U19" s="3">
        <f>SUM(U6:U17)</f>
        <v>58</v>
      </c>
      <c r="V19" s="3">
        <f>SUM(V6:V17)</f>
        <v>11</v>
      </c>
    </row>
    <row r="20" spans="1:22" s="20" customFormat="1" ht="14.25" customHeight="1">
      <c r="A20" s="127">
        <v>1</v>
      </c>
      <c r="B20" s="32" t="s">
        <v>96</v>
      </c>
      <c r="C20" s="3"/>
      <c r="D20" s="3"/>
      <c r="E20" s="11"/>
      <c r="F20" s="3"/>
      <c r="G20" s="3"/>
      <c r="H20" s="3"/>
      <c r="I20" s="3"/>
      <c r="J20" s="3">
        <v>1</v>
      </c>
      <c r="K20" s="3"/>
      <c r="L20" s="3"/>
      <c r="M20" s="3"/>
      <c r="N20" s="3"/>
      <c r="O20" s="3"/>
      <c r="P20" s="3"/>
      <c r="Q20" s="3"/>
      <c r="R20" s="3">
        <v>4</v>
      </c>
      <c r="S20" s="3"/>
      <c r="T20" s="3"/>
      <c r="U20" s="3"/>
      <c r="V20" s="3"/>
    </row>
    <row r="21" spans="1:22" s="20" customFormat="1" ht="14.25" customHeight="1">
      <c r="A21" s="127">
        <v>2</v>
      </c>
      <c r="B21" s="32" t="s">
        <v>112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20" customFormat="1" ht="12.75" customHeight="1">
      <c r="A22" s="31">
        <v>3</v>
      </c>
      <c r="B22" s="32" t="s">
        <v>99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87"/>
      <c r="N22" s="3"/>
      <c r="O22" s="3"/>
      <c r="P22" s="3"/>
      <c r="Q22" s="3"/>
      <c r="R22" s="3"/>
      <c r="S22" s="125"/>
      <c r="T22" s="3"/>
      <c r="U22" s="3"/>
      <c r="V22" s="3"/>
    </row>
    <row r="23" spans="1:22" s="20" customFormat="1" ht="12.75" customHeight="1">
      <c r="A23" s="31">
        <v>4</v>
      </c>
      <c r="B23" s="32" t="s">
        <v>77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87"/>
      <c r="N23" s="3"/>
      <c r="O23" s="3"/>
      <c r="P23" s="3"/>
      <c r="Q23" s="3"/>
      <c r="R23" s="3"/>
      <c r="S23" s="125"/>
      <c r="T23" s="3"/>
      <c r="U23" s="3"/>
      <c r="V23" s="3"/>
    </row>
    <row r="24" spans="1:22" s="20" customFormat="1" ht="12.75" customHeight="1">
      <c r="A24" s="31">
        <v>5</v>
      </c>
      <c r="B24" s="32" t="s">
        <v>82</v>
      </c>
      <c r="C24" s="3"/>
      <c r="D24" s="3"/>
      <c r="E24" s="11"/>
      <c r="F24" s="3"/>
      <c r="G24" s="3"/>
      <c r="H24" s="3"/>
      <c r="I24" s="3"/>
      <c r="J24" s="3"/>
      <c r="K24" s="3"/>
      <c r="L24" s="3"/>
      <c r="M24" s="87"/>
      <c r="N24" s="3"/>
      <c r="O24" s="3"/>
      <c r="P24" s="3"/>
      <c r="Q24" s="3"/>
      <c r="R24" s="3"/>
      <c r="S24" s="125"/>
      <c r="T24" s="3"/>
      <c r="U24" s="3"/>
      <c r="V24" s="3"/>
    </row>
    <row r="25" spans="1:22" s="20" customFormat="1" ht="30" customHeight="1">
      <c r="A25" s="151" t="s">
        <v>84</v>
      </c>
      <c r="B25" s="152"/>
      <c r="C25" s="3">
        <f>SUM(C22:C24)</f>
        <v>0</v>
      </c>
      <c r="D25" s="3">
        <f>SUM(D22:D24)</f>
        <v>0</v>
      </c>
      <c r="E25" s="11">
        <f t="shared" si="0"/>
        <v>0</v>
      </c>
      <c r="F25" s="3">
        <f aca="true" t="shared" si="2" ref="F25:T25">SUM(F22:F24)</f>
        <v>0</v>
      </c>
      <c r="G25" s="3">
        <f t="shared" si="2"/>
        <v>0</v>
      </c>
      <c r="H25" s="3">
        <f>G25-F25</f>
        <v>0</v>
      </c>
      <c r="I25" s="3">
        <f t="shared" si="2"/>
        <v>0</v>
      </c>
      <c r="J25" s="3">
        <f>SUM(J20:J24)</f>
        <v>1</v>
      </c>
      <c r="K25" s="3">
        <f t="shared" si="2"/>
        <v>0</v>
      </c>
      <c r="L25" s="3">
        <f t="shared" si="2"/>
        <v>0</v>
      </c>
      <c r="M25" s="3">
        <f t="shared" si="2"/>
        <v>0</v>
      </c>
      <c r="N25" s="3">
        <f t="shared" si="2"/>
        <v>0</v>
      </c>
      <c r="O25" s="3">
        <f t="shared" si="2"/>
        <v>0</v>
      </c>
      <c r="P25" s="3">
        <f t="shared" si="2"/>
        <v>0</v>
      </c>
      <c r="Q25" s="3">
        <f t="shared" si="2"/>
        <v>0</v>
      </c>
      <c r="R25" s="3">
        <f t="shared" si="2"/>
        <v>0</v>
      </c>
      <c r="S25" s="3">
        <f t="shared" si="2"/>
        <v>0</v>
      </c>
      <c r="T25" s="3">
        <f t="shared" si="2"/>
        <v>0</v>
      </c>
      <c r="U25" s="3">
        <f>SUM(U22:U24)</f>
        <v>0</v>
      </c>
      <c r="V25" s="3">
        <f>SUM(V22:V24)</f>
        <v>0</v>
      </c>
    </row>
    <row r="26" spans="1:22" s="20" customFormat="1" ht="37.5" customHeight="1">
      <c r="A26" s="149" t="s">
        <v>85</v>
      </c>
      <c r="B26" s="150"/>
      <c r="C26" s="3">
        <f>C25+C19</f>
        <v>10</v>
      </c>
      <c r="D26" s="3">
        <f>D25+D19</f>
        <v>19</v>
      </c>
      <c r="E26" s="11">
        <f>D26-C26</f>
        <v>9</v>
      </c>
      <c r="F26" s="3">
        <f>F25+F19</f>
        <v>332</v>
      </c>
      <c r="G26" s="3">
        <f>G25+G19</f>
        <v>331</v>
      </c>
      <c r="H26" s="3">
        <f>G26-F26</f>
        <v>-1</v>
      </c>
      <c r="I26" s="3">
        <f aca="true" t="shared" si="3" ref="I26:V26">I25+I19</f>
        <v>2</v>
      </c>
      <c r="J26" s="3">
        <f t="shared" si="3"/>
        <v>29</v>
      </c>
      <c r="K26" s="3">
        <f t="shared" si="3"/>
        <v>8</v>
      </c>
      <c r="L26" s="3">
        <f t="shared" si="3"/>
        <v>6</v>
      </c>
      <c r="M26" s="3">
        <f t="shared" si="3"/>
        <v>0</v>
      </c>
      <c r="N26" s="3">
        <f t="shared" si="3"/>
        <v>2</v>
      </c>
      <c r="O26" s="3">
        <f t="shared" si="3"/>
        <v>0</v>
      </c>
      <c r="P26" s="3">
        <f t="shared" si="3"/>
        <v>0</v>
      </c>
      <c r="Q26" s="3">
        <f t="shared" si="3"/>
        <v>86</v>
      </c>
      <c r="R26" s="3">
        <f t="shared" si="3"/>
        <v>148</v>
      </c>
      <c r="S26" s="3">
        <f t="shared" si="3"/>
        <v>2496</v>
      </c>
      <c r="T26" s="3">
        <f t="shared" si="3"/>
        <v>2101</v>
      </c>
      <c r="U26" s="3">
        <f t="shared" si="3"/>
        <v>58</v>
      </c>
      <c r="V26" s="3">
        <f t="shared" si="3"/>
        <v>11</v>
      </c>
    </row>
  </sheetData>
  <sheetProtection/>
  <mergeCells count="19">
    <mergeCell ref="C1:R1"/>
    <mergeCell ref="F3:H3"/>
    <mergeCell ref="C3:E3"/>
    <mergeCell ref="A19:B19"/>
    <mergeCell ref="F4:F5"/>
    <mergeCell ref="C4:C5"/>
    <mergeCell ref="I4:J4"/>
    <mergeCell ref="K4:L4"/>
    <mergeCell ref="M4:N4"/>
    <mergeCell ref="A26:B26"/>
    <mergeCell ref="A25:B25"/>
    <mergeCell ref="G4:G5"/>
    <mergeCell ref="D4:D5"/>
    <mergeCell ref="Q4:R4"/>
    <mergeCell ref="S4:T4"/>
    <mergeCell ref="O4:P4"/>
    <mergeCell ref="U4:V4"/>
    <mergeCell ref="Q3:V3"/>
    <mergeCell ref="I3:P3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75" zoomScaleNormal="65" zoomScaleSheetLayoutView="75" zoomScalePageLayoutView="0" workbookViewId="0" topLeftCell="A1">
      <selection activeCell="J22" sqref="J22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93" t="s">
        <v>122</v>
      </c>
      <c r="D1" s="93"/>
      <c r="E1" s="93"/>
      <c r="F1" s="93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169" t="s">
        <v>2</v>
      </c>
      <c r="B3" s="169" t="s">
        <v>3</v>
      </c>
      <c r="C3" s="24" t="s">
        <v>17</v>
      </c>
      <c r="D3" s="25"/>
      <c r="E3" s="27"/>
      <c r="F3" s="24"/>
      <c r="G3" s="25"/>
      <c r="H3" s="25" t="s">
        <v>18</v>
      </c>
      <c r="I3" s="25"/>
      <c r="J3" s="25"/>
      <c r="K3" s="27"/>
      <c r="L3" s="20"/>
      <c r="M3" s="20"/>
    </row>
    <row r="4" spans="1:13" ht="15">
      <c r="A4" s="225"/>
      <c r="B4" s="225"/>
      <c r="C4" s="18">
        <v>2012</v>
      </c>
      <c r="D4" s="19">
        <v>2013</v>
      </c>
      <c r="E4" s="19" t="s">
        <v>102</v>
      </c>
      <c r="F4" s="24" t="s">
        <v>21</v>
      </c>
      <c r="G4" s="27"/>
      <c r="H4" s="24" t="s">
        <v>19</v>
      </c>
      <c r="I4" s="27"/>
      <c r="J4" s="24" t="s">
        <v>20</v>
      </c>
      <c r="K4" s="27"/>
      <c r="L4" s="20"/>
      <c r="M4" s="20"/>
    </row>
    <row r="5" spans="1:13" ht="15">
      <c r="A5" s="170"/>
      <c r="B5" s="170"/>
      <c r="C5" s="40"/>
      <c r="D5" s="11"/>
      <c r="E5" s="11" t="s">
        <v>103</v>
      </c>
      <c r="F5" s="18">
        <v>2012</v>
      </c>
      <c r="G5" s="19">
        <v>2013</v>
      </c>
      <c r="H5" s="18">
        <v>2012</v>
      </c>
      <c r="I5" s="19">
        <v>2013</v>
      </c>
      <c r="J5" s="18">
        <v>2012</v>
      </c>
      <c r="K5" s="19">
        <v>2013</v>
      </c>
      <c r="L5" s="20"/>
      <c r="M5" s="20"/>
    </row>
    <row r="6" spans="1:13" ht="16.5">
      <c r="A6" s="31">
        <v>1</v>
      </c>
      <c r="B6" s="31" t="s">
        <v>53</v>
      </c>
      <c r="C6" s="82">
        <v>24.7</v>
      </c>
      <c r="D6" s="82">
        <v>11.3</v>
      </c>
      <c r="E6" s="81">
        <f aca="true" t="shared" si="0" ref="E6:E17">D6*100/C6</f>
        <v>45.74898785425101</v>
      </c>
      <c r="F6" s="82">
        <v>24.7</v>
      </c>
      <c r="G6" s="82">
        <v>10.5</v>
      </c>
      <c r="H6" s="82"/>
      <c r="I6" s="82"/>
      <c r="J6" s="82"/>
      <c r="K6" s="82">
        <v>0.8</v>
      </c>
      <c r="L6" s="20"/>
      <c r="M6" s="20"/>
    </row>
    <row r="7" spans="1:13" ht="16.5">
      <c r="A7" s="31">
        <v>2</v>
      </c>
      <c r="B7" s="31" t="s">
        <v>54</v>
      </c>
      <c r="C7" s="82">
        <v>4.73</v>
      </c>
      <c r="D7" s="82">
        <v>6.767</v>
      </c>
      <c r="E7" s="81">
        <f t="shared" si="0"/>
        <v>143.06553911205074</v>
      </c>
      <c r="F7" s="82">
        <v>4.73</v>
      </c>
      <c r="G7" s="82">
        <v>6.767</v>
      </c>
      <c r="H7" s="82"/>
      <c r="I7" s="82"/>
      <c r="J7" s="82"/>
      <c r="K7" s="82"/>
      <c r="L7" s="20"/>
      <c r="M7" s="20"/>
    </row>
    <row r="8" spans="1:13" ht="16.5">
      <c r="A8" s="31">
        <v>3</v>
      </c>
      <c r="B8" s="31" t="s">
        <v>55</v>
      </c>
      <c r="C8" s="82">
        <v>5.2</v>
      </c>
      <c r="D8" s="82">
        <v>5.3</v>
      </c>
      <c r="E8" s="81">
        <f t="shared" si="0"/>
        <v>101.92307692307692</v>
      </c>
      <c r="F8" s="82">
        <v>5.2</v>
      </c>
      <c r="G8" s="82">
        <v>5.3</v>
      </c>
      <c r="H8" s="82"/>
      <c r="I8" s="82"/>
      <c r="J8" s="82"/>
      <c r="K8" s="82"/>
      <c r="L8" s="20"/>
      <c r="M8" s="20"/>
    </row>
    <row r="9" spans="1:13" ht="16.5">
      <c r="A9" s="31">
        <v>4</v>
      </c>
      <c r="B9" s="41" t="s">
        <v>56</v>
      </c>
      <c r="C9" s="82">
        <v>36.6</v>
      </c>
      <c r="D9" s="82">
        <v>49.7</v>
      </c>
      <c r="E9" s="81">
        <f t="shared" si="0"/>
        <v>135.79234972677594</v>
      </c>
      <c r="F9" s="82">
        <v>31.9</v>
      </c>
      <c r="G9" s="82">
        <v>37</v>
      </c>
      <c r="H9" s="82">
        <v>4.7</v>
      </c>
      <c r="I9" s="82">
        <v>12.1</v>
      </c>
      <c r="J9" s="82"/>
      <c r="K9" s="82">
        <v>0.6</v>
      </c>
      <c r="L9" s="20"/>
      <c r="M9" s="20"/>
    </row>
    <row r="10" spans="1:13" ht="16.5">
      <c r="A10" s="31">
        <v>5</v>
      </c>
      <c r="B10" s="31" t="s">
        <v>57</v>
      </c>
      <c r="C10" s="82">
        <v>42.9</v>
      </c>
      <c r="D10" s="82">
        <v>11.3</v>
      </c>
      <c r="E10" s="81">
        <f t="shared" si="0"/>
        <v>26.340326340326342</v>
      </c>
      <c r="F10" s="82">
        <v>32.8</v>
      </c>
      <c r="G10" s="82">
        <v>9.2</v>
      </c>
      <c r="H10" s="82">
        <v>7.3</v>
      </c>
      <c r="I10" s="82">
        <v>2.1</v>
      </c>
      <c r="J10" s="82">
        <v>2.8</v>
      </c>
      <c r="K10" s="82"/>
      <c r="L10" s="20"/>
      <c r="M10" s="20"/>
    </row>
    <row r="11" spans="1:13" ht="16.5">
      <c r="A11" s="31">
        <v>6</v>
      </c>
      <c r="B11" s="32" t="s">
        <v>68</v>
      </c>
      <c r="C11" s="113">
        <v>14.727</v>
      </c>
      <c r="D11" s="113">
        <v>12.235</v>
      </c>
      <c r="E11" s="81">
        <f t="shared" si="0"/>
        <v>83.07869898825287</v>
      </c>
      <c r="F11" s="83">
        <v>13.932</v>
      </c>
      <c r="G11" s="83">
        <v>12.235</v>
      </c>
      <c r="H11" s="83"/>
      <c r="I11" s="83"/>
      <c r="J11" s="83">
        <v>0.795</v>
      </c>
      <c r="K11" s="83"/>
      <c r="L11" s="20"/>
      <c r="M11" s="20"/>
    </row>
    <row r="12" spans="1:13" ht="16.5">
      <c r="A12" s="31">
        <v>8</v>
      </c>
      <c r="B12" s="32" t="s">
        <v>81</v>
      </c>
      <c r="C12" s="82">
        <v>15.917</v>
      </c>
      <c r="D12" s="82">
        <v>21.205</v>
      </c>
      <c r="E12" s="81">
        <f t="shared" si="0"/>
        <v>133.22234089338443</v>
      </c>
      <c r="F12" s="83">
        <v>15.917</v>
      </c>
      <c r="G12" s="83">
        <v>21.205</v>
      </c>
      <c r="H12" s="83"/>
      <c r="I12" s="83"/>
      <c r="J12" s="83"/>
      <c r="K12" s="83"/>
      <c r="L12" s="20"/>
      <c r="M12" s="20"/>
    </row>
    <row r="13" spans="1:13" ht="16.5">
      <c r="A13" s="31">
        <v>9</v>
      </c>
      <c r="B13" s="32" t="s">
        <v>67</v>
      </c>
      <c r="C13" s="82">
        <v>10.69</v>
      </c>
      <c r="D13" s="82">
        <v>21.58</v>
      </c>
      <c r="E13" s="81">
        <f t="shared" si="0"/>
        <v>201.8709073900842</v>
      </c>
      <c r="F13" s="83">
        <v>9.4</v>
      </c>
      <c r="G13" s="83">
        <v>21.17</v>
      </c>
      <c r="H13" s="83"/>
      <c r="I13" s="83"/>
      <c r="J13" s="83">
        <v>1.29</v>
      </c>
      <c r="K13" s="83">
        <v>0.41</v>
      </c>
      <c r="L13" s="20"/>
      <c r="M13" s="20"/>
    </row>
    <row r="14" spans="1:13" ht="16.5">
      <c r="A14" s="31">
        <v>10</v>
      </c>
      <c r="B14" s="32" t="s">
        <v>58</v>
      </c>
      <c r="C14" s="82">
        <v>15.3</v>
      </c>
      <c r="D14" s="82">
        <v>13.8</v>
      </c>
      <c r="E14" s="81">
        <f t="shared" si="0"/>
        <v>90.19607843137254</v>
      </c>
      <c r="F14" s="83">
        <v>15.3</v>
      </c>
      <c r="G14" s="83">
        <v>13.8</v>
      </c>
      <c r="H14" s="83"/>
      <c r="I14" s="83"/>
      <c r="J14" s="83"/>
      <c r="K14" s="83"/>
      <c r="L14" s="20"/>
      <c r="M14" s="20"/>
    </row>
    <row r="15" spans="1:13" ht="16.5">
      <c r="A15" s="31">
        <v>11</v>
      </c>
      <c r="B15" s="32" t="s">
        <v>59</v>
      </c>
      <c r="C15" s="82">
        <v>4.3</v>
      </c>
      <c r="D15" s="82">
        <v>1.2</v>
      </c>
      <c r="E15" s="81">
        <f t="shared" si="0"/>
        <v>27.906976744186046</v>
      </c>
      <c r="F15" s="83">
        <v>4.3</v>
      </c>
      <c r="G15" s="83">
        <v>1.2</v>
      </c>
      <c r="H15" s="83"/>
      <c r="I15" s="83"/>
      <c r="J15" s="83"/>
      <c r="K15" s="83"/>
      <c r="L15" s="20"/>
      <c r="M15" s="20"/>
    </row>
    <row r="16" spans="1:13" ht="16.5">
      <c r="A16" s="31">
        <v>12</v>
      </c>
      <c r="B16" s="32" t="s">
        <v>60</v>
      </c>
      <c r="C16" s="82">
        <v>612</v>
      </c>
      <c r="D16" s="82">
        <v>728</v>
      </c>
      <c r="E16" s="81">
        <f t="shared" si="0"/>
        <v>118.95424836601308</v>
      </c>
      <c r="F16" s="83"/>
      <c r="G16" s="83"/>
      <c r="H16" s="83">
        <v>612</v>
      </c>
      <c r="I16" s="83">
        <v>728</v>
      </c>
      <c r="J16" s="83"/>
      <c r="K16" s="83"/>
      <c r="L16" s="20"/>
      <c r="M16" s="20"/>
    </row>
    <row r="17" spans="1:13" ht="16.5">
      <c r="A17" s="31">
        <v>13</v>
      </c>
      <c r="B17" s="32" t="s">
        <v>66</v>
      </c>
      <c r="C17" s="82">
        <v>3</v>
      </c>
      <c r="D17" s="82">
        <v>7</v>
      </c>
      <c r="E17" s="81">
        <f t="shared" si="0"/>
        <v>233.33333333333334</v>
      </c>
      <c r="F17" s="83"/>
      <c r="G17" s="83"/>
      <c r="H17" s="83"/>
      <c r="I17" s="83"/>
      <c r="J17" s="83">
        <v>3</v>
      </c>
      <c r="K17" s="83">
        <v>7</v>
      </c>
      <c r="L17" s="20"/>
      <c r="M17" s="20"/>
    </row>
    <row r="18" spans="1:13" ht="16.5">
      <c r="A18" s="31">
        <v>14</v>
      </c>
      <c r="B18" s="32" t="s">
        <v>100</v>
      </c>
      <c r="C18" s="82"/>
      <c r="D18" s="82"/>
      <c r="E18" s="81"/>
      <c r="F18" s="83"/>
      <c r="G18" s="83"/>
      <c r="H18" s="83"/>
      <c r="I18" s="83"/>
      <c r="J18" s="83"/>
      <c r="K18" s="83"/>
      <c r="L18" s="20"/>
      <c r="M18" s="20"/>
    </row>
    <row r="19" spans="1:13" ht="46.5" customHeight="1">
      <c r="A19" s="203" t="s">
        <v>83</v>
      </c>
      <c r="B19" s="226"/>
      <c r="C19" s="82">
        <f>SUM(C6:C17)</f>
        <v>790.0640000000001</v>
      </c>
      <c r="D19" s="82">
        <f>SUM(D6:D18)</f>
        <v>889.387</v>
      </c>
      <c r="E19" s="81">
        <f>D19*100/C19</f>
        <v>112.57151319386783</v>
      </c>
      <c r="F19" s="83">
        <f>SUM(F6:F17)</f>
        <v>158.17900000000003</v>
      </c>
      <c r="G19" s="83">
        <f>SUM(G6:G17)</f>
        <v>138.37699999999998</v>
      </c>
      <c r="H19" s="83">
        <f>SUM(H6:H17)</f>
        <v>624</v>
      </c>
      <c r="I19" s="83">
        <f>SUM(I6:I17)</f>
        <v>742.2</v>
      </c>
      <c r="J19" s="83">
        <f>SUM(J6:J17)</f>
        <v>7.885</v>
      </c>
      <c r="K19" s="83">
        <f>SUM(K6:K18)</f>
        <v>8.81</v>
      </c>
      <c r="L19" s="20"/>
      <c r="M19" s="20"/>
    </row>
    <row r="20" spans="1:13" ht="16.5">
      <c r="A20" s="31">
        <v>1</v>
      </c>
      <c r="B20" s="32" t="s">
        <v>96</v>
      </c>
      <c r="C20" s="2"/>
      <c r="D20" s="82">
        <v>0.099</v>
      </c>
      <c r="E20" s="81"/>
      <c r="F20" s="2"/>
      <c r="G20" s="82">
        <v>0.099</v>
      </c>
      <c r="H20" s="2"/>
      <c r="I20" s="2"/>
      <c r="J20" s="83"/>
      <c r="K20" s="83"/>
      <c r="L20" s="20"/>
      <c r="M20" s="20"/>
    </row>
    <row r="21" spans="1:13" ht="16.5">
      <c r="A21" s="31">
        <v>2</v>
      </c>
      <c r="B21" s="32" t="s">
        <v>112</v>
      </c>
      <c r="C21" s="2"/>
      <c r="D21" s="82"/>
      <c r="E21" s="81"/>
      <c r="F21" s="2"/>
      <c r="G21" s="82"/>
      <c r="H21" s="2"/>
      <c r="I21" s="2"/>
      <c r="J21" s="83"/>
      <c r="K21" s="83"/>
      <c r="L21" s="20"/>
      <c r="M21" s="20"/>
    </row>
    <row r="22" spans="1:13" ht="16.5">
      <c r="A22" s="31">
        <v>3</v>
      </c>
      <c r="B22" s="32" t="s">
        <v>99</v>
      </c>
      <c r="C22" s="2"/>
      <c r="D22" s="82">
        <v>0.26</v>
      </c>
      <c r="E22" s="81"/>
      <c r="F22" s="2"/>
      <c r="G22" s="2"/>
      <c r="H22" s="2"/>
      <c r="I22" s="2"/>
      <c r="J22" s="83"/>
      <c r="K22" s="83">
        <v>0.26</v>
      </c>
      <c r="L22" s="20"/>
      <c r="M22" s="20"/>
    </row>
    <row r="23" spans="1:13" ht="16.5">
      <c r="A23" s="31">
        <v>4</v>
      </c>
      <c r="B23" s="32" t="s">
        <v>77</v>
      </c>
      <c r="C23" s="82"/>
      <c r="D23" s="82"/>
      <c r="E23" s="81"/>
      <c r="F23" s="83"/>
      <c r="G23" s="83"/>
      <c r="H23" s="83"/>
      <c r="I23" s="83"/>
      <c r="J23" s="83"/>
      <c r="K23" s="83"/>
      <c r="L23" s="20"/>
      <c r="M23" s="20"/>
    </row>
    <row r="24" spans="1:13" ht="18">
      <c r="A24" s="31">
        <v>5</v>
      </c>
      <c r="B24" s="32" t="s">
        <v>82</v>
      </c>
      <c r="C24" s="82">
        <v>0.1</v>
      </c>
      <c r="D24" s="82">
        <v>0.28</v>
      </c>
      <c r="E24" s="81"/>
      <c r="F24" s="16"/>
      <c r="G24" s="83"/>
      <c r="H24" s="16"/>
      <c r="I24" s="83"/>
      <c r="J24" s="83">
        <v>0.1</v>
      </c>
      <c r="K24" s="83">
        <v>0.28</v>
      </c>
      <c r="L24" s="20"/>
      <c r="M24" s="20"/>
    </row>
    <row r="25" spans="1:13" ht="18">
      <c r="A25" s="227" t="s">
        <v>84</v>
      </c>
      <c r="B25" s="228"/>
      <c r="C25" s="128">
        <f>SUM(C23:C24)</f>
        <v>0.1</v>
      </c>
      <c r="D25" s="128">
        <f>SUM(D20:D24)</f>
        <v>0.639</v>
      </c>
      <c r="E25" s="81">
        <f>D25*100/C25</f>
        <v>639</v>
      </c>
      <c r="F25" s="129">
        <f>SUM(F23:F24)</f>
        <v>0</v>
      </c>
      <c r="G25" s="130">
        <f>SUM(G20:G24)</f>
        <v>0.099</v>
      </c>
      <c r="H25" s="129">
        <f>SUM(H23:H24)</f>
        <v>0</v>
      </c>
      <c r="I25" s="130">
        <f>SUM(I20:I24)</f>
        <v>0</v>
      </c>
      <c r="J25" s="130">
        <f>SUM(J20:J24)</f>
        <v>0.1</v>
      </c>
      <c r="K25" s="130">
        <f>SUM(K20:K24)</f>
        <v>0.54</v>
      </c>
      <c r="L25" s="20"/>
      <c r="M25" s="20"/>
    </row>
    <row r="26" spans="1:13" ht="16.5">
      <c r="A26" s="223" t="s">
        <v>85</v>
      </c>
      <c r="B26" s="224"/>
      <c r="C26" s="84">
        <f>C19+C25</f>
        <v>790.1640000000001</v>
      </c>
      <c r="D26" s="84">
        <f>D19+D25</f>
        <v>890.026</v>
      </c>
      <c r="E26" s="81">
        <f>D26*100/C26</f>
        <v>112.6381358806526</v>
      </c>
      <c r="F26" s="84">
        <f aca="true" t="shared" si="1" ref="F26:K26">F19+F25</f>
        <v>158.17900000000003</v>
      </c>
      <c r="G26" s="84">
        <f t="shared" si="1"/>
        <v>138.47599999999997</v>
      </c>
      <c r="H26" s="84">
        <f t="shared" si="1"/>
        <v>624</v>
      </c>
      <c r="I26" s="84">
        <f t="shared" si="1"/>
        <v>742.2</v>
      </c>
      <c r="J26" s="84">
        <f t="shared" si="1"/>
        <v>7.984999999999999</v>
      </c>
      <c r="K26" s="84">
        <f t="shared" si="1"/>
        <v>9.350000000000001</v>
      </c>
      <c r="L26" s="144"/>
      <c r="M26" s="20"/>
    </row>
  </sheetData>
  <sheetProtection/>
  <mergeCells count="5">
    <mergeCell ref="A26:B26"/>
    <mergeCell ref="A3:A5"/>
    <mergeCell ref="B3:B5"/>
    <mergeCell ref="A19:B19"/>
    <mergeCell ref="A25:B25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L36" sqref="L36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8.625" style="0" customWidth="1"/>
    <col min="4" max="4" width="9.375" style="0" customWidth="1"/>
    <col min="5" max="5" width="8.25390625" style="0" customWidth="1"/>
    <col min="6" max="6" width="7.125" style="0" customWidth="1"/>
    <col min="7" max="7" width="7.6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114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77"/>
      <c r="B4" s="23" t="s">
        <v>3</v>
      </c>
      <c r="C4" s="26" t="s">
        <v>62</v>
      </c>
      <c r="D4" s="103"/>
      <c r="E4" s="103"/>
      <c r="F4" s="101"/>
      <c r="G4" s="101"/>
      <c r="H4" s="104"/>
      <c r="I4" s="96" t="s">
        <v>44</v>
      </c>
      <c r="J4" s="101"/>
      <c r="K4" s="103"/>
      <c r="L4" s="101"/>
      <c r="M4" s="101"/>
      <c r="N4" s="97"/>
      <c r="O4" s="96" t="s">
        <v>45</v>
      </c>
      <c r="P4" s="101"/>
      <c r="Q4" s="101"/>
      <c r="R4" s="101"/>
      <c r="S4" s="101"/>
      <c r="T4" s="100"/>
    </row>
    <row r="5" spans="1:20" ht="15" customHeight="1">
      <c r="A5" s="78" t="s">
        <v>2</v>
      </c>
      <c r="B5" s="33"/>
      <c r="C5" s="25" t="s">
        <v>46</v>
      </c>
      <c r="D5" s="101"/>
      <c r="E5" s="158" t="s">
        <v>110</v>
      </c>
      <c r="F5" s="96" t="s">
        <v>47</v>
      </c>
      <c r="G5" s="100"/>
      <c r="H5" s="158" t="s">
        <v>110</v>
      </c>
      <c r="I5" s="145" t="s">
        <v>46</v>
      </c>
      <c r="J5" s="145"/>
      <c r="K5" s="158" t="s">
        <v>110</v>
      </c>
      <c r="L5" s="145" t="s">
        <v>47</v>
      </c>
      <c r="M5" s="145"/>
      <c r="N5" s="158" t="s">
        <v>110</v>
      </c>
      <c r="O5" s="101" t="s">
        <v>46</v>
      </c>
      <c r="P5" s="101"/>
      <c r="Q5" s="158" t="s">
        <v>110</v>
      </c>
      <c r="R5" s="162" t="s">
        <v>47</v>
      </c>
      <c r="S5" s="163"/>
      <c r="T5" s="158" t="s">
        <v>110</v>
      </c>
    </row>
    <row r="6" spans="1:20" ht="15">
      <c r="A6" s="78" t="s">
        <v>65</v>
      </c>
      <c r="B6" s="33"/>
      <c r="C6" s="156">
        <v>2012</v>
      </c>
      <c r="D6" s="156">
        <v>2013</v>
      </c>
      <c r="E6" s="159"/>
      <c r="F6" s="156">
        <v>2012</v>
      </c>
      <c r="G6" s="156">
        <v>2013</v>
      </c>
      <c r="H6" s="159"/>
      <c r="I6" s="156">
        <v>2012</v>
      </c>
      <c r="J6" s="156">
        <v>2013</v>
      </c>
      <c r="K6" s="159"/>
      <c r="L6" s="156">
        <v>2012</v>
      </c>
      <c r="M6" s="156">
        <v>2013</v>
      </c>
      <c r="N6" s="159"/>
      <c r="O6" s="156">
        <v>2012</v>
      </c>
      <c r="P6" s="156">
        <v>2013</v>
      </c>
      <c r="Q6" s="159"/>
      <c r="R6" s="156">
        <v>2012</v>
      </c>
      <c r="S6" s="156">
        <v>2013</v>
      </c>
      <c r="T6" s="159"/>
    </row>
    <row r="7" spans="1:20" ht="15">
      <c r="A7" s="79"/>
      <c r="B7" s="29"/>
      <c r="C7" s="161"/>
      <c r="D7" s="161"/>
      <c r="E7" s="160"/>
      <c r="F7" s="161"/>
      <c r="G7" s="161"/>
      <c r="H7" s="160"/>
      <c r="I7" s="161"/>
      <c r="J7" s="161"/>
      <c r="K7" s="160"/>
      <c r="L7" s="161"/>
      <c r="M7" s="161"/>
      <c r="N7" s="160"/>
      <c r="O7" s="161"/>
      <c r="P7" s="161"/>
      <c r="Q7" s="160"/>
      <c r="R7" s="161"/>
      <c r="S7" s="161"/>
      <c r="T7" s="160"/>
    </row>
    <row r="8" spans="1:20" ht="15">
      <c r="A8" s="2">
        <v>1</v>
      </c>
      <c r="B8" s="22" t="s">
        <v>53</v>
      </c>
      <c r="C8" s="3">
        <v>136</v>
      </c>
      <c r="D8" s="3">
        <v>97.34</v>
      </c>
      <c r="E8" s="36">
        <f aca="true" t="shared" si="0" ref="E8:E17">D8/C8*100</f>
        <v>71.57352941176471</v>
      </c>
      <c r="F8" s="3"/>
      <c r="G8" s="3"/>
      <c r="H8" s="36"/>
      <c r="I8" s="3">
        <v>26737</v>
      </c>
      <c r="J8" s="3">
        <v>28043</v>
      </c>
      <c r="K8" s="36">
        <f>J8*100/I8</f>
        <v>104.884616823129</v>
      </c>
      <c r="L8" s="3"/>
      <c r="M8" s="3"/>
      <c r="N8" s="36"/>
      <c r="O8" s="36">
        <f aca="true" t="shared" si="1" ref="O8:O17">C8/I8*100000</f>
        <v>508.6584134345663</v>
      </c>
      <c r="P8" s="36">
        <f aca="true" t="shared" si="2" ref="P8:P16">D8/J8*100000</f>
        <v>347.1097956709339</v>
      </c>
      <c r="Q8" s="36">
        <f aca="true" t="shared" si="3" ref="Q8:Q17">P8/O8*100</f>
        <v>68.24025446216001</v>
      </c>
      <c r="R8" s="36"/>
      <c r="S8" s="36"/>
      <c r="T8" s="36"/>
    </row>
    <row r="9" spans="1:20" ht="15">
      <c r="A9" s="2">
        <v>2</v>
      </c>
      <c r="B9" s="22" t="s">
        <v>54</v>
      </c>
      <c r="C9" s="3">
        <v>93</v>
      </c>
      <c r="D9" s="3">
        <v>113.89</v>
      </c>
      <c r="E9" s="36">
        <f t="shared" si="0"/>
        <v>122.46236559139786</v>
      </c>
      <c r="F9" s="3"/>
      <c r="G9" s="3"/>
      <c r="H9" s="36"/>
      <c r="I9" s="3">
        <v>26760</v>
      </c>
      <c r="J9" s="3">
        <v>30634</v>
      </c>
      <c r="K9" s="36">
        <f aca="true" t="shared" si="4" ref="K9:K23">J9*100/I9</f>
        <v>114.47683109118087</v>
      </c>
      <c r="L9" s="3"/>
      <c r="M9" s="3"/>
      <c r="N9" s="36"/>
      <c r="O9" s="36">
        <f t="shared" si="1"/>
        <v>347.5336322869955</v>
      </c>
      <c r="P9" s="36">
        <f t="shared" si="2"/>
        <v>371.77645753084806</v>
      </c>
      <c r="Q9" s="36">
        <f t="shared" si="3"/>
        <v>106.97567745726337</v>
      </c>
      <c r="R9" s="36"/>
      <c r="S9" s="36"/>
      <c r="T9" s="36"/>
    </row>
    <row r="10" spans="1:20" ht="15">
      <c r="A10" s="2">
        <v>3</v>
      </c>
      <c r="B10" s="37" t="s">
        <v>55</v>
      </c>
      <c r="C10" s="19">
        <v>49</v>
      </c>
      <c r="D10" s="19">
        <v>67.84</v>
      </c>
      <c r="E10" s="36">
        <f t="shared" si="0"/>
        <v>138.44897959183675</v>
      </c>
      <c r="F10" s="19"/>
      <c r="G10" s="19"/>
      <c r="H10" s="36"/>
      <c r="I10" s="3">
        <v>7749</v>
      </c>
      <c r="J10" s="3">
        <v>10321</v>
      </c>
      <c r="K10" s="36">
        <f t="shared" si="4"/>
        <v>133.19137953284294</v>
      </c>
      <c r="L10" s="19"/>
      <c r="M10" s="19"/>
      <c r="N10" s="86"/>
      <c r="O10" s="36">
        <f t="shared" si="1"/>
        <v>632.3396567299006</v>
      </c>
      <c r="P10" s="36">
        <f t="shared" si="2"/>
        <v>657.3006491619029</v>
      </c>
      <c r="Q10" s="36">
        <f t="shared" si="3"/>
        <v>103.94740266031808</v>
      </c>
      <c r="R10" s="86"/>
      <c r="S10" s="86"/>
      <c r="T10" s="86"/>
    </row>
    <row r="11" spans="1:20" ht="15">
      <c r="A11" s="2">
        <v>4</v>
      </c>
      <c r="B11" s="22" t="s">
        <v>56</v>
      </c>
      <c r="C11" s="3">
        <v>349</v>
      </c>
      <c r="D11" s="3">
        <v>566.3</v>
      </c>
      <c r="E11" s="36">
        <f t="shared" si="0"/>
        <v>162.26361031518624</v>
      </c>
      <c r="F11" s="3">
        <v>166.8</v>
      </c>
      <c r="G11" s="3">
        <v>93.8</v>
      </c>
      <c r="H11" s="36">
        <f>G11/F11*100</f>
        <v>56.23501199040767</v>
      </c>
      <c r="I11" s="3">
        <v>91765</v>
      </c>
      <c r="J11" s="3">
        <v>110000</v>
      </c>
      <c r="K11" s="36">
        <f t="shared" si="4"/>
        <v>119.87141066855555</v>
      </c>
      <c r="L11" s="3">
        <v>43165</v>
      </c>
      <c r="M11" s="3">
        <v>35887</v>
      </c>
      <c r="N11" s="36">
        <f>M11/L11*100</f>
        <v>83.13911734043785</v>
      </c>
      <c r="O11" s="36">
        <f t="shared" si="1"/>
        <v>380.31929384841715</v>
      </c>
      <c r="P11" s="36">
        <f t="shared" si="2"/>
        <v>514.8181818181818</v>
      </c>
      <c r="Q11" s="36">
        <f t="shared" si="3"/>
        <v>135.36472909611877</v>
      </c>
      <c r="R11" s="36">
        <f>F11/L11*100000</f>
        <v>386.4241862620178</v>
      </c>
      <c r="S11" s="36">
        <f>G11/M11*100000</f>
        <v>261.3759857329953</v>
      </c>
      <c r="T11" s="36">
        <f>S11/R11*100</f>
        <v>67.63965482113154</v>
      </c>
    </row>
    <row r="12" spans="1:20" ht="15">
      <c r="A12" s="2">
        <v>5</v>
      </c>
      <c r="B12" s="22" t="s">
        <v>57</v>
      </c>
      <c r="C12" s="87">
        <v>129</v>
      </c>
      <c r="D12" s="87">
        <v>64.29</v>
      </c>
      <c r="E12" s="88">
        <f t="shared" si="0"/>
        <v>49.83720930232558</v>
      </c>
      <c r="F12" s="87">
        <v>11.24</v>
      </c>
      <c r="G12" s="87">
        <v>6.06</v>
      </c>
      <c r="H12" s="36">
        <f>G12/F12*100</f>
        <v>53.91459074733096</v>
      </c>
      <c r="I12" s="3">
        <v>32171</v>
      </c>
      <c r="J12" s="3">
        <v>25419</v>
      </c>
      <c r="K12" s="36">
        <f t="shared" si="4"/>
        <v>79.0121538031146</v>
      </c>
      <c r="L12" s="3">
        <v>14353</v>
      </c>
      <c r="M12" s="3">
        <v>8100</v>
      </c>
      <c r="N12" s="36">
        <f>M12/L12*100</f>
        <v>56.43419494182401</v>
      </c>
      <c r="O12" s="36">
        <f t="shared" si="1"/>
        <v>400.98225109570734</v>
      </c>
      <c r="P12" s="36">
        <f t="shared" si="2"/>
        <v>252.92104331405642</v>
      </c>
      <c r="Q12" s="36">
        <f t="shared" si="3"/>
        <v>63.07537119733727</v>
      </c>
      <c r="R12" s="36">
        <f>F12/L12*100000</f>
        <v>78.31115446248171</v>
      </c>
      <c r="S12" s="36">
        <f>G12/M12*100000</f>
        <v>74.81481481481481</v>
      </c>
      <c r="T12" s="36">
        <f>S12/R12*100</f>
        <v>95.53532357980757</v>
      </c>
    </row>
    <row r="13" spans="1:20" ht="15">
      <c r="A13" s="2">
        <v>6</v>
      </c>
      <c r="B13" s="38" t="s">
        <v>68</v>
      </c>
      <c r="C13" s="87">
        <v>136</v>
      </c>
      <c r="D13" s="87">
        <v>146.97</v>
      </c>
      <c r="E13" s="88">
        <f t="shared" si="0"/>
        <v>108.06617647058823</v>
      </c>
      <c r="F13" s="87"/>
      <c r="G13" s="87"/>
      <c r="H13" s="88"/>
      <c r="I13" s="87">
        <v>26261</v>
      </c>
      <c r="J13" s="87">
        <v>28331</v>
      </c>
      <c r="K13" s="36">
        <f t="shared" si="4"/>
        <v>107.88241118007691</v>
      </c>
      <c r="L13" s="87"/>
      <c r="M13" s="87"/>
      <c r="N13" s="88"/>
      <c r="O13" s="36">
        <f t="shared" si="1"/>
        <v>517.8782224591599</v>
      </c>
      <c r="P13" s="36">
        <f t="shared" si="2"/>
        <v>518.7603685009353</v>
      </c>
      <c r="Q13" s="36">
        <f t="shared" si="3"/>
        <v>100.17033850884604</v>
      </c>
      <c r="R13" s="36"/>
      <c r="S13" s="36"/>
      <c r="T13" s="88"/>
    </row>
    <row r="14" spans="1:20" ht="15">
      <c r="A14" s="2">
        <v>8</v>
      </c>
      <c r="B14" s="32" t="s">
        <v>81</v>
      </c>
      <c r="C14" s="87">
        <v>113</v>
      </c>
      <c r="D14" s="87">
        <v>141.7</v>
      </c>
      <c r="E14" s="88">
        <f t="shared" si="0"/>
        <v>125.39823008849555</v>
      </c>
      <c r="F14" s="87"/>
      <c r="G14" s="87"/>
      <c r="H14" s="88"/>
      <c r="I14" s="87">
        <v>35372</v>
      </c>
      <c r="J14" s="87">
        <v>43727</v>
      </c>
      <c r="K14" s="36">
        <f t="shared" si="4"/>
        <v>123.6203776998756</v>
      </c>
      <c r="L14" s="87"/>
      <c r="M14" s="87"/>
      <c r="N14" s="88"/>
      <c r="O14" s="36">
        <f t="shared" si="1"/>
        <v>319.4617211353613</v>
      </c>
      <c r="P14" s="36">
        <f t="shared" si="2"/>
        <v>324.0560751938161</v>
      </c>
      <c r="Q14" s="90">
        <f t="shared" si="3"/>
        <v>101.43815479429792</v>
      </c>
      <c r="R14" s="36"/>
      <c r="S14" s="3"/>
      <c r="T14" s="88"/>
    </row>
    <row r="15" spans="1:20" s="69" customFormat="1" ht="15">
      <c r="A15" s="2">
        <v>9</v>
      </c>
      <c r="B15" s="32" t="s">
        <v>67</v>
      </c>
      <c r="C15" s="89">
        <v>166</v>
      </c>
      <c r="D15" s="89">
        <v>43.16</v>
      </c>
      <c r="E15" s="90">
        <f t="shared" si="0"/>
        <v>25.999999999999996</v>
      </c>
      <c r="F15" s="89"/>
      <c r="G15" s="89"/>
      <c r="H15" s="90"/>
      <c r="I15" s="89">
        <v>33116</v>
      </c>
      <c r="J15" s="89">
        <v>19145</v>
      </c>
      <c r="K15" s="36">
        <f t="shared" si="4"/>
        <v>57.81193380843097</v>
      </c>
      <c r="L15" s="89"/>
      <c r="M15" s="89"/>
      <c r="N15" s="90"/>
      <c r="O15" s="36">
        <f t="shared" si="1"/>
        <v>501.2682691146274</v>
      </c>
      <c r="P15" s="36">
        <f t="shared" si="2"/>
        <v>225.43745103160092</v>
      </c>
      <c r="Q15" s="90">
        <f t="shared" si="3"/>
        <v>44.973413423870454</v>
      </c>
      <c r="R15" s="36"/>
      <c r="S15" s="36"/>
      <c r="T15" s="36"/>
    </row>
    <row r="16" spans="1:20" ht="15">
      <c r="A16" s="2">
        <v>10</v>
      </c>
      <c r="B16" s="38" t="s">
        <v>58</v>
      </c>
      <c r="C16" s="87">
        <v>146</v>
      </c>
      <c r="D16" s="87">
        <v>126</v>
      </c>
      <c r="E16" s="88">
        <f t="shared" si="0"/>
        <v>86.3013698630137</v>
      </c>
      <c r="F16" s="87"/>
      <c r="G16" s="87"/>
      <c r="H16" s="88"/>
      <c r="I16" s="87">
        <v>24896</v>
      </c>
      <c r="J16" s="87">
        <v>31970</v>
      </c>
      <c r="K16" s="36">
        <f t="shared" si="4"/>
        <v>128.4142030848329</v>
      </c>
      <c r="L16" s="87"/>
      <c r="M16" s="87"/>
      <c r="N16" s="88"/>
      <c r="O16" s="36">
        <f t="shared" si="1"/>
        <v>586.439588688946</v>
      </c>
      <c r="P16" s="36">
        <f t="shared" si="2"/>
        <v>394.11948701908045</v>
      </c>
      <c r="Q16" s="88">
        <f t="shared" si="3"/>
        <v>67.2054708823769</v>
      </c>
      <c r="R16" s="36"/>
      <c r="S16" s="36"/>
      <c r="T16" s="88"/>
    </row>
    <row r="17" spans="1:20" ht="15">
      <c r="A17" s="2">
        <v>11</v>
      </c>
      <c r="B17" s="38" t="s">
        <v>59</v>
      </c>
      <c r="C17" s="87">
        <v>19</v>
      </c>
      <c r="D17" s="87">
        <v>13.43</v>
      </c>
      <c r="E17" s="88">
        <f t="shared" si="0"/>
        <v>70.68421052631578</v>
      </c>
      <c r="F17" s="87"/>
      <c r="G17" s="87"/>
      <c r="H17" s="88"/>
      <c r="I17" s="87">
        <v>2673</v>
      </c>
      <c r="J17" s="87">
        <v>2759</v>
      </c>
      <c r="K17" s="36">
        <f t="shared" si="4"/>
        <v>103.21735877291432</v>
      </c>
      <c r="L17" s="87"/>
      <c r="M17" s="87"/>
      <c r="N17" s="88"/>
      <c r="O17" s="36">
        <f t="shared" si="1"/>
        <v>710.8118219229331</v>
      </c>
      <c r="P17" s="36">
        <f>D17/J17*100000</f>
        <v>486.77056904675607</v>
      </c>
      <c r="Q17" s="88">
        <f t="shared" si="3"/>
        <v>68.48093321378836</v>
      </c>
      <c r="R17" s="36"/>
      <c r="S17" s="36"/>
      <c r="T17" s="88"/>
    </row>
    <row r="18" spans="1:20" ht="15">
      <c r="A18" s="2">
        <v>12</v>
      </c>
      <c r="B18" s="80" t="s">
        <v>60</v>
      </c>
      <c r="C18" s="118"/>
      <c r="D18" s="87"/>
      <c r="E18" s="88"/>
      <c r="F18" s="87">
        <v>6687</v>
      </c>
      <c r="G18" s="87">
        <v>7132</v>
      </c>
      <c r="H18" s="88">
        <f>G18/F18*100</f>
        <v>106.65470315537611</v>
      </c>
      <c r="I18" s="3"/>
      <c r="J18" s="87"/>
      <c r="K18" s="36"/>
      <c r="L18" s="87">
        <v>1587635</v>
      </c>
      <c r="M18" s="87">
        <v>1624258</v>
      </c>
      <c r="N18" s="88">
        <f>M18/L18*100</f>
        <v>102.3067644641243</v>
      </c>
      <c r="O18" s="36"/>
      <c r="P18" s="36"/>
      <c r="Q18" s="88"/>
      <c r="R18" s="36">
        <f aca="true" t="shared" si="5" ref="R18:S21">F18/L18*100000</f>
        <v>421.1925285093866</v>
      </c>
      <c r="S18" s="36">
        <f t="shared" si="5"/>
        <v>439.0928042219894</v>
      </c>
      <c r="T18" s="88">
        <f>S18/R18*100</f>
        <v>104.2499034291877</v>
      </c>
    </row>
    <row r="19" spans="1:20" ht="43.5" customHeight="1">
      <c r="A19" s="154" t="s">
        <v>93</v>
      </c>
      <c r="B19" s="155"/>
      <c r="C19" s="131">
        <f>SUM(C8:C18)</f>
        <v>1336</v>
      </c>
      <c r="D19" s="3">
        <f>SUM(D8:D18)</f>
        <v>1380.92</v>
      </c>
      <c r="E19" s="36">
        <f>D19/C19*100</f>
        <v>103.36227544910179</v>
      </c>
      <c r="F19" s="36">
        <f>SUM(F11:F18)</f>
        <v>6865.04</v>
      </c>
      <c r="G19" s="3">
        <f>SUM(G11:G18)</f>
        <v>7231.86</v>
      </c>
      <c r="H19" s="36">
        <f>G19/F19*100</f>
        <v>105.34330462750398</v>
      </c>
      <c r="I19" s="3">
        <f>SUM(I8:I18)</f>
        <v>307500</v>
      </c>
      <c r="J19" s="3">
        <f>SUM(J8:J18)</f>
        <v>330349</v>
      </c>
      <c r="K19" s="36">
        <f t="shared" si="4"/>
        <v>107.43056910569106</v>
      </c>
      <c r="L19" s="3">
        <f>SUM(L11:L18)</f>
        <v>1645153</v>
      </c>
      <c r="M19" s="3">
        <f>SUM(M11:M18)</f>
        <v>1668245</v>
      </c>
      <c r="N19" s="36">
        <f>M19/L19*100</f>
        <v>101.4036384457859</v>
      </c>
      <c r="O19" s="36">
        <f aca="true" t="shared" si="6" ref="O19:P23">C19/I19*100000</f>
        <v>434.4715447154471</v>
      </c>
      <c r="P19" s="36">
        <f t="shared" si="6"/>
        <v>418.0185198078396</v>
      </c>
      <c r="Q19" s="36">
        <f>P19/O19*100</f>
        <v>96.21309494080141</v>
      </c>
      <c r="R19" s="36">
        <f t="shared" si="5"/>
        <v>417.2888479065473</v>
      </c>
      <c r="S19" s="36">
        <f t="shared" si="5"/>
        <v>433.50107448246507</v>
      </c>
      <c r="T19" s="36">
        <f>S19/R19*100</f>
        <v>103.88513296179642</v>
      </c>
    </row>
    <row r="20" spans="1:20" ht="17.25" customHeight="1">
      <c r="A20" s="127">
        <v>13</v>
      </c>
      <c r="B20" s="32" t="s">
        <v>96</v>
      </c>
      <c r="C20" s="119"/>
      <c r="D20" s="3">
        <v>3.1</v>
      </c>
      <c r="E20" s="36"/>
      <c r="F20" s="36"/>
      <c r="G20" s="3"/>
      <c r="H20" s="36"/>
      <c r="I20" s="3"/>
      <c r="J20" s="3">
        <v>1002</v>
      </c>
      <c r="K20" s="36"/>
      <c r="L20" s="3"/>
      <c r="M20" s="3"/>
      <c r="N20" s="36"/>
      <c r="O20" s="36"/>
      <c r="P20" s="36">
        <f t="shared" si="6"/>
        <v>309.3812375249501</v>
      </c>
      <c r="Q20" s="36"/>
      <c r="R20" s="36"/>
      <c r="S20" s="36"/>
      <c r="T20" s="36"/>
    </row>
    <row r="21" spans="1:20" ht="15">
      <c r="A21" s="2">
        <v>13</v>
      </c>
      <c r="B21" s="32" t="s">
        <v>77</v>
      </c>
      <c r="C21" s="95"/>
      <c r="D21" s="87"/>
      <c r="E21" s="36"/>
      <c r="F21" s="87">
        <v>30</v>
      </c>
      <c r="G21" s="87"/>
      <c r="H21" s="36"/>
      <c r="I21" s="3"/>
      <c r="J21" s="87"/>
      <c r="K21" s="36"/>
      <c r="L21" s="87">
        <v>16420</v>
      </c>
      <c r="M21" s="87"/>
      <c r="N21" s="88"/>
      <c r="O21" s="36"/>
      <c r="P21" s="36"/>
      <c r="Q21" s="36"/>
      <c r="R21" s="36">
        <f t="shared" si="5"/>
        <v>182.70401948842874</v>
      </c>
      <c r="S21" s="36"/>
      <c r="T21" s="36"/>
    </row>
    <row r="22" spans="1:20" ht="18" customHeight="1">
      <c r="A22" s="151" t="s">
        <v>84</v>
      </c>
      <c r="B22" s="152"/>
      <c r="C22" s="87"/>
      <c r="D22" s="87">
        <f>SUM(D20:D21)</f>
        <v>3.1</v>
      </c>
      <c r="E22" s="87"/>
      <c r="F22" s="88">
        <f>SUM(F20:F21)</f>
        <v>30</v>
      </c>
      <c r="G22" s="88">
        <f>SUM(G20:G21)</f>
        <v>0</v>
      </c>
      <c r="H22" s="36"/>
      <c r="I22" s="3"/>
      <c r="J22" s="87">
        <f>SUM(J20:J21)</f>
        <v>1002</v>
      </c>
      <c r="K22" s="36"/>
      <c r="L22" s="87">
        <f>SUM(L21)</f>
        <v>16420</v>
      </c>
      <c r="M22" s="87">
        <f>SUM(M21)</f>
        <v>0</v>
      </c>
      <c r="N22" s="88">
        <f>M22/L22*100</f>
        <v>0</v>
      </c>
      <c r="O22" s="36"/>
      <c r="P22" s="36">
        <f t="shared" si="6"/>
        <v>309.3812375249501</v>
      </c>
      <c r="Q22" s="36"/>
      <c r="R22" s="36">
        <f>F22/L22*100000</f>
        <v>182.70401948842874</v>
      </c>
      <c r="S22" s="36"/>
      <c r="T22" s="36"/>
    </row>
    <row r="23" spans="1:20" ht="36.75" customHeight="1">
      <c r="A23" s="149" t="s">
        <v>85</v>
      </c>
      <c r="B23" s="150"/>
      <c r="C23" s="88">
        <f>C19+C22</f>
        <v>1336</v>
      </c>
      <c r="D23" s="88">
        <f>D19+D22</f>
        <v>1384.02</v>
      </c>
      <c r="E23" s="36">
        <f>D23/C23*100</f>
        <v>103.5943113772455</v>
      </c>
      <c r="F23" s="88">
        <f>F19+F22</f>
        <v>6895.04</v>
      </c>
      <c r="G23" s="88">
        <f>G19+G22</f>
        <v>7231.86</v>
      </c>
      <c r="H23" s="36">
        <f>G23/F23*100</f>
        <v>104.88496078340373</v>
      </c>
      <c r="I23" s="88">
        <f>I19+I22</f>
        <v>307500</v>
      </c>
      <c r="J23" s="88">
        <f>J19+J22</f>
        <v>331351</v>
      </c>
      <c r="K23" s="36">
        <f t="shared" si="4"/>
        <v>107.75642276422764</v>
      </c>
      <c r="L23" s="88">
        <f>L19+L22</f>
        <v>1661573</v>
      </c>
      <c r="M23" s="88">
        <f>M19+M22</f>
        <v>1668245</v>
      </c>
      <c r="N23" s="88"/>
      <c r="O23" s="36">
        <f t="shared" si="6"/>
        <v>434.4715447154471</v>
      </c>
      <c r="P23" s="36">
        <f t="shared" si="6"/>
        <v>417.6900024445377</v>
      </c>
      <c r="Q23" s="36">
        <f>P23/O23*100</f>
        <v>96.13748185007137</v>
      </c>
      <c r="R23" s="36">
        <f>F23/L23*100000</f>
        <v>414.9706332493367</v>
      </c>
      <c r="S23" s="36">
        <f>G23/M23*100000</f>
        <v>433.50107448246507</v>
      </c>
      <c r="T23" s="36">
        <f>S23/R23*100</f>
        <v>104.46548255427857</v>
      </c>
    </row>
  </sheetData>
  <sheetProtection/>
  <mergeCells count="24">
    <mergeCell ref="C6:C7"/>
    <mergeCell ref="D6:D7"/>
    <mergeCell ref="E5:E7"/>
    <mergeCell ref="Q5:Q7"/>
    <mergeCell ref="N5:N7"/>
    <mergeCell ref="A23:B23"/>
    <mergeCell ref="A22:B22"/>
    <mergeCell ref="A19:B19"/>
    <mergeCell ref="F6:F7"/>
    <mergeCell ref="T5:T7"/>
    <mergeCell ref="L5:M5"/>
    <mergeCell ref="R5:S5"/>
    <mergeCell ref="L6:L7"/>
    <mergeCell ref="M6:M7"/>
    <mergeCell ref="R6:R7"/>
    <mergeCell ref="O6:O7"/>
    <mergeCell ref="S6:S7"/>
    <mergeCell ref="I6:I7"/>
    <mergeCell ref="K5:K7"/>
    <mergeCell ref="I5:J5"/>
    <mergeCell ref="P6:P7"/>
    <mergeCell ref="G6:G7"/>
    <mergeCell ref="H5:H7"/>
    <mergeCell ref="J6:J7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75" zoomScaleNormal="50" zoomScaleSheetLayoutView="75" zoomScalePageLayoutView="0" workbookViewId="0" topLeftCell="A1">
      <selection activeCell="H37" sqref="H37"/>
    </sheetView>
  </sheetViews>
  <sheetFormatPr defaultColWidth="9.00390625" defaultRowHeight="12.75"/>
  <cols>
    <col min="1" max="1" width="3.625" style="0" customWidth="1"/>
    <col min="2" max="2" width="34.625" style="0" customWidth="1"/>
    <col min="3" max="3" width="7.25390625" style="0" customWidth="1"/>
    <col min="4" max="4" width="7.125" style="0" customWidth="1"/>
    <col min="5" max="5" width="8.125" style="0" customWidth="1"/>
    <col min="6" max="6" width="9.75390625" style="0" customWidth="1"/>
    <col min="7" max="7" width="7.125" style="0" customWidth="1"/>
    <col min="8" max="8" width="7.375" style="0" customWidth="1"/>
    <col min="9" max="9" width="8.75390625" style="0" customWidth="1"/>
    <col min="10" max="10" width="8.375" style="0" customWidth="1"/>
    <col min="11" max="11" width="9.625" style="0" customWidth="1"/>
    <col min="12" max="12" width="13.75390625" style="72" customWidth="1"/>
    <col min="13" max="13" width="14.375" style="72" customWidth="1"/>
    <col min="14" max="14" width="9.125" style="72" customWidth="1"/>
  </cols>
  <sheetData>
    <row r="1" ht="15.75">
      <c r="C1" s="1" t="s">
        <v>115</v>
      </c>
    </row>
    <row r="2" spans="1:13" ht="15">
      <c r="A2" s="20"/>
      <c r="B2" s="20"/>
      <c r="C2" s="20"/>
      <c r="D2" s="20"/>
      <c r="E2" s="20"/>
      <c r="F2" s="20"/>
      <c r="G2" s="20"/>
      <c r="H2" s="20"/>
      <c r="I2" s="10" t="s">
        <v>52</v>
      </c>
      <c r="J2" s="20"/>
      <c r="K2" s="20"/>
      <c r="L2" s="141"/>
      <c r="M2" s="141"/>
    </row>
    <row r="3" spans="1:14" ht="23.25" customHeight="1">
      <c r="A3" s="23" t="s">
        <v>2</v>
      </c>
      <c r="B3" s="23" t="s">
        <v>3</v>
      </c>
      <c r="C3" s="25"/>
      <c r="D3" s="25" t="s">
        <v>49</v>
      </c>
      <c r="E3" s="27"/>
      <c r="F3" s="164" t="s">
        <v>101</v>
      </c>
      <c r="G3" s="175" t="s">
        <v>8</v>
      </c>
      <c r="H3" s="176"/>
      <c r="I3" s="177"/>
      <c r="J3" s="167" t="s">
        <v>111</v>
      </c>
      <c r="K3" s="168"/>
      <c r="L3" s="178"/>
      <c r="M3" s="178"/>
      <c r="N3" s="178"/>
    </row>
    <row r="4" spans="1:14" ht="15" customHeight="1">
      <c r="A4" s="33"/>
      <c r="B4" s="33"/>
      <c r="C4" s="9">
        <v>2012</v>
      </c>
      <c r="D4" s="42">
        <v>2013</v>
      </c>
      <c r="E4" s="19" t="s">
        <v>4</v>
      </c>
      <c r="F4" s="165"/>
      <c r="G4" s="9">
        <v>2012</v>
      </c>
      <c r="H4" s="42">
        <v>2013</v>
      </c>
      <c r="I4" s="19" t="s">
        <v>4</v>
      </c>
      <c r="J4" s="169">
        <v>2012</v>
      </c>
      <c r="K4" s="169">
        <v>2013</v>
      </c>
      <c r="L4" s="180"/>
      <c r="M4" s="180"/>
      <c r="N4" s="179"/>
    </row>
    <row r="5" spans="1:14" ht="15">
      <c r="A5" s="29"/>
      <c r="B5" s="29"/>
      <c r="C5" s="28"/>
      <c r="D5" s="35"/>
      <c r="E5" s="11">
        <v>2012</v>
      </c>
      <c r="F5" s="166"/>
      <c r="G5" s="28"/>
      <c r="H5" s="35"/>
      <c r="I5" s="11">
        <v>2012</v>
      </c>
      <c r="J5" s="170"/>
      <c r="K5" s="170"/>
      <c r="L5" s="180"/>
      <c r="M5" s="180"/>
      <c r="N5" s="179"/>
    </row>
    <row r="6" spans="1:14" ht="15">
      <c r="A6" s="3">
        <v>1</v>
      </c>
      <c r="B6" s="22" t="s">
        <v>53</v>
      </c>
      <c r="C6" s="3"/>
      <c r="D6" s="3"/>
      <c r="E6" s="36"/>
      <c r="F6" s="36"/>
      <c r="G6" s="3">
        <v>17</v>
      </c>
      <c r="H6" s="3">
        <v>6</v>
      </c>
      <c r="I6" s="88">
        <f aca="true" t="shared" si="0" ref="I6:I19">H6*100/G6</f>
        <v>35.294117647058826</v>
      </c>
      <c r="J6" s="117">
        <f>G6+(C6*0.2)+('численность 1'!M6*0.3)+'численность 1'!G6+(('численность 1'!C6-'численность 1'!G6)*0.6)</f>
        <v>257</v>
      </c>
      <c r="K6" s="117">
        <f>H6+(D6*0.2)+('численность 1'!N6*0.3)+'численность 1'!H6+(('численность 1'!D6-'численность 1'!H6)*0.6)</f>
        <v>260.6</v>
      </c>
      <c r="L6" s="142"/>
      <c r="M6" s="142"/>
      <c r="N6" s="76"/>
    </row>
    <row r="7" spans="1:14" ht="15">
      <c r="A7" s="3">
        <v>2</v>
      </c>
      <c r="B7" s="22" t="s">
        <v>54</v>
      </c>
      <c r="C7" s="3"/>
      <c r="D7" s="3"/>
      <c r="E7" s="36"/>
      <c r="F7" s="36"/>
      <c r="G7" s="3">
        <v>4</v>
      </c>
      <c r="H7" s="3">
        <v>4</v>
      </c>
      <c r="I7" s="88">
        <f t="shared" si="0"/>
        <v>100</v>
      </c>
      <c r="J7" s="117">
        <f>G7+(C7*0.2)+('численность 1'!M7*0.3)+'численность 1'!G7+(('численность 1'!C7-'численность 1'!G7)*0.6)</f>
        <v>182.8</v>
      </c>
      <c r="K7" s="117">
        <f>H7+(D7*0.2)+('численность 1'!N7*0.3)+'численность 1'!H7+(('численность 1'!D7-'численность 1'!H7)*0.6)</f>
        <v>203.2</v>
      </c>
      <c r="L7" s="142"/>
      <c r="M7" s="142"/>
      <c r="N7" s="76"/>
    </row>
    <row r="8" spans="1:14" ht="15">
      <c r="A8" s="3">
        <v>3</v>
      </c>
      <c r="B8" s="22" t="s">
        <v>55</v>
      </c>
      <c r="C8" s="3"/>
      <c r="D8" s="3"/>
      <c r="E8" s="36"/>
      <c r="F8" s="36"/>
      <c r="G8" s="3">
        <v>1</v>
      </c>
      <c r="H8" s="3">
        <v>1</v>
      </c>
      <c r="I8" s="88">
        <f t="shared" si="0"/>
        <v>100</v>
      </c>
      <c r="J8" s="117">
        <f>G8+(C8*0.2)+('численность 1'!M8*0.3)+'численность 1'!G8+(('численность 1'!C8-'численность 1'!G8)*0.6)</f>
        <v>97</v>
      </c>
      <c r="K8" s="117">
        <f>H8+(D8*0.2)+('численность 1'!N8*0.3)+'численность 1'!H8+(('численность 1'!D8-'численность 1'!H8)*0.6)</f>
        <v>101.19999999999999</v>
      </c>
      <c r="L8" s="142"/>
      <c r="M8" s="142"/>
      <c r="N8" s="76"/>
    </row>
    <row r="9" spans="1:14" ht="15">
      <c r="A9" s="3">
        <v>4</v>
      </c>
      <c r="B9" s="22" t="s">
        <v>56</v>
      </c>
      <c r="C9" s="3"/>
      <c r="D9" s="3"/>
      <c r="E9" s="3"/>
      <c r="F9" s="3"/>
      <c r="G9" s="3">
        <v>20</v>
      </c>
      <c r="H9" s="3">
        <v>19</v>
      </c>
      <c r="I9" s="88">
        <f t="shared" si="0"/>
        <v>95</v>
      </c>
      <c r="J9" s="117">
        <f>G9+(C9*0.2)+('численность 1'!M9*0.3)+'численность 1'!G9+(('численность 1'!C9-'численность 1'!G9)*0.6)</f>
        <v>776.8</v>
      </c>
      <c r="K9" s="117">
        <f>H9+(D9*0.2)+('численность 1'!N9*0.3)+'численность 1'!H9+(('численность 1'!D9-'численность 1'!H9)*0.6)</f>
        <v>815.7</v>
      </c>
      <c r="L9" s="137"/>
      <c r="M9" s="137"/>
      <c r="N9" s="76"/>
    </row>
    <row r="10" spans="1:14" ht="15">
      <c r="A10" s="3">
        <v>5</v>
      </c>
      <c r="B10" s="22" t="s">
        <v>57</v>
      </c>
      <c r="C10" s="3">
        <v>124</v>
      </c>
      <c r="D10" s="3"/>
      <c r="E10" s="88"/>
      <c r="F10" s="88"/>
      <c r="G10" s="3">
        <v>14</v>
      </c>
      <c r="H10" s="3">
        <v>12</v>
      </c>
      <c r="I10" s="88">
        <f t="shared" si="0"/>
        <v>85.71428571428571</v>
      </c>
      <c r="J10" s="117">
        <f>G10+(C10*0.2)+('численность 1'!M10*0.3)+'численность 1'!G10+(('численность 1'!C10-'численность 1'!G10)*0.6)</f>
        <v>383.4</v>
      </c>
      <c r="K10" s="117">
        <f>H10+(D10*0.2)+('численность 1'!N10*0.3)+'численность 1'!H10+(('численность 1'!D10-'численность 1'!H10)*0.6)</f>
        <v>307.1</v>
      </c>
      <c r="L10" s="142"/>
      <c r="M10" s="142"/>
      <c r="N10" s="76"/>
    </row>
    <row r="11" spans="1:14" ht="15">
      <c r="A11" s="3">
        <v>6</v>
      </c>
      <c r="B11" s="38" t="s">
        <v>68</v>
      </c>
      <c r="C11" s="87"/>
      <c r="D11" s="87"/>
      <c r="E11" s="88"/>
      <c r="F11" s="88"/>
      <c r="G11" s="3">
        <v>11</v>
      </c>
      <c r="H11" s="3">
        <v>9</v>
      </c>
      <c r="I11" s="88">
        <f t="shared" si="0"/>
        <v>81.81818181818181</v>
      </c>
      <c r="J11" s="117">
        <f>G11+(C11*0.2)+('численность 1'!M11*0.3)+'численность 1'!G11+(('численность 1'!C11-'численность 1'!G11)*0.6)</f>
        <v>200.39999999999998</v>
      </c>
      <c r="K11" s="117">
        <f>H11+(D11*0.2)+('численность 1'!N11*0.3)+'численность 1'!H11+(('численность 1'!D11-'численность 1'!H11)*0.6)</f>
        <v>202</v>
      </c>
      <c r="L11" s="137"/>
      <c r="M11" s="137"/>
      <c r="N11" s="76"/>
    </row>
    <row r="12" spans="1:14" ht="15">
      <c r="A12" s="3">
        <v>8</v>
      </c>
      <c r="B12" s="32" t="s">
        <v>81</v>
      </c>
      <c r="C12" s="87"/>
      <c r="D12" s="87"/>
      <c r="E12" s="88"/>
      <c r="F12" s="88"/>
      <c r="G12" s="87">
        <v>3</v>
      </c>
      <c r="H12" s="87">
        <v>3</v>
      </c>
      <c r="I12" s="88">
        <f t="shared" si="0"/>
        <v>100</v>
      </c>
      <c r="J12" s="117">
        <f>G12+(C12*0.2)+('численность 1'!M12*0.3)+'численность 1'!G12+(('численность 1'!C12-'численность 1'!G12)*0.6)</f>
        <v>173.6</v>
      </c>
      <c r="K12" s="117">
        <f>H12+(D12*0.2)+('численность 1'!N12*0.3)+'численность 1'!H12+(('численность 1'!D12-'численность 1'!H12)*0.6)</f>
        <v>182</v>
      </c>
      <c r="L12" s="137"/>
      <c r="M12" s="138"/>
      <c r="N12" s="76"/>
    </row>
    <row r="13" spans="1:14" ht="15">
      <c r="A13" s="3">
        <v>9</v>
      </c>
      <c r="B13" s="32" t="s">
        <v>67</v>
      </c>
      <c r="C13" s="87">
        <v>204</v>
      </c>
      <c r="D13" s="87">
        <v>261</v>
      </c>
      <c r="E13" s="88">
        <f>D13*100/C13</f>
        <v>127.94117647058823</v>
      </c>
      <c r="F13" s="88">
        <v>111</v>
      </c>
      <c r="G13" s="3">
        <v>4</v>
      </c>
      <c r="H13" s="3">
        <v>3</v>
      </c>
      <c r="I13" s="88">
        <f t="shared" si="0"/>
        <v>75</v>
      </c>
      <c r="J13" s="117">
        <f>G13+(C13*0.2)+('численность 1'!M13*0.3)+'численность 1'!G13+(('численность 1'!C13-'численность 1'!G13)*0.6)</f>
        <v>235</v>
      </c>
      <c r="K13" s="117">
        <f>H13+(D13*0.2)+('численность 1'!N13*0.3)+'численность 1'!H13+(('численность 1'!D13-'численность 1'!H13)*0.6)</f>
        <v>170.39999999999998</v>
      </c>
      <c r="L13" s="137"/>
      <c r="M13" s="137"/>
      <c r="N13" s="76"/>
    </row>
    <row r="14" spans="1:14" ht="15">
      <c r="A14" s="3">
        <v>10</v>
      </c>
      <c r="B14" s="22" t="s">
        <v>58</v>
      </c>
      <c r="C14" s="87"/>
      <c r="D14" s="87"/>
      <c r="E14" s="88"/>
      <c r="F14" s="88"/>
      <c r="G14" s="3">
        <v>4</v>
      </c>
      <c r="H14" s="3">
        <v>4</v>
      </c>
      <c r="I14" s="88">
        <f t="shared" si="0"/>
        <v>100</v>
      </c>
      <c r="J14" s="117">
        <f>G14+(C14*0.2)+('численность 1'!M14*0.3)+'численность 1'!G14+(('численность 1'!C14-'численность 1'!G14)*0.6)</f>
        <v>191</v>
      </c>
      <c r="K14" s="117">
        <f>H14+(D14*0.2)+('численность 1'!N14*0.3)+'численность 1'!H14+(('численность 1'!D14-'численность 1'!H14)*0.6)</f>
        <v>209.6</v>
      </c>
      <c r="L14" s="137"/>
      <c r="M14" s="137"/>
      <c r="N14" s="76"/>
    </row>
    <row r="15" spans="1:14" ht="15">
      <c r="A15" s="3">
        <v>11</v>
      </c>
      <c r="B15" s="22" t="s">
        <v>59</v>
      </c>
      <c r="C15" s="87"/>
      <c r="D15" s="87"/>
      <c r="E15" s="88"/>
      <c r="F15" s="88"/>
      <c r="G15" s="3">
        <v>1</v>
      </c>
      <c r="H15" s="3">
        <v>1</v>
      </c>
      <c r="I15" s="88">
        <f t="shared" si="0"/>
        <v>100</v>
      </c>
      <c r="J15" s="117">
        <f>G15+(C15*0.2)+('численность 1'!M15*0.3)+'численность 1'!G15+(('численность 1'!C15-'численность 1'!G15)*0.6)</f>
        <v>43.4</v>
      </c>
      <c r="K15" s="117">
        <f>H15+(D15*0.2)+('численность 1'!N15*0.3)+'численность 1'!H15+(('численность 1'!D15-'численность 1'!H15)*0.6)</f>
        <v>75</v>
      </c>
      <c r="L15" s="137"/>
      <c r="M15" s="137"/>
      <c r="N15" s="76"/>
    </row>
    <row r="16" spans="1:14" ht="15">
      <c r="A16" s="3">
        <v>12</v>
      </c>
      <c r="B16" s="22" t="s">
        <v>60</v>
      </c>
      <c r="C16" s="87"/>
      <c r="D16" s="87"/>
      <c r="E16" s="88"/>
      <c r="F16" s="88"/>
      <c r="G16" s="3">
        <v>1</v>
      </c>
      <c r="H16" s="3">
        <v>1</v>
      </c>
      <c r="I16" s="88">
        <f t="shared" si="0"/>
        <v>100</v>
      </c>
      <c r="J16" s="117">
        <f>G16+(C16*0.2)+('численность 1'!M16*0.3)+'численность 1'!G16+(('численность 1'!C16-'численность 1'!G16)*0.6)</f>
        <v>2904.7</v>
      </c>
      <c r="K16" s="117">
        <f>H16+(D16*0.2)+('численность 1'!N16*0.3)+'численность 1'!H16+(('численность 1'!D16-'численность 1'!H16)*0.6)</f>
        <v>2602.9</v>
      </c>
      <c r="L16" s="137"/>
      <c r="M16" s="137"/>
      <c r="N16" s="76"/>
    </row>
    <row r="17" spans="1:14" ht="15">
      <c r="A17" s="3">
        <v>13</v>
      </c>
      <c r="B17" s="32" t="s">
        <v>66</v>
      </c>
      <c r="C17" s="87"/>
      <c r="D17" s="87"/>
      <c r="E17" s="88"/>
      <c r="F17" s="88"/>
      <c r="G17" s="3">
        <v>166</v>
      </c>
      <c r="H17" s="3">
        <v>164</v>
      </c>
      <c r="I17" s="88">
        <f t="shared" si="0"/>
        <v>98.79518072289157</v>
      </c>
      <c r="J17" s="117">
        <f>G17+(C17*0.2)+('численность 1'!M17*0.3)+'численность 1'!G17+(('численность 1'!C17-'численность 1'!G17)*0.6)</f>
        <v>166</v>
      </c>
      <c r="K17" s="117">
        <f>H17+(D17*0.2)+('численность 1'!N17*0.3)+'численность 1'!H17+(('численность 1'!D17-'численность 1'!H17)*0.6)</f>
        <v>164</v>
      </c>
      <c r="L17" s="137"/>
      <c r="M17" s="137"/>
      <c r="N17" s="76"/>
    </row>
    <row r="18" spans="1:14" ht="15">
      <c r="A18" s="31">
        <v>14</v>
      </c>
      <c r="B18" s="32" t="s">
        <v>100</v>
      </c>
      <c r="C18" s="87"/>
      <c r="D18" s="87">
        <v>340</v>
      </c>
      <c r="E18" s="88"/>
      <c r="F18" s="88">
        <v>180</v>
      </c>
      <c r="G18" s="3"/>
      <c r="H18" s="3"/>
      <c r="I18" s="88"/>
      <c r="J18" s="117">
        <f>G18+(C18*0.2)+('численность 1'!M18*0.3)+'численность 1'!G18+(('численность 1'!C18-'численность 1'!G18)*0.6)</f>
        <v>0</v>
      </c>
      <c r="K18" s="117">
        <f>H18+(D18*0.2)+('численность 1'!N18*0.3)+'численность 1'!H18+(('численность 1'!D18-'численность 1'!H18)*0.6)</f>
        <v>68</v>
      </c>
      <c r="L18" s="137"/>
      <c r="M18" s="137"/>
      <c r="N18" s="76"/>
    </row>
    <row r="19" spans="1:14" ht="60" customHeight="1">
      <c r="A19" s="171" t="s">
        <v>93</v>
      </c>
      <c r="B19" s="172"/>
      <c r="C19" s="87">
        <f>SUM(C10:C17)</f>
        <v>328</v>
      </c>
      <c r="D19" s="87">
        <f>SUM(D6:D18)</f>
        <v>601</v>
      </c>
      <c r="E19" s="88">
        <f>D19*100/C19</f>
        <v>183.23170731707316</v>
      </c>
      <c r="F19" s="88">
        <f>SUM(F6:F18)</f>
        <v>291</v>
      </c>
      <c r="G19" s="3">
        <f>SUM(G6:G18)</f>
        <v>246</v>
      </c>
      <c r="H19" s="3">
        <f>SUM(H6:H17)</f>
        <v>227</v>
      </c>
      <c r="I19" s="88">
        <f t="shared" si="0"/>
        <v>92.27642276422765</v>
      </c>
      <c r="J19" s="117">
        <f>SUM(J6:J17)</f>
        <v>5611.1</v>
      </c>
      <c r="K19" s="117">
        <f>SUM(K6:K18)</f>
        <v>5361.700000000001</v>
      </c>
      <c r="L19" s="137"/>
      <c r="M19" s="137"/>
      <c r="N19" s="76"/>
    </row>
    <row r="20" spans="1:14" ht="15.75" customHeight="1">
      <c r="A20" s="126">
        <v>1</v>
      </c>
      <c r="B20" s="32" t="s">
        <v>96</v>
      </c>
      <c r="C20" s="87"/>
      <c r="D20" s="87"/>
      <c r="E20" s="88"/>
      <c r="F20" s="88"/>
      <c r="G20" s="3"/>
      <c r="H20" s="3"/>
      <c r="I20" s="88"/>
      <c r="J20" s="117"/>
      <c r="K20" s="117">
        <f>H20+(D20*0.2)+('численность 1'!N20*0.3)+'численность 1'!H20+(('численность 1'!D20-'численность 1'!H20)*0.6)</f>
        <v>18.6</v>
      </c>
      <c r="L20" s="137"/>
      <c r="M20" s="137"/>
      <c r="N20" s="76"/>
    </row>
    <row r="21" spans="1:14" ht="15.75" customHeight="1">
      <c r="A21" s="126">
        <v>2</v>
      </c>
      <c r="B21" s="32" t="s">
        <v>112</v>
      </c>
      <c r="C21" s="87"/>
      <c r="D21" s="87"/>
      <c r="E21" s="88"/>
      <c r="F21" s="88"/>
      <c r="G21" s="3"/>
      <c r="H21" s="3"/>
      <c r="I21" s="88"/>
      <c r="J21" s="117"/>
      <c r="K21" s="117">
        <f>H21+(D21*0.2)+('численность 1'!N21*0.3)+'численность 1'!H21+(('численность 1'!D21-'численность 1'!H21)*0.6)</f>
        <v>6</v>
      </c>
      <c r="L21" s="137"/>
      <c r="M21" s="137"/>
      <c r="N21" s="76"/>
    </row>
    <row r="22" spans="1:14" ht="15.75" customHeight="1">
      <c r="A22" s="126">
        <v>3</v>
      </c>
      <c r="B22" s="32" t="s">
        <v>99</v>
      </c>
      <c r="C22" s="87"/>
      <c r="D22" s="87">
        <v>126</v>
      </c>
      <c r="E22" s="88"/>
      <c r="F22" s="88">
        <v>65</v>
      </c>
      <c r="G22" s="3"/>
      <c r="H22" s="3"/>
      <c r="I22" s="88"/>
      <c r="J22" s="117"/>
      <c r="K22" s="117">
        <f>H22+(D22*0.2)+('численность 1'!N22*0.3)+'численность 1'!H22+(('численность 1'!D22-'численность 1'!H22)*0.6)</f>
        <v>25.200000000000003</v>
      </c>
      <c r="L22" s="137"/>
      <c r="M22" s="137"/>
      <c r="N22" s="76"/>
    </row>
    <row r="23" spans="1:14" ht="15">
      <c r="A23" s="3">
        <v>4</v>
      </c>
      <c r="B23" s="32" t="s">
        <v>77</v>
      </c>
      <c r="C23" s="87"/>
      <c r="D23" s="87"/>
      <c r="E23" s="88"/>
      <c r="F23" s="88"/>
      <c r="G23" s="3"/>
      <c r="H23" s="3"/>
      <c r="I23" s="88"/>
      <c r="J23" s="117">
        <f>G23+(C23*0.2)+('численность 1'!M23*0.3)+'численность 1'!G23+(('численность 1'!C23-'численность 1'!G23)*0.6)</f>
        <v>30.599999999999998</v>
      </c>
      <c r="K23" s="117">
        <f>H23+(D23*0.2)+('численность 1'!N23*0.3)+'численность 1'!H23+(('численность 1'!D23-'численность 1'!H23)*0.6)</f>
        <v>0</v>
      </c>
      <c r="L23" s="138"/>
      <c r="M23" s="137"/>
      <c r="N23" s="76"/>
    </row>
    <row r="24" spans="1:14" ht="15">
      <c r="A24" s="3">
        <v>5</v>
      </c>
      <c r="B24" s="32" t="s">
        <v>82</v>
      </c>
      <c r="C24" s="3">
        <v>61</v>
      </c>
      <c r="D24" s="3">
        <v>107</v>
      </c>
      <c r="E24" s="88">
        <f>D24*100/C24</f>
        <v>175.40983606557376</v>
      </c>
      <c r="F24" s="36">
        <v>56</v>
      </c>
      <c r="G24" s="3">
        <v>8</v>
      </c>
      <c r="H24" s="3">
        <v>7</v>
      </c>
      <c r="I24" s="88">
        <f>H24*100/G24</f>
        <v>87.5</v>
      </c>
      <c r="J24" s="117">
        <f>G24+(C24*0.2)+('численность 1'!M24*0.3)+'численность 1'!G24+(('численность 1'!C24-'численность 1'!G24)*0.6)</f>
        <v>20.200000000000003</v>
      </c>
      <c r="K24" s="117">
        <f>H24+(D24*0.2)+('численность 1'!N24*0.3)+'численность 1'!H24+(('численность 1'!D24-'численность 1'!H24)*0.6)</f>
        <v>28.400000000000002</v>
      </c>
      <c r="L24" s="142"/>
      <c r="M24" s="142"/>
      <c r="N24" s="76"/>
    </row>
    <row r="25" spans="1:13" ht="25.5" customHeight="1">
      <c r="A25" s="171" t="s">
        <v>84</v>
      </c>
      <c r="B25" s="172"/>
      <c r="C25" s="87">
        <f>SUM(C24)</f>
        <v>61</v>
      </c>
      <c r="D25" s="87">
        <f>SUM(D20:D24)</f>
        <v>233</v>
      </c>
      <c r="E25" s="88">
        <f>D25*100/C25</f>
        <v>381.9672131147541</v>
      </c>
      <c r="F25" s="87">
        <f>SUM(F20:F24)</f>
        <v>121</v>
      </c>
      <c r="G25" s="87">
        <f>SUM(G23:G24)</f>
        <v>8</v>
      </c>
      <c r="H25" s="87">
        <f>SUM(H23:H24)</f>
        <v>7</v>
      </c>
      <c r="I25" s="88">
        <f>H25*100/G25</f>
        <v>87.5</v>
      </c>
      <c r="J25" s="117">
        <f>SUM(J20:J24)</f>
        <v>50.8</v>
      </c>
      <c r="K25" s="117">
        <f>SUM(K20:K24)</f>
        <v>78.2</v>
      </c>
      <c r="L25" s="139"/>
      <c r="M25" s="139"/>
    </row>
    <row r="26" spans="1:13" ht="41.25" customHeight="1">
      <c r="A26" s="173" t="s">
        <v>85</v>
      </c>
      <c r="B26" s="174"/>
      <c r="C26" s="87">
        <f>C19+C25</f>
        <v>389</v>
      </c>
      <c r="D26" s="87">
        <f>D19+D25</f>
        <v>834</v>
      </c>
      <c r="E26" s="36">
        <f>D26/C26*100</f>
        <v>214.39588688946017</v>
      </c>
      <c r="F26" s="87">
        <f>F19+F25</f>
        <v>412</v>
      </c>
      <c r="G26" s="87">
        <f>G19+G25</f>
        <v>254</v>
      </c>
      <c r="H26" s="87">
        <f>H19+H25</f>
        <v>234</v>
      </c>
      <c r="I26" s="88">
        <f>H26*100/G26</f>
        <v>92.1259842519685</v>
      </c>
      <c r="J26" s="114">
        <f>J19+J25</f>
        <v>5661.900000000001</v>
      </c>
      <c r="K26" s="117">
        <f>K19+K25</f>
        <v>5439.900000000001</v>
      </c>
      <c r="L26" s="136"/>
      <c r="M26" s="137"/>
    </row>
  </sheetData>
  <sheetProtection/>
  <mergeCells count="12">
    <mergeCell ref="N3:N5"/>
    <mergeCell ref="L3:M3"/>
    <mergeCell ref="L4:L5"/>
    <mergeCell ref="M4:M5"/>
    <mergeCell ref="A19:B19"/>
    <mergeCell ref="F3:F5"/>
    <mergeCell ref="J3:K3"/>
    <mergeCell ref="J4:J5"/>
    <mergeCell ref="K4:K5"/>
    <mergeCell ref="A25:B25"/>
    <mergeCell ref="A26:B26"/>
    <mergeCell ref="G3:I3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view="pageBreakPreview" zoomScale="60" zoomScaleNormal="50" zoomScalePageLayoutView="0" workbookViewId="0" topLeftCell="A1">
      <selection activeCell="P35" sqref="P35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116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51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56" t="s">
        <v>3</v>
      </c>
      <c r="C3" s="146" t="s">
        <v>70</v>
      </c>
      <c r="D3" s="182"/>
      <c r="E3" s="183"/>
      <c r="F3" s="158" t="s">
        <v>69</v>
      </c>
      <c r="G3" s="146" t="s">
        <v>6</v>
      </c>
      <c r="H3" s="182"/>
      <c r="I3" s="183"/>
      <c r="J3" s="184" t="s">
        <v>64</v>
      </c>
      <c r="K3" s="185"/>
      <c r="L3" s="186"/>
      <c r="M3" s="146" t="s">
        <v>7</v>
      </c>
      <c r="N3" s="182"/>
      <c r="O3" s="182"/>
      <c r="P3" s="182"/>
      <c r="Q3" s="182"/>
      <c r="R3" s="182"/>
      <c r="S3" s="182"/>
      <c r="T3" s="182"/>
      <c r="U3" s="183"/>
    </row>
    <row r="4" spans="1:21" s="20" customFormat="1" ht="23.25" customHeight="1">
      <c r="A4" s="33"/>
      <c r="B4" s="181"/>
      <c r="C4" s="156">
        <v>2012</v>
      </c>
      <c r="D4" s="156">
        <v>2013</v>
      </c>
      <c r="E4" s="99" t="s">
        <v>4</v>
      </c>
      <c r="F4" s="159"/>
      <c r="G4" s="156">
        <v>2012</v>
      </c>
      <c r="H4" s="156">
        <v>2013</v>
      </c>
      <c r="I4" s="99" t="s">
        <v>4</v>
      </c>
      <c r="J4" s="156">
        <v>2012</v>
      </c>
      <c r="K4" s="156">
        <v>2013</v>
      </c>
      <c r="L4" s="99" t="s">
        <v>4</v>
      </c>
      <c r="M4" s="156">
        <v>2012</v>
      </c>
      <c r="N4" s="156">
        <v>2013</v>
      </c>
      <c r="O4" s="99" t="s">
        <v>4</v>
      </c>
      <c r="P4" s="96" t="s">
        <v>5</v>
      </c>
      <c r="Q4" s="100" t="s">
        <v>63</v>
      </c>
      <c r="R4" s="158" t="s">
        <v>109</v>
      </c>
      <c r="S4" s="96" t="s">
        <v>48</v>
      </c>
      <c r="T4" s="101"/>
      <c r="U4" s="158" t="s">
        <v>109</v>
      </c>
    </row>
    <row r="5" spans="1:21" s="20" customFormat="1" ht="23.25" customHeight="1">
      <c r="A5" s="29"/>
      <c r="B5" s="161"/>
      <c r="C5" s="157"/>
      <c r="D5" s="157"/>
      <c r="E5" s="102">
        <v>2012</v>
      </c>
      <c r="F5" s="160"/>
      <c r="G5" s="157"/>
      <c r="H5" s="157"/>
      <c r="I5" s="102">
        <v>2012</v>
      </c>
      <c r="J5" s="157"/>
      <c r="K5" s="157"/>
      <c r="L5" s="102">
        <v>2012</v>
      </c>
      <c r="M5" s="157"/>
      <c r="N5" s="157"/>
      <c r="O5" s="102">
        <v>2012</v>
      </c>
      <c r="P5" s="97">
        <v>2012</v>
      </c>
      <c r="Q5" s="97">
        <v>2013</v>
      </c>
      <c r="R5" s="187"/>
      <c r="S5" s="97">
        <v>2012</v>
      </c>
      <c r="T5" s="97">
        <v>2013</v>
      </c>
      <c r="U5" s="187"/>
    </row>
    <row r="6" spans="1:34" s="20" customFormat="1" ht="24.75" customHeight="1">
      <c r="A6" s="3">
        <v>1</v>
      </c>
      <c r="B6" s="22" t="s">
        <v>53</v>
      </c>
      <c r="C6" s="3">
        <v>280</v>
      </c>
      <c r="D6" s="3">
        <v>307</v>
      </c>
      <c r="E6" s="36">
        <f aca="true" t="shared" si="0" ref="E6:E15">D6*100/C6</f>
        <v>109.64285714285714</v>
      </c>
      <c r="F6" s="3">
        <v>8</v>
      </c>
      <c r="G6" s="3">
        <v>180</v>
      </c>
      <c r="H6" s="3">
        <v>176</v>
      </c>
      <c r="I6" s="36">
        <f aca="true" t="shared" si="1" ref="I6:I15">H6*100/G6</f>
        <v>97.77777777777777</v>
      </c>
      <c r="J6" s="3">
        <v>180</v>
      </c>
      <c r="K6" s="3">
        <v>179</v>
      </c>
      <c r="L6" s="36">
        <f aca="true" t="shared" si="2" ref="L6:L26">K6*100/J6</f>
        <v>99.44444444444444</v>
      </c>
      <c r="M6" s="3"/>
      <c r="N6" s="3"/>
      <c r="O6" s="36"/>
      <c r="P6" s="3"/>
      <c r="Q6" s="3"/>
      <c r="R6" s="36"/>
      <c r="S6" s="36"/>
      <c r="T6" s="36"/>
      <c r="U6" s="36"/>
      <c r="AH6" s="85"/>
    </row>
    <row r="7" spans="1:34" s="20" customFormat="1" ht="24.75" customHeight="1">
      <c r="A7" s="3">
        <v>2</v>
      </c>
      <c r="B7" s="22" t="s">
        <v>54</v>
      </c>
      <c r="C7" s="3">
        <v>228</v>
      </c>
      <c r="D7" s="3">
        <v>262</v>
      </c>
      <c r="E7" s="36">
        <f t="shared" si="0"/>
        <v>114.91228070175438</v>
      </c>
      <c r="F7" s="3">
        <v>16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3"/>
      <c r="N7" s="3"/>
      <c r="O7" s="36"/>
      <c r="P7" s="3"/>
      <c r="Q7" s="3"/>
      <c r="R7" s="36"/>
      <c r="S7" s="36"/>
      <c r="T7" s="36"/>
      <c r="U7" s="36"/>
      <c r="AH7" s="85"/>
    </row>
    <row r="8" spans="1:34" s="20" customFormat="1" ht="24.75" customHeight="1">
      <c r="A8" s="3">
        <v>3</v>
      </c>
      <c r="B8" s="22" t="s">
        <v>55</v>
      </c>
      <c r="C8" s="3">
        <v>120</v>
      </c>
      <c r="D8" s="3">
        <v>127</v>
      </c>
      <c r="E8" s="36">
        <f t="shared" si="0"/>
        <v>105.83333333333333</v>
      </c>
      <c r="F8" s="87">
        <v>3</v>
      </c>
      <c r="G8" s="3">
        <v>60</v>
      </c>
      <c r="H8" s="3">
        <v>60</v>
      </c>
      <c r="I8" s="36">
        <f t="shared" si="1"/>
        <v>100</v>
      </c>
      <c r="J8" s="3">
        <v>60</v>
      </c>
      <c r="K8" s="3">
        <v>60</v>
      </c>
      <c r="L8" s="36">
        <f t="shared" si="2"/>
        <v>100</v>
      </c>
      <c r="M8" s="3"/>
      <c r="N8" s="3"/>
      <c r="O8" s="98"/>
      <c r="P8" s="3"/>
      <c r="Q8" s="3"/>
      <c r="R8" s="36"/>
      <c r="S8" s="36"/>
      <c r="T8" s="36"/>
      <c r="U8" s="36"/>
      <c r="AH8" s="85"/>
    </row>
    <row r="9" spans="1:34" s="20" customFormat="1" ht="24.75" customHeight="1">
      <c r="A9" s="3">
        <v>4</v>
      </c>
      <c r="B9" s="22" t="s">
        <v>56</v>
      </c>
      <c r="C9" s="3">
        <v>857</v>
      </c>
      <c r="D9" s="3">
        <v>963</v>
      </c>
      <c r="E9" s="36">
        <f t="shared" si="0"/>
        <v>112.36872812135356</v>
      </c>
      <c r="F9" s="3">
        <v>31</v>
      </c>
      <c r="G9" s="3">
        <v>308</v>
      </c>
      <c r="H9" s="3">
        <v>308</v>
      </c>
      <c r="I9" s="36">
        <f t="shared" si="1"/>
        <v>100</v>
      </c>
      <c r="J9" s="3">
        <v>308</v>
      </c>
      <c r="K9" s="3">
        <v>308</v>
      </c>
      <c r="L9" s="36">
        <f t="shared" si="2"/>
        <v>100</v>
      </c>
      <c r="M9" s="3">
        <v>398</v>
      </c>
      <c r="N9" s="3">
        <v>319</v>
      </c>
      <c r="O9" s="36">
        <f>N9*100/M9</f>
        <v>80.15075376884423</v>
      </c>
      <c r="P9" s="3">
        <v>28</v>
      </c>
      <c r="Q9" s="3">
        <v>28</v>
      </c>
      <c r="R9" s="36">
        <f>Q9*100/P9</f>
        <v>100</v>
      </c>
      <c r="S9" s="3">
        <v>38</v>
      </c>
      <c r="T9" s="3">
        <v>28</v>
      </c>
      <c r="U9" s="36">
        <f>T9*100/S9</f>
        <v>73.6842105263158</v>
      </c>
      <c r="AH9" s="85"/>
    </row>
    <row r="10" spans="1:34" s="20" customFormat="1" ht="24.75" customHeight="1">
      <c r="A10" s="3">
        <v>5</v>
      </c>
      <c r="B10" s="22" t="s">
        <v>57</v>
      </c>
      <c r="C10" s="3">
        <v>362</v>
      </c>
      <c r="D10" s="3">
        <v>280</v>
      </c>
      <c r="E10" s="36">
        <f t="shared" si="0"/>
        <v>77.34806629834254</v>
      </c>
      <c r="F10" s="114"/>
      <c r="G10" s="3">
        <v>200</v>
      </c>
      <c r="H10" s="3">
        <v>200</v>
      </c>
      <c r="I10" s="36">
        <f t="shared" si="1"/>
        <v>100</v>
      </c>
      <c r="J10" s="3">
        <v>234</v>
      </c>
      <c r="K10" s="3">
        <v>200</v>
      </c>
      <c r="L10" s="36">
        <f t="shared" si="2"/>
        <v>85.47008547008546</v>
      </c>
      <c r="M10" s="3">
        <v>158</v>
      </c>
      <c r="N10" s="3">
        <v>157</v>
      </c>
      <c r="O10" s="36">
        <f>N10*100/M10</f>
        <v>99.36708860759494</v>
      </c>
      <c r="P10" s="3">
        <v>70</v>
      </c>
      <c r="Q10" s="3">
        <v>32</v>
      </c>
      <c r="R10" s="36">
        <f>Q10*100/P10</f>
        <v>45.714285714285715</v>
      </c>
      <c r="S10" s="3"/>
      <c r="T10" s="3"/>
      <c r="U10" s="36"/>
      <c r="AH10" s="85"/>
    </row>
    <row r="11" spans="1:34" s="20" customFormat="1" ht="24.75" customHeight="1">
      <c r="A11" s="3">
        <v>6</v>
      </c>
      <c r="B11" s="38" t="s">
        <v>68</v>
      </c>
      <c r="C11" s="3">
        <v>259</v>
      </c>
      <c r="D11" s="3">
        <v>265</v>
      </c>
      <c r="E11" s="36">
        <f t="shared" si="0"/>
        <v>102.31660231660231</v>
      </c>
      <c r="F11" s="114">
        <v>22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85"/>
    </row>
    <row r="12" spans="1:34" s="20" customFormat="1" ht="24.75" customHeight="1">
      <c r="A12" s="3">
        <v>8</v>
      </c>
      <c r="B12" s="32" t="s">
        <v>81</v>
      </c>
      <c r="C12" s="3">
        <v>241</v>
      </c>
      <c r="D12" s="3">
        <v>255</v>
      </c>
      <c r="E12" s="36">
        <f t="shared" si="0"/>
        <v>105.80912863070539</v>
      </c>
      <c r="F12" s="3">
        <v>7</v>
      </c>
      <c r="G12" s="3">
        <v>65</v>
      </c>
      <c r="H12" s="3">
        <v>65</v>
      </c>
      <c r="I12" s="36">
        <f t="shared" si="1"/>
        <v>100</v>
      </c>
      <c r="J12" s="3">
        <v>65</v>
      </c>
      <c r="K12" s="3">
        <v>65</v>
      </c>
      <c r="L12" s="36"/>
      <c r="M12" s="3"/>
      <c r="N12" s="3"/>
      <c r="O12" s="36"/>
      <c r="P12" s="3"/>
      <c r="Q12" s="3"/>
      <c r="R12" s="36"/>
      <c r="S12" s="3"/>
      <c r="T12" s="3"/>
      <c r="U12" s="36"/>
      <c r="AH12" s="85"/>
    </row>
    <row r="13" spans="1:34" s="20" customFormat="1" ht="24.75" customHeight="1">
      <c r="A13" s="3">
        <v>9</v>
      </c>
      <c r="B13" s="32" t="s">
        <v>67</v>
      </c>
      <c r="C13" s="3">
        <v>265</v>
      </c>
      <c r="D13" s="3">
        <v>140</v>
      </c>
      <c r="E13" s="36">
        <f t="shared" si="0"/>
        <v>52.83018867924528</v>
      </c>
      <c r="F13" s="3">
        <v>17</v>
      </c>
      <c r="G13" s="3">
        <v>78</v>
      </c>
      <c r="H13" s="3">
        <v>78</v>
      </c>
      <c r="I13" s="36">
        <f t="shared" si="1"/>
        <v>100</v>
      </c>
      <c r="J13" s="3">
        <v>78</v>
      </c>
      <c r="K13" s="3">
        <v>78</v>
      </c>
      <c r="L13" s="36">
        <f t="shared" si="2"/>
        <v>100</v>
      </c>
      <c r="M13" s="3"/>
      <c r="N13" s="3"/>
      <c r="O13" s="36"/>
      <c r="P13" s="3"/>
      <c r="Q13" s="3"/>
      <c r="R13" s="36"/>
      <c r="S13" s="3"/>
      <c r="T13" s="3"/>
      <c r="U13" s="36"/>
      <c r="AH13" s="85"/>
    </row>
    <row r="14" spans="1:34" s="20" customFormat="1" ht="24.75" customHeight="1">
      <c r="A14" s="3">
        <v>10</v>
      </c>
      <c r="B14" s="22" t="s">
        <v>58</v>
      </c>
      <c r="C14" s="3">
        <v>245</v>
      </c>
      <c r="D14" s="3">
        <v>276</v>
      </c>
      <c r="E14" s="36">
        <f t="shared" si="0"/>
        <v>112.65306122448979</v>
      </c>
      <c r="F14" s="3">
        <v>16</v>
      </c>
      <c r="G14" s="3">
        <v>100</v>
      </c>
      <c r="H14" s="3">
        <v>100</v>
      </c>
      <c r="I14" s="36">
        <f t="shared" si="1"/>
        <v>100</v>
      </c>
      <c r="J14" s="3">
        <v>100</v>
      </c>
      <c r="K14" s="3">
        <v>100</v>
      </c>
      <c r="L14" s="36">
        <f t="shared" si="2"/>
        <v>100</v>
      </c>
      <c r="M14" s="3"/>
      <c r="N14" s="3"/>
      <c r="O14" s="36"/>
      <c r="P14" s="3"/>
      <c r="Q14" s="3"/>
      <c r="R14" s="36"/>
      <c r="S14" s="3"/>
      <c r="T14" s="3"/>
      <c r="U14" s="36"/>
      <c r="AH14" s="85"/>
    </row>
    <row r="15" spans="1:34" s="20" customFormat="1" ht="24.75" customHeight="1">
      <c r="A15" s="3">
        <v>11</v>
      </c>
      <c r="B15" s="22" t="s">
        <v>59</v>
      </c>
      <c r="C15" s="3">
        <v>44</v>
      </c>
      <c r="D15" s="3">
        <v>80</v>
      </c>
      <c r="E15" s="36">
        <f t="shared" si="0"/>
        <v>181.8181818181818</v>
      </c>
      <c r="F15" s="3"/>
      <c r="G15" s="3">
        <v>40</v>
      </c>
      <c r="H15" s="3">
        <v>65</v>
      </c>
      <c r="I15" s="36">
        <f t="shared" si="1"/>
        <v>162.5</v>
      </c>
      <c r="J15" s="3">
        <v>41</v>
      </c>
      <c r="K15" s="117">
        <v>46.6</v>
      </c>
      <c r="L15" s="36">
        <f t="shared" si="2"/>
        <v>113.65853658536585</v>
      </c>
      <c r="M15" s="3"/>
      <c r="N15" s="3"/>
      <c r="O15" s="36"/>
      <c r="P15" s="3"/>
      <c r="Q15" s="3"/>
      <c r="R15" s="36"/>
      <c r="S15" s="3"/>
      <c r="T15" s="3"/>
      <c r="U15" s="36"/>
      <c r="AH15" s="85"/>
    </row>
    <row r="16" spans="1:34" s="20" customFormat="1" ht="24.75" customHeight="1">
      <c r="A16" s="3">
        <v>12</v>
      </c>
      <c r="B16" s="22" t="s">
        <v>60</v>
      </c>
      <c r="C16" s="3"/>
      <c r="D16" s="3"/>
      <c r="E16" s="36"/>
      <c r="F16" s="3"/>
      <c r="G16" s="3"/>
      <c r="H16" s="3"/>
      <c r="I16" s="36"/>
      <c r="J16" s="3"/>
      <c r="K16" s="3"/>
      <c r="L16" s="36"/>
      <c r="M16" s="3">
        <v>9679</v>
      </c>
      <c r="N16" s="3">
        <v>8673</v>
      </c>
      <c r="O16" s="36">
        <f>N16*100/M16</f>
        <v>89.606364293832</v>
      </c>
      <c r="P16" s="3">
        <v>240</v>
      </c>
      <c r="Q16" s="3">
        <v>216</v>
      </c>
      <c r="R16" s="36">
        <f>Q16*100/P16</f>
        <v>90</v>
      </c>
      <c r="S16" s="3">
        <v>450</v>
      </c>
      <c r="T16" s="3">
        <v>328</v>
      </c>
      <c r="U16" s="36">
        <f>T16*100/S16</f>
        <v>72.88888888888889</v>
      </c>
      <c r="AH16" s="85"/>
    </row>
    <row r="17" spans="1:34" s="20" customFormat="1" ht="24.75" customHeight="1">
      <c r="A17" s="3">
        <v>13</v>
      </c>
      <c r="B17" s="32" t="s">
        <v>66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/>
      <c r="N17" s="3"/>
      <c r="O17" s="36"/>
      <c r="P17" s="3"/>
      <c r="Q17" s="3"/>
      <c r="R17" s="36"/>
      <c r="S17" s="3"/>
      <c r="T17" s="3"/>
      <c r="U17" s="36"/>
      <c r="AH17" s="85"/>
    </row>
    <row r="18" spans="1:34" s="20" customFormat="1" ht="24.75" customHeight="1">
      <c r="A18" s="31">
        <v>14</v>
      </c>
      <c r="B18" s="32" t="s">
        <v>100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5"/>
    </row>
    <row r="19" spans="1:21" s="20" customFormat="1" ht="57" customHeight="1">
      <c r="A19" s="171" t="s">
        <v>93</v>
      </c>
      <c r="B19" s="172"/>
      <c r="C19" s="3">
        <f>SUM(C6:C17)</f>
        <v>2901</v>
      </c>
      <c r="D19" s="3">
        <f>SUM(D6:D17)</f>
        <v>2955</v>
      </c>
      <c r="E19" s="36">
        <f>D19*100/C19</f>
        <v>101.86142709410548</v>
      </c>
      <c r="F19" s="3">
        <f>SUM(F6:F17)</f>
        <v>120</v>
      </c>
      <c r="G19" s="3">
        <f>SUM(G6:G17)</f>
        <v>1221</v>
      </c>
      <c r="H19" s="3">
        <f>SUM(H6:H17)</f>
        <v>1242</v>
      </c>
      <c r="I19" s="36">
        <f>H19*100/G19</f>
        <v>101.71990171990171</v>
      </c>
      <c r="J19" s="3">
        <f>SUM(J6:J17)</f>
        <v>1256</v>
      </c>
      <c r="K19" s="3">
        <f>SUM(K6:K17)</f>
        <v>1226.6</v>
      </c>
      <c r="L19" s="36">
        <f t="shared" si="2"/>
        <v>97.65923566878979</v>
      </c>
      <c r="M19" s="3">
        <f>SUM(M9:M17)</f>
        <v>10235</v>
      </c>
      <c r="N19" s="3">
        <f>SUM(N9:N17)</f>
        <v>9149</v>
      </c>
      <c r="O19" s="36">
        <f>N19*100/M19</f>
        <v>89.38935026868589</v>
      </c>
      <c r="P19" s="3">
        <f>SUM(P9:P17)</f>
        <v>338</v>
      </c>
      <c r="Q19" s="3">
        <f>SUM(Q9:Q17)</f>
        <v>276</v>
      </c>
      <c r="R19" s="36">
        <f>Q19*100/P19</f>
        <v>81.65680473372781</v>
      </c>
      <c r="S19" s="3">
        <f>SUM(S9:S17)</f>
        <v>488</v>
      </c>
      <c r="T19" s="36">
        <f>SUM(T9:T17)</f>
        <v>356</v>
      </c>
      <c r="U19" s="36">
        <f>T19*100/S19</f>
        <v>72.95081967213115</v>
      </c>
    </row>
    <row r="20" spans="1:21" s="20" customFormat="1" ht="24.75" customHeight="1">
      <c r="A20" s="126">
        <v>1</v>
      </c>
      <c r="B20" s="32" t="s">
        <v>96</v>
      </c>
      <c r="C20" s="3"/>
      <c r="D20" s="3">
        <v>21</v>
      </c>
      <c r="E20" s="36"/>
      <c r="F20" s="3"/>
      <c r="G20" s="3"/>
      <c r="H20" s="3">
        <v>15</v>
      </c>
      <c r="I20" s="36"/>
      <c r="J20" s="3"/>
      <c r="K20" s="3">
        <v>15</v>
      </c>
      <c r="L20" s="36"/>
      <c r="M20" s="3"/>
      <c r="N20" s="3"/>
      <c r="O20" s="36"/>
      <c r="P20" s="3"/>
      <c r="Q20" s="3"/>
      <c r="R20" s="36"/>
      <c r="S20" s="3"/>
      <c r="T20" s="36"/>
      <c r="U20" s="36"/>
    </row>
    <row r="21" spans="1:21" s="20" customFormat="1" ht="24.75" customHeight="1">
      <c r="A21" s="126"/>
      <c r="B21" s="32" t="s">
        <v>112</v>
      </c>
      <c r="C21" s="3"/>
      <c r="D21" s="3">
        <v>10</v>
      </c>
      <c r="E21" s="36"/>
      <c r="F21" s="3"/>
      <c r="G21" s="3"/>
      <c r="H21" s="3"/>
      <c r="I21" s="36"/>
      <c r="J21" s="3"/>
      <c r="K21" s="3"/>
      <c r="L21" s="36"/>
      <c r="M21" s="3"/>
      <c r="N21" s="3"/>
      <c r="O21" s="36"/>
      <c r="P21" s="3"/>
      <c r="Q21" s="3"/>
      <c r="R21" s="36"/>
      <c r="S21" s="3"/>
      <c r="T21" s="36"/>
      <c r="U21" s="36"/>
    </row>
    <row r="22" spans="1:21" s="20" customFormat="1" ht="24.75" customHeight="1">
      <c r="A22" s="126">
        <v>2</v>
      </c>
      <c r="B22" s="32" t="s">
        <v>99</v>
      </c>
      <c r="C22" s="3"/>
      <c r="D22" s="3"/>
      <c r="E22" s="36"/>
      <c r="F22" s="3"/>
      <c r="G22" s="3"/>
      <c r="H22" s="3"/>
      <c r="I22" s="36"/>
      <c r="J22" s="3"/>
      <c r="K22" s="3"/>
      <c r="L22" s="36"/>
      <c r="M22" s="3"/>
      <c r="N22" s="3"/>
      <c r="O22" s="36"/>
      <c r="P22" s="3"/>
      <c r="Q22" s="3"/>
      <c r="R22" s="36"/>
      <c r="S22" s="3"/>
      <c r="T22" s="36"/>
      <c r="U22" s="36"/>
    </row>
    <row r="23" spans="1:34" s="20" customFormat="1" ht="24.75" customHeight="1">
      <c r="A23" s="3">
        <v>3</v>
      </c>
      <c r="B23" s="32" t="s">
        <v>77</v>
      </c>
      <c r="C23" s="3"/>
      <c r="D23" s="3"/>
      <c r="E23" s="36"/>
      <c r="F23" s="3"/>
      <c r="G23" s="3"/>
      <c r="H23" s="3"/>
      <c r="I23" s="36"/>
      <c r="J23" s="3"/>
      <c r="K23" s="3"/>
      <c r="L23" s="36"/>
      <c r="M23" s="3">
        <v>102</v>
      </c>
      <c r="N23" s="3"/>
      <c r="O23" s="36">
        <f>N23*100/M23</f>
        <v>0</v>
      </c>
      <c r="P23" s="3">
        <v>10</v>
      </c>
      <c r="Q23" s="3"/>
      <c r="R23" s="36">
        <f>Q23*100/P23</f>
        <v>0</v>
      </c>
      <c r="S23" s="3"/>
      <c r="T23" s="3"/>
      <c r="U23" s="36"/>
      <c r="AH23" s="85"/>
    </row>
    <row r="24" spans="1:34" s="20" customFormat="1" ht="24.75" customHeight="1">
      <c r="A24" s="3">
        <v>4</v>
      </c>
      <c r="B24" s="32" t="s">
        <v>82</v>
      </c>
      <c r="C24" s="3"/>
      <c r="D24" s="3"/>
      <c r="E24" s="36"/>
      <c r="F24" s="3"/>
      <c r="G24" s="3"/>
      <c r="H24" s="3"/>
      <c r="I24" s="36"/>
      <c r="J24" s="3"/>
      <c r="K24" s="3"/>
      <c r="L24" s="36"/>
      <c r="M24" s="3"/>
      <c r="N24" s="3"/>
      <c r="O24" s="36"/>
      <c r="P24" s="3"/>
      <c r="Q24" s="3"/>
      <c r="R24" s="36"/>
      <c r="S24" s="3"/>
      <c r="T24" s="3"/>
      <c r="U24" s="36"/>
      <c r="AH24" s="85"/>
    </row>
    <row r="25" spans="1:34" s="20" customFormat="1" ht="24.75" customHeight="1">
      <c r="A25" s="171" t="s">
        <v>84</v>
      </c>
      <c r="B25" s="172"/>
      <c r="C25" s="3"/>
      <c r="D25" s="3">
        <f>SUM(D20:D24)</f>
        <v>31</v>
      </c>
      <c r="E25" s="36"/>
      <c r="F25" s="3"/>
      <c r="G25" s="3"/>
      <c r="H25" s="3">
        <f>SUM(H20:H24)</f>
        <v>15</v>
      </c>
      <c r="I25" s="36"/>
      <c r="J25" s="3"/>
      <c r="K25" s="36">
        <f>SUM(K20:K24)</f>
        <v>15</v>
      </c>
      <c r="L25" s="36"/>
      <c r="M25" s="3">
        <f>SUM(M23:M24)</f>
        <v>102</v>
      </c>
      <c r="N25" s="3">
        <f>SUM(N23:N24)</f>
        <v>0</v>
      </c>
      <c r="O25" s="36">
        <f>N25*100/M25</f>
        <v>0</v>
      </c>
      <c r="P25" s="3">
        <f>SUM(P23:P24)</f>
        <v>10</v>
      </c>
      <c r="Q25" s="3">
        <f>SUM(Q23:Q24)</f>
        <v>0</v>
      </c>
      <c r="R25" s="36">
        <f>Q25*100/P25</f>
        <v>0</v>
      </c>
      <c r="S25" s="3">
        <f>SUM(S23:S24)</f>
        <v>0</v>
      </c>
      <c r="T25" s="3">
        <f>SUM(T23:T24)</f>
        <v>0</v>
      </c>
      <c r="U25" s="36"/>
      <c r="AH25" s="85"/>
    </row>
    <row r="26" spans="1:34" s="20" customFormat="1" ht="36" customHeight="1">
      <c r="A26" s="173" t="s">
        <v>85</v>
      </c>
      <c r="B26" s="174"/>
      <c r="C26" s="3">
        <f>C19+C25</f>
        <v>2901</v>
      </c>
      <c r="D26" s="3">
        <f>D19+D25</f>
        <v>2986</v>
      </c>
      <c r="E26" s="36">
        <f>D26*100/C26</f>
        <v>102.93002412961047</v>
      </c>
      <c r="F26" s="3">
        <f>F19+F25</f>
        <v>120</v>
      </c>
      <c r="G26" s="3">
        <f>G19+G25</f>
        <v>1221</v>
      </c>
      <c r="H26" s="3">
        <f>H19+H25</f>
        <v>1257</v>
      </c>
      <c r="I26" s="36">
        <f>H26*100/G26</f>
        <v>102.94840294840294</v>
      </c>
      <c r="J26" s="3">
        <f>J19+J25</f>
        <v>1256</v>
      </c>
      <c r="K26" s="36">
        <f>K19+K25</f>
        <v>1241.6</v>
      </c>
      <c r="L26" s="36">
        <f t="shared" si="2"/>
        <v>98.85350318471336</v>
      </c>
      <c r="M26" s="3">
        <f>M19+M25</f>
        <v>10337</v>
      </c>
      <c r="N26" s="3">
        <f>N19+N25</f>
        <v>9149</v>
      </c>
      <c r="O26" s="36">
        <f>N26*100/M26</f>
        <v>88.50730385992067</v>
      </c>
      <c r="P26" s="3">
        <f>P19+P25</f>
        <v>348</v>
      </c>
      <c r="Q26" s="3">
        <f>Q19+Q25</f>
        <v>276</v>
      </c>
      <c r="R26" s="36">
        <f>Q26*100/P26</f>
        <v>79.3103448275862</v>
      </c>
      <c r="S26" s="3">
        <f>S19+S25</f>
        <v>488</v>
      </c>
      <c r="T26" s="3">
        <f>T19+T25</f>
        <v>356</v>
      </c>
      <c r="U26" s="36">
        <f>T26*100/S26</f>
        <v>72.95081967213115</v>
      </c>
      <c r="AH26" s="85"/>
    </row>
  </sheetData>
  <sheetProtection/>
  <mergeCells count="19">
    <mergeCell ref="F3:F5"/>
    <mergeCell ref="J3:L3"/>
    <mergeCell ref="G3:I3"/>
    <mergeCell ref="A25:B25"/>
    <mergeCell ref="R4:R5"/>
    <mergeCell ref="M4:M5"/>
    <mergeCell ref="M3:U3"/>
    <mergeCell ref="U4:U5"/>
    <mergeCell ref="G4:G5"/>
    <mergeCell ref="C4:C5"/>
    <mergeCell ref="A26:B26"/>
    <mergeCell ref="H4:H5"/>
    <mergeCell ref="A19:B19"/>
    <mergeCell ref="D4:D5"/>
    <mergeCell ref="J4:J5"/>
    <mergeCell ref="N4:N5"/>
    <mergeCell ref="B3:B5"/>
    <mergeCell ref="C3:E3"/>
    <mergeCell ref="K4:K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view="pageBreakPreview" zoomScale="75" zoomScaleNormal="75" zoomScaleSheetLayoutView="75" zoomScalePageLayoutView="0" workbookViewId="0" topLeftCell="A1">
      <selection activeCell="L30" sqref="L30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117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88" t="s">
        <v>94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2.75">
      <c r="A4" s="156" t="s">
        <v>2</v>
      </c>
      <c r="B4" s="158" t="s">
        <v>3</v>
      </c>
      <c r="C4" s="162" t="s">
        <v>74</v>
      </c>
      <c r="D4" s="197"/>
      <c r="E4" s="194"/>
      <c r="F4" s="189" t="s">
        <v>61</v>
      </c>
      <c r="G4" s="190"/>
      <c r="H4" s="189" t="s">
        <v>73</v>
      </c>
      <c r="I4" s="193"/>
      <c r="J4" s="194"/>
      <c r="K4" s="189" t="s">
        <v>71</v>
      </c>
      <c r="L4" s="190"/>
      <c r="M4" s="189" t="s">
        <v>72</v>
      </c>
      <c r="N4" s="190"/>
    </row>
    <row r="5" spans="1:14" ht="31.5" customHeight="1">
      <c r="A5" s="181"/>
      <c r="B5" s="159"/>
      <c r="C5" s="198"/>
      <c r="D5" s="199"/>
      <c r="E5" s="200"/>
      <c r="F5" s="191"/>
      <c r="G5" s="192"/>
      <c r="H5" s="191"/>
      <c r="I5" s="195"/>
      <c r="J5" s="196"/>
      <c r="K5" s="191"/>
      <c r="L5" s="192"/>
      <c r="M5" s="191"/>
      <c r="N5" s="192"/>
    </row>
    <row r="6" spans="1:14" ht="30">
      <c r="A6" s="161"/>
      <c r="B6" s="160"/>
      <c r="C6" s="3">
        <v>2012</v>
      </c>
      <c r="D6" s="19">
        <v>2013</v>
      </c>
      <c r="E6" s="94" t="s">
        <v>108</v>
      </c>
      <c r="F6" s="3">
        <v>2012</v>
      </c>
      <c r="G6" s="19">
        <v>2013</v>
      </c>
      <c r="H6" s="3">
        <v>2012</v>
      </c>
      <c r="I6" s="19">
        <v>2013</v>
      </c>
      <c r="J6" s="94" t="s">
        <v>108</v>
      </c>
      <c r="K6" s="22" t="s">
        <v>1</v>
      </c>
      <c r="L6" s="24" t="s">
        <v>30</v>
      </c>
      <c r="M6" s="38" t="s">
        <v>42</v>
      </c>
      <c r="N6" s="51" t="s">
        <v>43</v>
      </c>
    </row>
    <row r="7" spans="1:14" ht="16.5" customHeight="1">
      <c r="A7" s="31">
        <v>1</v>
      </c>
      <c r="B7" s="22" t="s">
        <v>56</v>
      </c>
      <c r="C7" s="31">
        <v>544</v>
      </c>
      <c r="D7" s="31">
        <v>295</v>
      </c>
      <c r="E7" s="31">
        <f aca="true" t="shared" si="0" ref="E7:E13">D7-C7</f>
        <v>-249</v>
      </c>
      <c r="F7" s="31">
        <v>245</v>
      </c>
      <c r="G7" s="31">
        <v>114</v>
      </c>
      <c r="H7" s="74">
        <f>F7*100/28</f>
        <v>875</v>
      </c>
      <c r="I7" s="74">
        <f>G7*100/28</f>
        <v>407.14285714285717</v>
      </c>
      <c r="J7" s="73">
        <f aca="true" t="shared" si="1" ref="J7:J13">I7-H7</f>
        <v>-467.85714285714283</v>
      </c>
      <c r="K7" s="31">
        <v>38</v>
      </c>
      <c r="L7" s="31">
        <v>14</v>
      </c>
      <c r="M7" s="92">
        <f aca="true" t="shared" si="2" ref="M7:M13">G7/L7</f>
        <v>8.142857142857142</v>
      </c>
      <c r="N7" s="112">
        <f>(D7-G7)/(K7-L7)</f>
        <v>7.541666666666667</v>
      </c>
    </row>
    <row r="8" spans="1:15" ht="16.5" customHeight="1">
      <c r="A8" s="31">
        <v>2</v>
      </c>
      <c r="B8" s="31" t="s">
        <v>57</v>
      </c>
      <c r="C8" s="31">
        <v>117</v>
      </c>
      <c r="D8" s="31">
        <v>119</v>
      </c>
      <c r="E8" s="31">
        <f t="shared" si="0"/>
        <v>2</v>
      </c>
      <c r="F8" s="31">
        <v>99</v>
      </c>
      <c r="G8" s="31">
        <v>97</v>
      </c>
      <c r="H8" s="74">
        <f>F8*100/80</f>
        <v>123.75</v>
      </c>
      <c r="I8" s="74">
        <f>G8*100/46</f>
        <v>210.8695652173913</v>
      </c>
      <c r="J8" s="73">
        <f t="shared" si="1"/>
        <v>87.11956521739131</v>
      </c>
      <c r="K8" s="32">
        <v>25</v>
      </c>
      <c r="L8" s="32">
        <v>20</v>
      </c>
      <c r="M8" s="92">
        <f t="shared" si="2"/>
        <v>4.85</v>
      </c>
      <c r="N8" s="112">
        <f>(D8-G8)/(K8-L8)</f>
        <v>4.4</v>
      </c>
      <c r="O8" s="15"/>
    </row>
    <row r="9" spans="1:14" ht="16.5" customHeight="1">
      <c r="A9" s="31">
        <v>3</v>
      </c>
      <c r="B9" s="32" t="s">
        <v>60</v>
      </c>
      <c r="C9" s="31">
        <v>7737</v>
      </c>
      <c r="D9" s="31">
        <v>6679</v>
      </c>
      <c r="E9" s="31">
        <f t="shared" si="0"/>
        <v>-1058</v>
      </c>
      <c r="F9" s="31">
        <v>4735</v>
      </c>
      <c r="G9" s="31">
        <v>3826</v>
      </c>
      <c r="H9" s="74">
        <f>F9*100/240</f>
        <v>1972.9166666666667</v>
      </c>
      <c r="I9" s="74">
        <f>G9*100/280</f>
        <v>1366.4285714285713</v>
      </c>
      <c r="J9" s="73">
        <f t="shared" si="1"/>
        <v>-606.4880952380954</v>
      </c>
      <c r="K9" s="32">
        <v>746</v>
      </c>
      <c r="L9" s="32">
        <v>364</v>
      </c>
      <c r="M9" s="112">
        <f t="shared" si="2"/>
        <v>10.510989010989011</v>
      </c>
      <c r="N9" s="112">
        <f>(D9-G9)/(K9-L9)</f>
        <v>7.468586387434555</v>
      </c>
    </row>
    <row r="10" spans="1:14" ht="42.75" customHeight="1">
      <c r="A10" s="167" t="s">
        <v>92</v>
      </c>
      <c r="B10" s="168"/>
      <c r="C10" s="31">
        <f>SUM(C7:C9)</f>
        <v>8398</v>
      </c>
      <c r="D10" s="31">
        <f>SUM(D7:D9)</f>
        <v>7093</v>
      </c>
      <c r="E10" s="31">
        <f t="shared" si="0"/>
        <v>-1305</v>
      </c>
      <c r="F10" s="31">
        <f>SUM(F7:F9)</f>
        <v>5079</v>
      </c>
      <c r="G10" s="31">
        <f>SUM(G7:G9)</f>
        <v>4037</v>
      </c>
      <c r="H10" s="74">
        <f>F10*100/348</f>
        <v>1459.4827586206898</v>
      </c>
      <c r="I10" s="74">
        <f>G10*100/354</f>
        <v>1140.3954802259886</v>
      </c>
      <c r="J10" s="73">
        <f t="shared" si="1"/>
        <v>-319.0872783947011</v>
      </c>
      <c r="K10" s="73">
        <f>SUM(K7:K9)</f>
        <v>809</v>
      </c>
      <c r="L10" s="73">
        <f>SUM(L7:L9)</f>
        <v>398</v>
      </c>
      <c r="M10" s="92">
        <f t="shared" si="2"/>
        <v>10.14321608040201</v>
      </c>
      <c r="N10" s="92">
        <f>(D10-G10)/(K10-L10)</f>
        <v>7.435523114355231</v>
      </c>
    </row>
    <row r="11" spans="1:14" ht="15">
      <c r="A11" s="31">
        <v>1</v>
      </c>
      <c r="B11" s="32" t="s">
        <v>77</v>
      </c>
      <c r="C11" s="31">
        <v>8</v>
      </c>
      <c r="D11" s="31"/>
      <c r="E11" s="31"/>
      <c r="F11" s="22">
        <v>8</v>
      </c>
      <c r="G11" s="22"/>
      <c r="H11" s="74"/>
      <c r="I11" s="74"/>
      <c r="J11" s="73"/>
      <c r="K11" s="73"/>
      <c r="L11" s="22"/>
      <c r="M11" s="92"/>
      <c r="N11" s="92"/>
    </row>
    <row r="12" spans="1:14" ht="25.5" customHeight="1">
      <c r="A12" s="171" t="s">
        <v>84</v>
      </c>
      <c r="B12" s="172"/>
      <c r="C12" s="31">
        <f>SUM(C11)</f>
        <v>8</v>
      </c>
      <c r="D12" s="31">
        <f>SUM(D11)</f>
        <v>0</v>
      </c>
      <c r="E12" s="31">
        <f t="shared" si="0"/>
        <v>-8</v>
      </c>
      <c r="F12" s="31">
        <f>SUM(F11)</f>
        <v>8</v>
      </c>
      <c r="G12" s="31">
        <f>SUM(G11)</f>
        <v>0</v>
      </c>
      <c r="H12" s="74">
        <f>F12*100/10</f>
        <v>80</v>
      </c>
      <c r="I12" s="74">
        <f>G12*100/10</f>
        <v>0</v>
      </c>
      <c r="J12" s="73">
        <f t="shared" si="1"/>
        <v>-80</v>
      </c>
      <c r="K12" s="31">
        <f>SUM(K11)</f>
        <v>0</v>
      </c>
      <c r="L12" s="31">
        <f>SUM(L11)</f>
        <v>0</v>
      </c>
      <c r="M12" s="92"/>
      <c r="N12" s="92"/>
    </row>
    <row r="13" spans="1:14" ht="28.5" customHeight="1">
      <c r="A13" s="201" t="s">
        <v>85</v>
      </c>
      <c r="B13" s="201"/>
      <c r="C13" s="31">
        <f>C10+C12</f>
        <v>8406</v>
      </c>
      <c r="D13" s="31">
        <f>SUM(D10:D11)</f>
        <v>7093</v>
      </c>
      <c r="E13" s="31">
        <f t="shared" si="0"/>
        <v>-1313</v>
      </c>
      <c r="F13" s="31">
        <f>F10+F12</f>
        <v>5087</v>
      </c>
      <c r="G13" s="31">
        <f>SUM(G10:G11)</f>
        <v>4037</v>
      </c>
      <c r="H13" s="74">
        <f>F13*100/337</f>
        <v>1509.4955489614242</v>
      </c>
      <c r="I13" s="74">
        <f>G13*100/358</f>
        <v>1127.6536312849162</v>
      </c>
      <c r="J13" s="73">
        <f t="shared" si="1"/>
        <v>-381.84191767650805</v>
      </c>
      <c r="K13" s="31">
        <f>K10+K12</f>
        <v>809</v>
      </c>
      <c r="L13" s="31">
        <f>SUM(L10:L11)</f>
        <v>398</v>
      </c>
      <c r="M13" s="92">
        <f t="shared" si="2"/>
        <v>10.14321608040201</v>
      </c>
      <c r="N13" s="92">
        <f>(D13-G13)/(K13-L13)</f>
        <v>7.435523114355231</v>
      </c>
    </row>
    <row r="14" spans="2:17" ht="15">
      <c r="B14" s="72"/>
      <c r="C14" s="107"/>
      <c r="D14" s="107"/>
      <c r="E14" s="107"/>
      <c r="F14" s="107"/>
      <c r="G14" s="107"/>
      <c r="H14" s="109"/>
      <c r="I14" s="109"/>
      <c r="J14" s="108"/>
      <c r="K14" s="111"/>
      <c r="L14" s="111"/>
      <c r="M14" s="110"/>
      <c r="N14" s="110"/>
      <c r="O14" s="72"/>
      <c r="P14" s="72"/>
      <c r="Q14" s="72"/>
    </row>
    <row r="15" spans="2:17" ht="15">
      <c r="B15" s="72"/>
      <c r="C15" s="107"/>
      <c r="D15" s="107"/>
      <c r="E15" s="107"/>
      <c r="F15" s="107"/>
      <c r="G15" s="107"/>
      <c r="H15" s="108"/>
      <c r="I15" s="109"/>
      <c r="J15" s="108"/>
      <c r="K15" s="111"/>
      <c r="L15" s="111"/>
      <c r="M15" s="110"/>
      <c r="N15" s="110"/>
      <c r="O15" s="72"/>
      <c r="P15" s="72"/>
      <c r="Q15" s="72"/>
    </row>
    <row r="16" spans="2:17" ht="15">
      <c r="B16" s="72"/>
      <c r="C16" s="107"/>
      <c r="D16" s="107"/>
      <c r="E16" s="107"/>
      <c r="F16" s="107"/>
      <c r="G16" s="107"/>
      <c r="H16" s="108"/>
      <c r="I16" s="109"/>
      <c r="J16" s="108"/>
      <c r="K16" s="111"/>
      <c r="L16" s="111"/>
      <c r="M16" s="110"/>
      <c r="N16" s="110"/>
      <c r="O16" s="72"/>
      <c r="P16" s="72"/>
      <c r="Q16" s="72"/>
    </row>
    <row r="17" spans="2:17" ht="15">
      <c r="B17" s="72"/>
      <c r="C17" s="107"/>
      <c r="D17" s="107"/>
      <c r="E17" s="107"/>
      <c r="F17" s="107"/>
      <c r="G17" s="107"/>
      <c r="H17" s="108"/>
      <c r="I17" s="109"/>
      <c r="J17" s="108"/>
      <c r="K17" s="111"/>
      <c r="L17" s="111"/>
      <c r="M17" s="110"/>
      <c r="N17" s="110"/>
      <c r="O17" s="72"/>
      <c r="P17" s="72"/>
      <c r="Q17" s="72"/>
    </row>
    <row r="18" spans="2:17" ht="15">
      <c r="B18" s="72"/>
      <c r="C18" s="107"/>
      <c r="D18" s="107"/>
      <c r="E18" s="107"/>
      <c r="F18" s="107"/>
      <c r="G18" s="107"/>
      <c r="H18" s="108"/>
      <c r="I18" s="109"/>
      <c r="J18" s="108"/>
      <c r="K18" s="109"/>
      <c r="L18" s="109"/>
      <c r="M18" s="110"/>
      <c r="N18" s="110"/>
      <c r="O18" s="72"/>
      <c r="P18" s="72"/>
      <c r="Q18" s="72"/>
    </row>
    <row r="19" spans="2:17" ht="15">
      <c r="B19" s="72"/>
      <c r="C19" s="107"/>
      <c r="D19" s="107"/>
      <c r="E19" s="107"/>
      <c r="F19" s="107"/>
      <c r="G19" s="107"/>
      <c r="H19" s="108"/>
      <c r="I19" s="109"/>
      <c r="J19" s="108"/>
      <c r="K19" s="111"/>
      <c r="L19" s="111"/>
      <c r="M19" s="110"/>
      <c r="N19" s="110"/>
      <c r="O19" s="72"/>
      <c r="P19" s="72"/>
      <c r="Q19" s="72"/>
    </row>
    <row r="20" spans="2:17" ht="15">
      <c r="B20" s="72"/>
      <c r="C20" s="107"/>
      <c r="D20" s="107"/>
      <c r="E20" s="107"/>
      <c r="F20" s="107"/>
      <c r="G20" s="107"/>
      <c r="H20" s="109"/>
      <c r="I20" s="109"/>
      <c r="J20" s="108"/>
      <c r="K20" s="111"/>
      <c r="L20" s="111"/>
      <c r="M20" s="110"/>
      <c r="N20" s="110"/>
      <c r="O20" s="72"/>
      <c r="P20" s="72"/>
      <c r="Q20" s="72"/>
    </row>
    <row r="21" spans="2:17" ht="12.7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2:17" ht="12.7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2:17" ht="12.7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</sheetData>
  <sheetProtection/>
  <mergeCells count="11">
    <mergeCell ref="A12:B12"/>
    <mergeCell ref="A13:B13"/>
    <mergeCell ref="A10:B10"/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zoomScalePageLayoutView="0" workbookViewId="0" topLeftCell="A1">
      <selection activeCell="J38" sqref="J38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20"/>
      <c r="B1" s="20"/>
      <c r="C1" s="121" t="s">
        <v>118</v>
      </c>
      <c r="D1" s="121"/>
      <c r="E1" s="121"/>
      <c r="F1" s="121"/>
      <c r="G1" s="121"/>
      <c r="H1" s="121"/>
      <c r="I1" s="121"/>
      <c r="J1" s="121"/>
      <c r="K1" s="121"/>
      <c r="L1" s="20"/>
      <c r="M1" s="20"/>
      <c r="N1" s="20"/>
    </row>
    <row r="2" spans="1:14" ht="15">
      <c r="A2" s="156" t="s">
        <v>2</v>
      </c>
      <c r="B2" s="156" t="s">
        <v>3</v>
      </c>
      <c r="C2" s="24" t="s">
        <v>32</v>
      </c>
      <c r="D2" s="25"/>
      <c r="E2" s="27"/>
      <c r="F2" s="49" t="s">
        <v>33</v>
      </c>
      <c r="G2" s="25"/>
      <c r="H2" s="27"/>
      <c r="I2" s="24" t="s">
        <v>34</v>
      </c>
      <c r="J2" s="25"/>
      <c r="K2" s="27"/>
      <c r="L2" s="24" t="s">
        <v>35</v>
      </c>
      <c r="M2" s="25"/>
      <c r="N2" s="27"/>
    </row>
    <row r="3" spans="1:14" ht="15">
      <c r="A3" s="181"/>
      <c r="B3" s="181"/>
      <c r="C3" s="18">
        <v>2012</v>
      </c>
      <c r="D3" s="19">
        <v>2013</v>
      </c>
      <c r="E3" s="9" t="s">
        <v>31</v>
      </c>
      <c r="F3" s="18">
        <v>2012</v>
      </c>
      <c r="G3" s="19">
        <v>2013</v>
      </c>
      <c r="H3" s="9" t="s">
        <v>31</v>
      </c>
      <c r="I3" s="18">
        <v>2012</v>
      </c>
      <c r="J3" s="19">
        <v>2013</v>
      </c>
      <c r="K3" s="9" t="s">
        <v>31</v>
      </c>
      <c r="L3" s="18">
        <v>2012</v>
      </c>
      <c r="M3" s="19">
        <v>2013</v>
      </c>
      <c r="N3" s="9" t="s">
        <v>31</v>
      </c>
    </row>
    <row r="4" spans="1:14" ht="15">
      <c r="A4" s="161"/>
      <c r="B4" s="161"/>
      <c r="C4" s="29"/>
      <c r="D4" s="29"/>
      <c r="E4" s="45" t="s">
        <v>107</v>
      </c>
      <c r="F4" s="29"/>
      <c r="G4" s="29"/>
      <c r="H4" s="45" t="s">
        <v>107</v>
      </c>
      <c r="I4" s="29"/>
      <c r="J4" s="29"/>
      <c r="K4" s="45" t="s">
        <v>107</v>
      </c>
      <c r="L4" s="29"/>
      <c r="M4" s="29"/>
      <c r="N4" s="45" t="s">
        <v>107</v>
      </c>
    </row>
    <row r="5" spans="1:14" ht="16.5" customHeight="1">
      <c r="A5" s="31">
        <v>1</v>
      </c>
      <c r="B5" s="31" t="s">
        <v>53</v>
      </c>
      <c r="C5" s="12">
        <v>138</v>
      </c>
      <c r="D5" s="12">
        <v>102</v>
      </c>
      <c r="E5" s="16">
        <f aca="true" t="shared" si="0" ref="E5:E14">D5-C5</f>
        <v>-36</v>
      </c>
      <c r="F5" s="12">
        <v>20</v>
      </c>
      <c r="G5" s="12">
        <v>9</v>
      </c>
      <c r="H5" s="16">
        <f aca="true" t="shared" si="1" ref="H5:H14">G5-F5</f>
        <v>-11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54</v>
      </c>
      <c r="C6" s="12">
        <v>127</v>
      </c>
      <c r="D6" s="12">
        <v>104</v>
      </c>
      <c r="E6" s="16">
        <f t="shared" si="0"/>
        <v>-23</v>
      </c>
      <c r="F6" s="12">
        <v>1</v>
      </c>
      <c r="G6" s="12"/>
      <c r="H6" s="16">
        <f t="shared" si="1"/>
        <v>-1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55</v>
      </c>
      <c r="C7" s="12">
        <v>35</v>
      </c>
      <c r="D7" s="12">
        <v>42</v>
      </c>
      <c r="E7" s="16">
        <f t="shared" si="0"/>
        <v>7</v>
      </c>
      <c r="F7" s="12"/>
      <c r="G7" s="12">
        <v>2</v>
      </c>
      <c r="H7" s="16">
        <f t="shared" si="1"/>
        <v>2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56</v>
      </c>
      <c r="C8" s="12">
        <v>350</v>
      </c>
      <c r="D8" s="12">
        <v>191</v>
      </c>
      <c r="E8" s="16">
        <f t="shared" si="0"/>
        <v>-159</v>
      </c>
      <c r="F8" s="12">
        <v>5</v>
      </c>
      <c r="G8" s="12">
        <v>9</v>
      </c>
      <c r="H8" s="16">
        <f t="shared" si="1"/>
        <v>4</v>
      </c>
      <c r="I8" s="16">
        <v>84</v>
      </c>
      <c r="J8" s="16">
        <v>53</v>
      </c>
      <c r="K8" s="12">
        <f>J8-I8</f>
        <v>-31</v>
      </c>
      <c r="L8" s="12">
        <v>44</v>
      </c>
      <c r="M8" s="12">
        <v>25</v>
      </c>
      <c r="N8" s="12">
        <f>M8-L8</f>
        <v>-19</v>
      </c>
    </row>
    <row r="9" spans="1:14" ht="16.5" customHeight="1">
      <c r="A9" s="31">
        <v>5</v>
      </c>
      <c r="B9" s="31" t="s">
        <v>57</v>
      </c>
      <c r="C9" s="12">
        <v>102</v>
      </c>
      <c r="D9" s="12">
        <v>90</v>
      </c>
      <c r="E9" s="16">
        <f t="shared" si="0"/>
        <v>-12</v>
      </c>
      <c r="F9" s="12"/>
      <c r="G9" s="12"/>
      <c r="H9" s="16">
        <f t="shared" si="1"/>
        <v>0</v>
      </c>
      <c r="I9" s="12">
        <v>88</v>
      </c>
      <c r="J9" s="12">
        <v>56</v>
      </c>
      <c r="K9" s="12">
        <f>J9-I9</f>
        <v>-32</v>
      </c>
      <c r="L9" s="16">
        <v>12</v>
      </c>
      <c r="M9" s="16">
        <v>10</v>
      </c>
      <c r="N9" s="12">
        <f>M9-L9</f>
        <v>-2</v>
      </c>
    </row>
    <row r="10" spans="1:14" ht="16.5" customHeight="1">
      <c r="A10" s="31">
        <v>6</v>
      </c>
      <c r="B10" s="32" t="s">
        <v>68</v>
      </c>
      <c r="C10" s="12">
        <v>46</v>
      </c>
      <c r="D10" s="12">
        <v>59</v>
      </c>
      <c r="E10" s="16">
        <f t="shared" si="0"/>
        <v>13</v>
      </c>
      <c r="F10" s="12"/>
      <c r="G10" s="12"/>
      <c r="H10" s="16">
        <f t="shared" si="1"/>
        <v>0</v>
      </c>
      <c r="I10" s="12"/>
      <c r="J10" s="12"/>
      <c r="K10" s="12"/>
      <c r="L10" s="12"/>
      <c r="M10" s="12"/>
      <c r="N10" s="12"/>
    </row>
    <row r="11" spans="1:14" ht="16.5" customHeight="1">
      <c r="A11" s="31">
        <v>8</v>
      </c>
      <c r="B11" s="32" t="s">
        <v>81</v>
      </c>
      <c r="C11" s="12">
        <v>73</v>
      </c>
      <c r="D11" s="12">
        <v>81</v>
      </c>
      <c r="E11" s="16">
        <f t="shared" si="0"/>
        <v>8</v>
      </c>
      <c r="F11" s="12">
        <v>13</v>
      </c>
      <c r="G11" s="12">
        <v>15</v>
      </c>
      <c r="H11" s="16">
        <f t="shared" si="1"/>
        <v>2</v>
      </c>
      <c r="I11" s="12"/>
      <c r="J11" s="12"/>
      <c r="K11" s="12"/>
      <c r="L11" s="12"/>
      <c r="M11" s="12"/>
      <c r="N11" s="12"/>
    </row>
    <row r="12" spans="1:14" ht="16.5" customHeight="1">
      <c r="A12" s="31">
        <v>9</v>
      </c>
      <c r="B12" s="32" t="s">
        <v>67</v>
      </c>
      <c r="C12" s="12">
        <v>114</v>
      </c>
      <c r="D12" s="12">
        <v>75</v>
      </c>
      <c r="E12" s="16">
        <f t="shared" si="0"/>
        <v>-39</v>
      </c>
      <c r="F12" s="12">
        <v>38</v>
      </c>
      <c r="G12" s="12">
        <v>3</v>
      </c>
      <c r="H12" s="16">
        <f t="shared" si="1"/>
        <v>-35</v>
      </c>
      <c r="I12" s="12"/>
      <c r="J12" s="12"/>
      <c r="K12" s="12"/>
      <c r="L12" s="12"/>
      <c r="M12" s="12"/>
      <c r="N12" s="12"/>
    </row>
    <row r="13" spans="1:14" ht="16.5" customHeight="1">
      <c r="A13" s="31">
        <v>10</v>
      </c>
      <c r="B13" s="32" t="s">
        <v>58</v>
      </c>
      <c r="C13" s="12">
        <v>45</v>
      </c>
      <c r="D13" s="12">
        <v>47</v>
      </c>
      <c r="E13" s="16">
        <f t="shared" si="0"/>
        <v>2</v>
      </c>
      <c r="F13" s="12"/>
      <c r="G13" s="12">
        <v>3</v>
      </c>
      <c r="H13" s="16">
        <f t="shared" si="1"/>
        <v>3</v>
      </c>
      <c r="I13" s="12"/>
      <c r="J13" s="12"/>
      <c r="K13" s="12"/>
      <c r="L13" s="12"/>
      <c r="M13" s="12"/>
      <c r="N13" s="12"/>
    </row>
    <row r="14" spans="1:14" ht="16.5" customHeight="1">
      <c r="A14" s="31">
        <v>11</v>
      </c>
      <c r="B14" s="32" t="s">
        <v>59</v>
      </c>
      <c r="C14" s="12">
        <v>23</v>
      </c>
      <c r="D14" s="12">
        <v>28</v>
      </c>
      <c r="E14" s="16">
        <f t="shared" si="0"/>
        <v>5</v>
      </c>
      <c r="F14" s="12"/>
      <c r="G14" s="12"/>
      <c r="H14" s="16">
        <f t="shared" si="1"/>
        <v>0</v>
      </c>
      <c r="I14" s="12"/>
      <c r="J14" s="12"/>
      <c r="K14" s="12"/>
      <c r="L14" s="12"/>
      <c r="M14" s="12"/>
      <c r="N14" s="12"/>
    </row>
    <row r="15" spans="1:14" ht="16.5" customHeight="1">
      <c r="A15" s="31">
        <v>12</v>
      </c>
      <c r="B15" s="32" t="s">
        <v>60</v>
      </c>
      <c r="C15" s="16"/>
      <c r="D15" s="16"/>
      <c r="E15" s="16"/>
      <c r="F15" s="16"/>
      <c r="G15" s="16"/>
      <c r="H15" s="16"/>
      <c r="I15" s="12">
        <v>1331</v>
      </c>
      <c r="J15" s="12">
        <v>1256</v>
      </c>
      <c r="K15" s="12">
        <f>J15-I15</f>
        <v>-75</v>
      </c>
      <c r="L15" s="12">
        <v>557</v>
      </c>
      <c r="M15" s="12">
        <v>527</v>
      </c>
      <c r="N15" s="12">
        <f>M15-L15</f>
        <v>-30</v>
      </c>
    </row>
    <row r="16" spans="1:14" ht="60.75" customHeight="1">
      <c r="A16" s="171" t="s">
        <v>91</v>
      </c>
      <c r="B16" s="172"/>
      <c r="C16" s="12">
        <f>SUM(C5:C14)</f>
        <v>1053</v>
      </c>
      <c r="D16" s="12">
        <f>SUM(D5:D15)</f>
        <v>819</v>
      </c>
      <c r="E16" s="12">
        <f>D16-C16</f>
        <v>-234</v>
      </c>
      <c r="F16" s="12">
        <f>SUM(F5:F15)</f>
        <v>77</v>
      </c>
      <c r="G16" s="12">
        <f>SUM(G5:G15)</f>
        <v>41</v>
      </c>
      <c r="H16" s="12">
        <f>G16-F16</f>
        <v>-36</v>
      </c>
      <c r="I16" s="12">
        <f>SUM(I8:I15)</f>
        <v>1503</v>
      </c>
      <c r="J16" s="12">
        <f>SUM(J8:J15)</f>
        <v>1365</v>
      </c>
      <c r="K16" s="12">
        <f>J16-I16</f>
        <v>-138</v>
      </c>
      <c r="L16" s="12">
        <f>SUM(L8:L15)</f>
        <v>613</v>
      </c>
      <c r="M16" s="12">
        <f>SUM(M8:M15)</f>
        <v>562</v>
      </c>
      <c r="N16" s="12">
        <f>M16-L16</f>
        <v>-51</v>
      </c>
    </row>
    <row r="17" spans="1:14" ht="16.5" customHeight="1">
      <c r="A17" s="31">
        <v>1</v>
      </c>
      <c r="B17" s="32" t="s">
        <v>77</v>
      </c>
      <c r="C17" s="12"/>
      <c r="D17" s="16"/>
      <c r="E17" s="12"/>
      <c r="F17" s="16"/>
      <c r="G17" s="16"/>
      <c r="H17" s="12"/>
      <c r="I17" s="12"/>
      <c r="J17" s="12"/>
      <c r="K17" s="12"/>
      <c r="L17" s="12"/>
      <c r="M17" s="12"/>
      <c r="N17" s="12"/>
    </row>
    <row r="18" spans="1:14" ht="18.75" customHeight="1">
      <c r="A18" s="171" t="s">
        <v>84</v>
      </c>
      <c r="B18" s="17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39" customHeight="1">
      <c r="A19" s="173" t="s">
        <v>85</v>
      </c>
      <c r="B19" s="174"/>
      <c r="C19" s="12">
        <f>C16+C18</f>
        <v>1053</v>
      </c>
      <c r="D19" s="12">
        <f>D16+D18</f>
        <v>819</v>
      </c>
      <c r="E19" s="12">
        <f>D19-C19</f>
        <v>-234</v>
      </c>
      <c r="F19" s="12">
        <f>F16+F18</f>
        <v>77</v>
      </c>
      <c r="G19" s="12">
        <f>G16+G18</f>
        <v>41</v>
      </c>
      <c r="H19" s="12">
        <f>G19-F19</f>
        <v>-36</v>
      </c>
      <c r="I19" s="12">
        <f>I16+I18</f>
        <v>1503</v>
      </c>
      <c r="J19" s="12">
        <f>J16+J18</f>
        <v>1365</v>
      </c>
      <c r="K19" s="12">
        <f>J19-I19</f>
        <v>-138</v>
      </c>
      <c r="L19" s="12">
        <f>L16+L18</f>
        <v>613</v>
      </c>
      <c r="M19" s="12">
        <f>M16+M18</f>
        <v>562</v>
      </c>
      <c r="N19" s="12">
        <f>M19-L19</f>
        <v>-51</v>
      </c>
    </row>
  </sheetData>
  <sheetProtection/>
  <mergeCells count="5">
    <mergeCell ref="B2:B4"/>
    <mergeCell ref="A2:A4"/>
    <mergeCell ref="A16:B16"/>
    <mergeCell ref="A18:B18"/>
    <mergeCell ref="A19:B19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zoomScalePageLayoutView="0" workbookViewId="0" topLeftCell="A1">
      <selection activeCell="O25" sqref="O25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45" t="s">
        <v>2</v>
      </c>
      <c r="B3" s="145" t="s">
        <v>3</v>
      </c>
      <c r="C3" s="24" t="s">
        <v>22</v>
      </c>
      <c r="D3" s="25"/>
      <c r="E3" s="27"/>
      <c r="F3" s="5" t="s">
        <v>23</v>
      </c>
      <c r="G3" s="7"/>
      <c r="H3" s="23" t="s">
        <v>25</v>
      </c>
      <c r="I3" s="34" t="s">
        <v>26</v>
      </c>
      <c r="J3" s="21"/>
      <c r="K3" s="23" t="s">
        <v>25</v>
      </c>
      <c r="L3" s="50" t="s">
        <v>28</v>
      </c>
      <c r="M3" s="21"/>
      <c r="N3" s="23" t="s">
        <v>25</v>
      </c>
    </row>
    <row r="4" spans="1:14" ht="15">
      <c r="A4" s="205"/>
      <c r="B4" s="205"/>
      <c r="C4" s="18">
        <v>2012</v>
      </c>
      <c r="D4" s="19">
        <v>2013</v>
      </c>
      <c r="E4" s="19" t="s">
        <v>102</v>
      </c>
      <c r="F4" s="18">
        <v>2012</v>
      </c>
      <c r="G4" s="19">
        <v>2013</v>
      </c>
      <c r="H4" s="44" t="s">
        <v>24</v>
      </c>
      <c r="I4" s="30" t="s">
        <v>27</v>
      </c>
      <c r="J4" s="28"/>
      <c r="K4" s="44" t="s">
        <v>24</v>
      </c>
      <c r="L4" s="52" t="s">
        <v>29</v>
      </c>
      <c r="M4" s="28"/>
      <c r="N4" s="44" t="s">
        <v>24</v>
      </c>
    </row>
    <row r="5" spans="1:14" ht="15">
      <c r="A5" s="205"/>
      <c r="B5" s="205"/>
      <c r="C5" s="40"/>
      <c r="D5" s="11"/>
      <c r="E5" s="11" t="s">
        <v>105</v>
      </c>
      <c r="F5" s="29"/>
      <c r="G5" s="28"/>
      <c r="H5" s="29" t="s">
        <v>106</v>
      </c>
      <c r="I5" s="18">
        <v>2012</v>
      </c>
      <c r="J5" s="19">
        <v>2013</v>
      </c>
      <c r="K5" s="29" t="s">
        <v>106</v>
      </c>
      <c r="L5" s="18">
        <v>2012</v>
      </c>
      <c r="M5" s="19">
        <v>2013</v>
      </c>
      <c r="N5" s="29" t="s">
        <v>106</v>
      </c>
    </row>
    <row r="6" spans="1:14" ht="16.5" customHeight="1">
      <c r="A6" s="31">
        <v>1</v>
      </c>
      <c r="B6" s="31" t="s">
        <v>53</v>
      </c>
      <c r="C6" s="36">
        <v>82</v>
      </c>
      <c r="D6" s="36">
        <v>93</v>
      </c>
      <c r="E6" s="36">
        <f aca="true" t="shared" si="0" ref="E6:E19">D6*100/C6</f>
        <v>113.41463414634147</v>
      </c>
      <c r="F6" s="36">
        <v>79</v>
      </c>
      <c r="G6" s="36">
        <v>93</v>
      </c>
      <c r="H6" s="36">
        <f aca="true" t="shared" si="1" ref="H6:H19">G6-F6</f>
        <v>14</v>
      </c>
      <c r="I6" s="36">
        <f>F6*100/180</f>
        <v>43.888888888888886</v>
      </c>
      <c r="J6" s="36">
        <f>G6*100/180</f>
        <v>51.666666666666664</v>
      </c>
      <c r="K6" s="36">
        <f aca="true" t="shared" si="2" ref="K6:K19">J6-I6</f>
        <v>7.777777777777779</v>
      </c>
      <c r="L6" s="36">
        <f>(C6-F6)*100/180</f>
        <v>1.6666666666666667</v>
      </c>
      <c r="M6" s="36">
        <f>(D6-G6)*100/180</f>
        <v>0</v>
      </c>
      <c r="N6" s="36">
        <f>M6-L6</f>
        <v>-1.6666666666666667</v>
      </c>
    </row>
    <row r="7" spans="1:14" ht="16.5" customHeight="1">
      <c r="A7" s="31">
        <v>2</v>
      </c>
      <c r="B7" s="31" t="s">
        <v>54</v>
      </c>
      <c r="C7" s="36">
        <v>85</v>
      </c>
      <c r="D7" s="36">
        <v>93</v>
      </c>
      <c r="E7" s="36">
        <f t="shared" si="0"/>
        <v>109.41176470588235</v>
      </c>
      <c r="F7" s="36">
        <v>82</v>
      </c>
      <c r="G7" s="36">
        <v>83</v>
      </c>
      <c r="H7" s="36">
        <f t="shared" si="1"/>
        <v>1</v>
      </c>
      <c r="I7" s="36">
        <f>F7*100/105</f>
        <v>78.0952380952381</v>
      </c>
      <c r="J7" s="36">
        <f>G7*100/105</f>
        <v>79.04761904761905</v>
      </c>
      <c r="K7" s="36">
        <f>J7-I7</f>
        <v>0.952380952380949</v>
      </c>
      <c r="L7" s="36">
        <f>(C7-F7)*100/105</f>
        <v>2.857142857142857</v>
      </c>
      <c r="M7" s="36">
        <f>(D7-G7)*100/105</f>
        <v>9.523809523809524</v>
      </c>
      <c r="N7" s="36">
        <f>M7-L7</f>
        <v>6.666666666666666</v>
      </c>
    </row>
    <row r="8" spans="1:14" ht="16.5" customHeight="1">
      <c r="A8" s="31">
        <v>3</v>
      </c>
      <c r="B8" s="31" t="s">
        <v>55</v>
      </c>
      <c r="C8" s="36">
        <v>41</v>
      </c>
      <c r="D8" s="36">
        <v>46</v>
      </c>
      <c r="E8" s="36">
        <f t="shared" si="0"/>
        <v>112.1951219512195</v>
      </c>
      <c r="F8" s="36">
        <v>41</v>
      </c>
      <c r="G8" s="117">
        <v>45</v>
      </c>
      <c r="H8" s="36">
        <f t="shared" si="1"/>
        <v>4</v>
      </c>
      <c r="I8" s="36">
        <f>F8*100/60</f>
        <v>68.33333333333333</v>
      </c>
      <c r="J8" s="36">
        <f>G8*100/60</f>
        <v>75</v>
      </c>
      <c r="K8" s="36">
        <f>J8-I8</f>
        <v>6.666666666666671</v>
      </c>
      <c r="L8" s="36">
        <f>(C8-F8)*100/60</f>
        <v>0</v>
      </c>
      <c r="M8" s="36">
        <f>(D8-G8)*100/60</f>
        <v>1.6666666666666667</v>
      </c>
      <c r="N8" s="36">
        <f>M8-L8</f>
        <v>1.6666666666666667</v>
      </c>
    </row>
    <row r="9" spans="1:14" ht="16.5" customHeight="1">
      <c r="A9" s="31">
        <v>4</v>
      </c>
      <c r="B9" s="22" t="s">
        <v>56</v>
      </c>
      <c r="C9" s="36">
        <v>154</v>
      </c>
      <c r="D9" s="36">
        <v>203</v>
      </c>
      <c r="E9" s="36">
        <f t="shared" si="0"/>
        <v>131.8181818181818</v>
      </c>
      <c r="F9" s="36">
        <v>132</v>
      </c>
      <c r="G9" s="36">
        <v>156</v>
      </c>
      <c r="H9" s="36">
        <f t="shared" si="1"/>
        <v>24</v>
      </c>
      <c r="I9" s="36">
        <f>F9*100/308</f>
        <v>42.857142857142854</v>
      </c>
      <c r="J9" s="36">
        <f>G9*100/308</f>
        <v>50.64935064935065</v>
      </c>
      <c r="K9" s="36">
        <f t="shared" si="2"/>
        <v>7.7922077922077975</v>
      </c>
      <c r="L9" s="36">
        <f>(C9-F9)*100/308</f>
        <v>7.142857142857143</v>
      </c>
      <c r="M9" s="36">
        <f>(D9-G9)*100/308</f>
        <v>15.25974025974026</v>
      </c>
      <c r="N9" s="36">
        <f aca="true" t="shared" si="3" ref="N9:N19">M9-L9</f>
        <v>8.116883116883116</v>
      </c>
    </row>
    <row r="10" spans="1:14" ht="16.5" customHeight="1">
      <c r="A10" s="31">
        <v>5</v>
      </c>
      <c r="B10" s="31" t="s">
        <v>57</v>
      </c>
      <c r="C10" s="36">
        <v>119</v>
      </c>
      <c r="D10" s="36">
        <v>84</v>
      </c>
      <c r="E10" s="36">
        <f t="shared" si="0"/>
        <v>70.58823529411765</v>
      </c>
      <c r="F10" s="36">
        <v>105</v>
      </c>
      <c r="G10" s="36">
        <v>84</v>
      </c>
      <c r="H10" s="36">
        <f t="shared" si="1"/>
        <v>-21</v>
      </c>
      <c r="I10" s="36">
        <f>F10*100/280</f>
        <v>37.5</v>
      </c>
      <c r="J10" s="36">
        <f>G10*100/200</f>
        <v>42</v>
      </c>
      <c r="K10" s="36">
        <f t="shared" si="2"/>
        <v>4.5</v>
      </c>
      <c r="L10" s="36">
        <f>(C10-F10)*100/280</f>
        <v>5</v>
      </c>
      <c r="M10" s="36">
        <f>(D10-G10)*100/280</f>
        <v>0</v>
      </c>
      <c r="N10" s="36">
        <f t="shared" si="3"/>
        <v>-5</v>
      </c>
    </row>
    <row r="11" spans="1:14" ht="16.5" customHeight="1">
      <c r="A11" s="31">
        <v>6</v>
      </c>
      <c r="B11" s="32" t="s">
        <v>68</v>
      </c>
      <c r="C11" s="88">
        <v>61</v>
      </c>
      <c r="D11" s="88">
        <v>75</v>
      </c>
      <c r="E11" s="36">
        <f t="shared" si="0"/>
        <v>122.95081967213115</v>
      </c>
      <c r="F11" s="88">
        <v>47</v>
      </c>
      <c r="G11" s="88">
        <v>59</v>
      </c>
      <c r="H11" s="36">
        <f t="shared" si="1"/>
        <v>12</v>
      </c>
      <c r="I11" s="88">
        <f>F11*100/85</f>
        <v>55.294117647058826</v>
      </c>
      <c r="J11" s="88">
        <f>G11*100/85</f>
        <v>69.41176470588235</v>
      </c>
      <c r="K11" s="36">
        <f t="shared" si="2"/>
        <v>14.117647058823522</v>
      </c>
      <c r="L11" s="36">
        <f>(C11-F11)*100/85</f>
        <v>16.470588235294116</v>
      </c>
      <c r="M11" s="36">
        <f>(D11-G11)*100/85</f>
        <v>18.823529411764707</v>
      </c>
      <c r="N11" s="88">
        <f t="shared" si="3"/>
        <v>2.3529411764705905</v>
      </c>
    </row>
    <row r="12" spans="1:14" ht="16.5" customHeight="1">
      <c r="A12" s="31">
        <v>8</v>
      </c>
      <c r="B12" s="32" t="s">
        <v>81</v>
      </c>
      <c r="C12" s="88">
        <v>79</v>
      </c>
      <c r="D12" s="88">
        <v>76</v>
      </c>
      <c r="E12" s="36">
        <f>D12*100/C13</f>
        <v>168.88888888888889</v>
      </c>
      <c r="F12" s="88">
        <v>65</v>
      </c>
      <c r="G12" s="88">
        <v>65</v>
      </c>
      <c r="H12" s="36">
        <f t="shared" si="1"/>
        <v>0</v>
      </c>
      <c r="I12" s="88">
        <f>F12*100/65</f>
        <v>100</v>
      </c>
      <c r="J12" s="88">
        <f>G12*100/65</f>
        <v>100</v>
      </c>
      <c r="K12" s="36">
        <f t="shared" si="2"/>
        <v>0</v>
      </c>
      <c r="L12" s="36">
        <f>(C12-F12)*100/65</f>
        <v>21.53846153846154</v>
      </c>
      <c r="M12" s="36">
        <f>(D12-G12)*100/65</f>
        <v>16.923076923076923</v>
      </c>
      <c r="N12" s="88">
        <f t="shared" si="3"/>
        <v>-4.615384615384617</v>
      </c>
    </row>
    <row r="13" spans="1:14" ht="16.5" customHeight="1">
      <c r="A13" s="31">
        <v>9</v>
      </c>
      <c r="B13" s="32" t="s">
        <v>67</v>
      </c>
      <c r="C13" s="88">
        <v>45</v>
      </c>
      <c r="D13" s="88">
        <v>30</v>
      </c>
      <c r="E13" s="36">
        <f>D13*100/C14</f>
        <v>42.857142857142854</v>
      </c>
      <c r="F13" s="88">
        <v>40</v>
      </c>
      <c r="G13" s="88">
        <v>26</v>
      </c>
      <c r="H13" s="36">
        <f t="shared" si="1"/>
        <v>-14</v>
      </c>
      <c r="I13" s="88">
        <f>F13*100/78</f>
        <v>51.282051282051285</v>
      </c>
      <c r="J13" s="88">
        <f>G13*100/78</f>
        <v>33.333333333333336</v>
      </c>
      <c r="K13" s="36">
        <f t="shared" si="2"/>
        <v>-17.94871794871795</v>
      </c>
      <c r="L13" s="36">
        <f>(C13-F13)*100/78</f>
        <v>6.410256410256411</v>
      </c>
      <c r="M13" s="36">
        <f>(D13-G13)*100/78</f>
        <v>5.128205128205129</v>
      </c>
      <c r="N13" s="88">
        <f t="shared" si="3"/>
        <v>-1.282051282051282</v>
      </c>
    </row>
    <row r="14" spans="1:14" ht="16.5" customHeight="1">
      <c r="A14" s="31">
        <v>10</v>
      </c>
      <c r="B14" s="32" t="s">
        <v>58</v>
      </c>
      <c r="C14" s="88">
        <v>70</v>
      </c>
      <c r="D14" s="88">
        <v>91</v>
      </c>
      <c r="E14" s="36">
        <f>D14*100/C15</f>
        <v>313.7931034482759</v>
      </c>
      <c r="F14" s="88">
        <v>61</v>
      </c>
      <c r="G14" s="88">
        <v>85</v>
      </c>
      <c r="H14" s="36">
        <f t="shared" si="1"/>
        <v>24</v>
      </c>
      <c r="I14" s="88">
        <f>F14*100/100</f>
        <v>61</v>
      </c>
      <c r="J14" s="88">
        <f>G14*100/100</f>
        <v>85</v>
      </c>
      <c r="K14" s="36">
        <f t="shared" si="2"/>
        <v>24</v>
      </c>
      <c r="L14" s="36">
        <f>(C14-F14)*100/100</f>
        <v>9</v>
      </c>
      <c r="M14" s="36">
        <f>(D14-G14)*100/100</f>
        <v>6</v>
      </c>
      <c r="N14" s="88">
        <f t="shared" si="3"/>
        <v>-3</v>
      </c>
    </row>
    <row r="15" spans="1:14" ht="16.5" customHeight="1">
      <c r="A15" s="31">
        <v>11</v>
      </c>
      <c r="B15" s="32" t="s">
        <v>59</v>
      </c>
      <c r="C15" s="117">
        <v>29</v>
      </c>
      <c r="D15" s="88">
        <v>31</v>
      </c>
      <c r="E15" s="36">
        <f>D15*100/C16</f>
        <v>4.052287581699346</v>
      </c>
      <c r="F15" s="117">
        <v>29</v>
      </c>
      <c r="G15" s="88">
        <v>31</v>
      </c>
      <c r="H15" s="36">
        <f t="shared" si="1"/>
        <v>2</v>
      </c>
      <c r="I15" s="88">
        <f>F15*100/42</f>
        <v>69.04761904761905</v>
      </c>
      <c r="J15" s="88">
        <f>G15*100/42</f>
        <v>73.80952380952381</v>
      </c>
      <c r="K15" s="36">
        <f t="shared" si="2"/>
        <v>4.761904761904759</v>
      </c>
      <c r="L15" s="36">
        <f>(C15-F15)*100/42</f>
        <v>0</v>
      </c>
      <c r="M15" s="36">
        <f>(D15-G15)*100/42</f>
        <v>0</v>
      </c>
      <c r="N15" s="88">
        <f t="shared" si="3"/>
        <v>0</v>
      </c>
    </row>
    <row r="16" spans="1:14" ht="61.5" customHeight="1">
      <c r="A16" s="203" t="s">
        <v>90</v>
      </c>
      <c r="B16" s="204"/>
      <c r="C16" s="36">
        <f>SUM(C6:C15)</f>
        <v>765</v>
      </c>
      <c r="D16" s="3">
        <f>SUM(D6:D15)</f>
        <v>822</v>
      </c>
      <c r="E16" s="36">
        <f t="shared" si="0"/>
        <v>107.45098039215686</v>
      </c>
      <c r="F16" s="3">
        <f>SUM(F6:F15)</f>
        <v>681</v>
      </c>
      <c r="G16" s="3">
        <f>SUM(G6:G15)</f>
        <v>727</v>
      </c>
      <c r="H16" s="36">
        <f t="shared" si="1"/>
        <v>46</v>
      </c>
      <c r="I16" s="36">
        <f>F16*100/1303</f>
        <v>52.26400613967767</v>
      </c>
      <c r="J16" s="36">
        <f>G16*100/1223</f>
        <v>59.443990188062145</v>
      </c>
      <c r="K16" s="36">
        <f t="shared" si="2"/>
        <v>7.179984048384476</v>
      </c>
      <c r="L16" s="36">
        <f>(C16-F16)*100/1303</f>
        <v>6.446661550268611</v>
      </c>
      <c r="M16" s="36">
        <f>(D16-G16)*100/1223</f>
        <v>7.76778413736713</v>
      </c>
      <c r="N16" s="36">
        <f t="shared" si="3"/>
        <v>1.321122587098519</v>
      </c>
    </row>
    <row r="17" spans="1:14" ht="15">
      <c r="A17" s="133">
        <v>1</v>
      </c>
      <c r="B17" s="133" t="s">
        <v>96</v>
      </c>
      <c r="C17" s="133"/>
      <c r="D17" s="133">
        <v>6</v>
      </c>
      <c r="E17" s="36"/>
      <c r="F17" s="133"/>
      <c r="G17" s="133">
        <v>6</v>
      </c>
      <c r="H17" s="36">
        <f t="shared" si="1"/>
        <v>6</v>
      </c>
      <c r="I17" s="36"/>
      <c r="J17" s="36">
        <f>G17*100/15</f>
        <v>40</v>
      </c>
      <c r="K17" s="36">
        <f t="shared" si="2"/>
        <v>40</v>
      </c>
      <c r="L17" s="133"/>
      <c r="M17" s="133"/>
      <c r="N17" s="36"/>
    </row>
    <row r="18" spans="1:14" ht="15">
      <c r="A18" s="208" t="s">
        <v>84</v>
      </c>
      <c r="B18" s="209"/>
      <c r="C18" s="133"/>
      <c r="D18" s="133">
        <f>SUM(D17)</f>
        <v>6</v>
      </c>
      <c r="E18" s="36"/>
      <c r="F18" s="133"/>
      <c r="G18" s="133">
        <f>SUM(G17)</f>
        <v>6</v>
      </c>
      <c r="H18" s="36">
        <f t="shared" si="1"/>
        <v>6</v>
      </c>
      <c r="I18" s="36"/>
      <c r="J18" s="36">
        <f>G18*100/15</f>
        <v>40</v>
      </c>
      <c r="K18" s="36">
        <f t="shared" si="2"/>
        <v>40</v>
      </c>
      <c r="L18" s="133"/>
      <c r="M18" s="133"/>
      <c r="N18" s="36"/>
    </row>
    <row r="19" spans="1:14" ht="38.25" customHeight="1">
      <c r="A19" s="206" t="s">
        <v>85</v>
      </c>
      <c r="B19" s="207"/>
      <c r="C19" s="135">
        <f>C16+C18</f>
        <v>765</v>
      </c>
      <c r="D19" s="135">
        <f>D16+D18</f>
        <v>828</v>
      </c>
      <c r="E19" s="36">
        <f t="shared" si="0"/>
        <v>108.23529411764706</v>
      </c>
      <c r="F19" s="135">
        <f>F16+F18</f>
        <v>681</v>
      </c>
      <c r="G19" s="135">
        <f>G16+G18</f>
        <v>733</v>
      </c>
      <c r="H19" s="36">
        <f t="shared" si="1"/>
        <v>52</v>
      </c>
      <c r="I19" s="36">
        <f>F19*100/1303</f>
        <v>52.26400613967767</v>
      </c>
      <c r="J19" s="36">
        <f>G19*100/1238</f>
        <v>59.20840064620356</v>
      </c>
      <c r="K19" s="36">
        <f t="shared" si="2"/>
        <v>6.944394506525889</v>
      </c>
      <c r="L19" s="134">
        <v>6</v>
      </c>
      <c r="M19" s="36">
        <f>(D19-G19)*100/1238</f>
        <v>7.673667205169629</v>
      </c>
      <c r="N19" s="36">
        <f t="shared" si="3"/>
        <v>1.6736672051696289</v>
      </c>
    </row>
  </sheetData>
  <sheetProtection/>
  <mergeCells count="6">
    <mergeCell ref="A1:N1"/>
    <mergeCell ref="A16:B16"/>
    <mergeCell ref="B3:B5"/>
    <mergeCell ref="A3:A5"/>
    <mergeCell ref="A19:B19"/>
    <mergeCell ref="A18:B18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70" zoomScaleNormal="75" zoomScaleSheetLayoutView="70" zoomScalePageLayoutView="0" workbookViewId="0" topLeftCell="A1">
      <selection activeCell="F34" sqref="F34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4.00390625" style="20" customWidth="1"/>
    <col min="4" max="4" width="14.625" style="20" customWidth="1"/>
    <col min="5" max="5" width="16.00390625" style="20" customWidth="1"/>
    <col min="6" max="6" width="17.375" style="20" customWidth="1"/>
    <col min="7" max="16384" width="9.125" style="20" customWidth="1"/>
  </cols>
  <sheetData>
    <row r="1" spans="1:9" ht="15.75" customHeight="1">
      <c r="A1" s="210" t="s">
        <v>95</v>
      </c>
      <c r="B1" s="210"/>
      <c r="C1" s="210"/>
      <c r="D1" s="210"/>
      <c r="E1" s="210"/>
      <c r="F1" s="210"/>
      <c r="G1" s="75"/>
      <c r="H1" s="75"/>
      <c r="I1" s="75"/>
    </row>
    <row r="2" spans="1:9" ht="15.75">
      <c r="A2" s="211" t="s">
        <v>120</v>
      </c>
      <c r="B2" s="211"/>
      <c r="C2" s="211"/>
      <c r="D2" s="211"/>
      <c r="E2" s="211"/>
      <c r="F2" s="211"/>
      <c r="G2" s="75"/>
      <c r="H2" s="75"/>
      <c r="I2" s="75"/>
    </row>
    <row r="3" spans="1:9" ht="15">
      <c r="A3" s="4" t="s">
        <v>2</v>
      </c>
      <c r="B3" s="4" t="s">
        <v>3</v>
      </c>
      <c r="C3" s="5" t="s">
        <v>40</v>
      </c>
      <c r="D3" s="6"/>
      <c r="E3" s="5" t="s">
        <v>41</v>
      </c>
      <c r="F3" s="7"/>
      <c r="G3" s="75"/>
      <c r="H3" s="75"/>
      <c r="I3" s="75"/>
    </row>
    <row r="4" spans="1:9" ht="15">
      <c r="A4" s="8"/>
      <c r="B4" s="8"/>
      <c r="C4" s="18">
        <v>2012</v>
      </c>
      <c r="D4" s="19">
        <v>2013</v>
      </c>
      <c r="E4" s="18">
        <v>2012</v>
      </c>
      <c r="F4" s="19">
        <v>2013</v>
      </c>
      <c r="G4" s="75"/>
      <c r="H4" s="75"/>
      <c r="I4" s="75"/>
    </row>
    <row r="5" spans="1:9" ht="15">
      <c r="A5" s="3">
        <v>1</v>
      </c>
      <c r="B5" s="22" t="s">
        <v>53</v>
      </c>
      <c r="C5" s="36">
        <f>(молоко!C7*1000)/1875</f>
        <v>116.05333333333333</v>
      </c>
      <c r="D5" s="36">
        <f>(молоко!D7*1000)/1875</f>
        <v>108.05333333333333</v>
      </c>
      <c r="E5" s="36">
        <f>(мясо!C6*1000)/1875</f>
        <v>13.173333333333334</v>
      </c>
      <c r="F5" s="36">
        <f>(мясо!D6*1000)/1875</f>
        <v>6.026666666666666</v>
      </c>
      <c r="H5" s="75"/>
      <c r="I5" s="75"/>
    </row>
    <row r="6" spans="1:9" ht="15">
      <c r="A6" s="3">
        <v>2</v>
      </c>
      <c r="B6" s="22" t="s">
        <v>54</v>
      </c>
      <c r="C6" s="36">
        <f>(молоко!C8*1000)/799</f>
        <v>212.78973717146434</v>
      </c>
      <c r="D6" s="36">
        <f>(молоко!D8*1000)/799</f>
        <v>215.85356695869837</v>
      </c>
      <c r="E6" s="36">
        <f>(мясо!C7*1000)/799</f>
        <v>5.919899874843554</v>
      </c>
      <c r="F6" s="36">
        <f>(мясо!D7*1000)/799</f>
        <v>8.469336670838548</v>
      </c>
      <c r="H6" s="75"/>
      <c r="I6" s="75"/>
    </row>
    <row r="7" spans="1:9" ht="15">
      <c r="A7" s="3">
        <v>3</v>
      </c>
      <c r="B7" s="22" t="s">
        <v>55</v>
      </c>
      <c r="C7" s="36">
        <f>(молоко!C9*1000)/2025</f>
        <v>59.75308641975309</v>
      </c>
      <c r="D7" s="36">
        <f>(молоко!D9*1000)/2025</f>
        <v>61.72839506172839</v>
      </c>
      <c r="E7" s="36">
        <f>(мясо!C8*1000)/2025</f>
        <v>2.567901234567901</v>
      </c>
      <c r="F7" s="36">
        <f>(мясо!D8*1000)/2025</f>
        <v>2.617283950617284</v>
      </c>
      <c r="H7" s="75"/>
      <c r="I7" s="75"/>
    </row>
    <row r="8" spans="1:9" ht="15">
      <c r="A8" s="3">
        <v>4</v>
      </c>
      <c r="B8" s="38" t="s">
        <v>56</v>
      </c>
      <c r="C8" s="36">
        <f>(молоко!C10*1000)/2478</f>
        <v>241.24293785310735</v>
      </c>
      <c r="D8" s="36">
        <f>(молоко!D10*1000)/2478</f>
        <v>245.60129136400323</v>
      </c>
      <c r="E8" s="36">
        <f>(мясо!C9*1000)/2478</f>
        <v>14.76997578692494</v>
      </c>
      <c r="F8" s="36">
        <f>(мясо!D9*1000)/2478</f>
        <v>20.056497175141242</v>
      </c>
      <c r="H8" s="75"/>
      <c r="I8" s="75"/>
    </row>
    <row r="9" spans="1:9" ht="15">
      <c r="A9" s="3">
        <v>5</v>
      </c>
      <c r="B9" s="22" t="s">
        <v>57</v>
      </c>
      <c r="C9" s="36">
        <f>(молоко!C11*1000)/2157</f>
        <v>101.06629578117756</v>
      </c>
      <c r="D9" s="36">
        <f>(молоко!D11*1000)/2157</f>
        <v>74.44598980064904</v>
      </c>
      <c r="E9" s="36">
        <f>(мясо!C10*1000)/2157</f>
        <v>19.88873435326843</v>
      </c>
      <c r="F9" s="36">
        <f>(мясо!D10*1000)/2157</f>
        <v>5.238757533611498</v>
      </c>
      <c r="H9" s="75"/>
      <c r="I9" s="75"/>
    </row>
    <row r="10" spans="1:9" ht="15">
      <c r="A10" s="3">
        <v>6</v>
      </c>
      <c r="B10" s="38" t="s">
        <v>68</v>
      </c>
      <c r="C10" s="36">
        <f>(молоко!C12*1000)/859</f>
        <v>239.20838183934808</v>
      </c>
      <c r="D10" s="36">
        <f>(молоко!D12*1000)/859</f>
        <v>160.80209545983703</v>
      </c>
      <c r="E10" s="36">
        <f>(мясо!C11*1000)/859</f>
        <v>17.144353899883587</v>
      </c>
      <c r="F10" s="36">
        <f>(мясо!D11*1000)/859</f>
        <v>14.243306169965075</v>
      </c>
      <c r="H10" s="75"/>
      <c r="I10" s="75"/>
    </row>
    <row r="11" spans="1:9" ht="15">
      <c r="A11" s="3">
        <v>8</v>
      </c>
      <c r="B11" s="32" t="s">
        <v>81</v>
      </c>
      <c r="C11" s="36"/>
      <c r="D11" s="36">
        <f>(молоко!D13*1000)/1482</f>
        <v>123.6855600539811</v>
      </c>
      <c r="E11" s="36"/>
      <c r="F11" s="36">
        <f>(мясо!D12*1000)/1482</f>
        <v>14.308367071524966</v>
      </c>
      <c r="H11" s="75"/>
      <c r="I11" s="75"/>
    </row>
    <row r="12" spans="1:9" ht="15.75" customHeight="1">
      <c r="A12" s="3">
        <v>9</v>
      </c>
      <c r="B12" s="32" t="s">
        <v>67</v>
      </c>
      <c r="C12" s="36">
        <f>(молоко!C14*1000)/1077</f>
        <v>239.54038997214485</v>
      </c>
      <c r="D12" s="36">
        <f>(молоко!D14*1000)/1077</f>
        <v>263.23119777158774</v>
      </c>
      <c r="E12" s="36">
        <f>(мясо!C13*1000)/1077</f>
        <v>9.925719591457753</v>
      </c>
      <c r="F12" s="36">
        <f>(мясо!D13*1000)/1077</f>
        <v>20.03714020427112</v>
      </c>
      <c r="H12" s="75"/>
      <c r="I12" s="75"/>
    </row>
    <row r="13" spans="1:9" ht="15">
      <c r="A13" s="3">
        <v>10</v>
      </c>
      <c r="B13" s="38" t="s">
        <v>58</v>
      </c>
      <c r="C13" s="36">
        <f>(молоко!C15*1000)/1084</f>
        <v>171.58671586715866</v>
      </c>
      <c r="D13" s="36">
        <f>(молоко!D15*1000)/1084</f>
        <v>164.760147601476</v>
      </c>
      <c r="E13" s="36">
        <f>(мясо!C14*1000)/1084</f>
        <v>14.114391143911439</v>
      </c>
      <c r="F13" s="36">
        <f>(мясо!D14*1000)/1084</f>
        <v>12.730627306273062</v>
      </c>
      <c r="H13" s="75"/>
      <c r="I13" s="75"/>
    </row>
    <row r="14" spans="1:9" ht="15">
      <c r="A14" s="3">
        <v>11</v>
      </c>
      <c r="B14" s="38" t="s">
        <v>59</v>
      </c>
      <c r="C14" s="36">
        <f>(молоко!C16*1000)/674</f>
        <v>122.40356083086053</v>
      </c>
      <c r="D14" s="36">
        <f>(молоко!D16*1000)/674</f>
        <v>146.57270029673592</v>
      </c>
      <c r="E14" s="36">
        <f>(мясо!C15*1000)/674</f>
        <v>6.379821958456973</v>
      </c>
      <c r="F14" s="36">
        <f>(мясо!D15*1000)/674</f>
        <v>1.7804154302670623</v>
      </c>
      <c r="H14" s="75"/>
      <c r="I14" s="75"/>
    </row>
    <row r="15" spans="1:9" ht="15">
      <c r="A15" s="3">
        <v>12</v>
      </c>
      <c r="B15" s="38" t="s">
        <v>60</v>
      </c>
      <c r="C15" s="36"/>
      <c r="D15" s="36"/>
      <c r="E15" s="36">
        <f>(мясо!C16*1000)/983</f>
        <v>622.5839267548322</v>
      </c>
      <c r="F15" s="36">
        <f>(мясо!D16*1000)/983</f>
        <v>740.59003051882</v>
      </c>
      <c r="H15" s="75"/>
      <c r="I15" s="75"/>
    </row>
    <row r="16" spans="1:6" ht="63.75" customHeight="1">
      <c r="A16" s="206" t="s">
        <v>90</v>
      </c>
      <c r="B16" s="212"/>
      <c r="C16" s="36">
        <f>(молоко!C17*1000)/22877</f>
        <v>97.5895440835774</v>
      </c>
      <c r="D16" s="36">
        <f>(молоко!D17*1000)/22877</f>
        <v>94.04939458845126</v>
      </c>
      <c r="E16" s="36">
        <f>(мясо!C26*1000)/22877</f>
        <v>34.53966866284915</v>
      </c>
      <c r="F16" s="36">
        <f>(мясо!D26*1000)/22877</f>
        <v>38.90483892118722</v>
      </c>
    </row>
  </sheetData>
  <sheetProtection/>
  <mergeCells count="3">
    <mergeCell ref="A1:F1"/>
    <mergeCell ref="A2:F2"/>
    <mergeCell ref="A16:B16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70" zoomScaleNormal="75" zoomScaleSheetLayoutView="70" zoomScalePageLayoutView="0" workbookViewId="0" topLeftCell="A1">
      <selection activeCell="J39" sqref="J39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121</v>
      </c>
      <c r="D1" s="43"/>
      <c r="E1" s="43"/>
      <c r="F1" s="14"/>
      <c r="G1" s="14"/>
      <c r="H1" s="14"/>
      <c r="I1" s="14"/>
      <c r="J1" s="14"/>
      <c r="K1" s="14"/>
    </row>
    <row r="2" spans="1:11" ht="18" customHeight="1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56" t="s">
        <v>2</v>
      </c>
      <c r="B3" s="215" t="s">
        <v>3</v>
      </c>
      <c r="C3" s="216" t="s">
        <v>86</v>
      </c>
      <c r="D3" s="217"/>
      <c r="E3" s="218"/>
      <c r="F3" s="54" t="s">
        <v>9</v>
      </c>
      <c r="G3" s="55" t="s">
        <v>12</v>
      </c>
      <c r="H3" s="56" t="s">
        <v>14</v>
      </c>
      <c r="I3" s="57"/>
      <c r="J3" s="53"/>
      <c r="K3" s="53" t="s">
        <v>15</v>
      </c>
    </row>
    <row r="4" spans="1:11" ht="18">
      <c r="A4" s="181"/>
      <c r="B4" s="181"/>
      <c r="C4" s="58">
        <v>2012</v>
      </c>
      <c r="D4" s="54">
        <v>2013</v>
      </c>
      <c r="E4" s="54" t="s">
        <v>102</v>
      </c>
      <c r="F4" s="59" t="s">
        <v>10</v>
      </c>
      <c r="G4" s="60" t="s">
        <v>13</v>
      </c>
      <c r="H4" s="58">
        <v>2012</v>
      </c>
      <c r="I4" s="54">
        <v>2013</v>
      </c>
      <c r="J4" s="54" t="s">
        <v>102</v>
      </c>
      <c r="K4" s="61" t="s">
        <v>16</v>
      </c>
    </row>
    <row r="5" spans="1:11" ht="18">
      <c r="A5" s="161"/>
      <c r="B5" s="161"/>
      <c r="C5" s="62"/>
      <c r="D5" s="63"/>
      <c r="E5" s="63" t="s">
        <v>104</v>
      </c>
      <c r="F5" s="63" t="s">
        <v>11</v>
      </c>
      <c r="G5" s="64"/>
      <c r="H5" s="62"/>
      <c r="I5" s="63"/>
      <c r="J5" s="63" t="s">
        <v>104</v>
      </c>
      <c r="K5" s="65" t="s">
        <v>0</v>
      </c>
    </row>
    <row r="6" spans="1:11" ht="18" customHeight="1">
      <c r="A6" s="219" t="s">
        <v>87</v>
      </c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6.5" customHeight="1">
      <c r="A7" s="31">
        <v>1</v>
      </c>
      <c r="B7" s="66" t="s">
        <v>53</v>
      </c>
      <c r="C7" s="12">
        <v>217.6</v>
      </c>
      <c r="D7" s="12">
        <v>202.6</v>
      </c>
      <c r="E7" s="13">
        <f aca="true" t="shared" si="0" ref="E7:E16">D7/C7*100</f>
        <v>93.10661764705883</v>
      </c>
      <c r="F7" s="12">
        <v>166.9</v>
      </c>
      <c r="G7" s="13">
        <f aca="true" t="shared" si="1" ref="G7:G16">F7/D7*100</f>
        <v>82.37907206317868</v>
      </c>
      <c r="H7" s="17">
        <f>C7/'численность 1'!J6*1000</f>
        <v>1208.888888888889</v>
      </c>
      <c r="I7" s="17">
        <f>D7/'численность 1'!K6*1000</f>
        <v>1131.8435754189943</v>
      </c>
      <c r="J7" s="13">
        <f aca="true" t="shared" si="2" ref="J7:J21">I7/H7*100</f>
        <v>93.62676634899769</v>
      </c>
      <c r="K7" s="12"/>
    </row>
    <row r="8" spans="1:11" ht="16.5" customHeight="1">
      <c r="A8" s="31">
        <v>2</v>
      </c>
      <c r="B8" s="66" t="s">
        <v>54</v>
      </c>
      <c r="C8" s="12">
        <v>170.019</v>
      </c>
      <c r="D8" s="12">
        <v>172.467</v>
      </c>
      <c r="E8" s="13">
        <f t="shared" si="0"/>
        <v>101.43983907680906</v>
      </c>
      <c r="F8" s="12">
        <v>139.281</v>
      </c>
      <c r="G8" s="13">
        <f t="shared" si="1"/>
        <v>80.75805806328167</v>
      </c>
      <c r="H8" s="17">
        <f>C8/'численность 1'!J7*1000</f>
        <v>1619.2285714285715</v>
      </c>
      <c r="I8" s="13">
        <f>D8/'численность 1'!K7*1000</f>
        <v>1642.5428571428572</v>
      </c>
      <c r="J8" s="13">
        <f t="shared" si="2"/>
        <v>101.43983907680906</v>
      </c>
      <c r="K8" s="12"/>
    </row>
    <row r="9" spans="1:11" ht="16.5" customHeight="1">
      <c r="A9" s="31">
        <v>3</v>
      </c>
      <c r="B9" s="66" t="s">
        <v>55</v>
      </c>
      <c r="C9" s="12">
        <v>121</v>
      </c>
      <c r="D9" s="12">
        <v>125</v>
      </c>
      <c r="E9" s="13">
        <f t="shared" si="0"/>
        <v>103.30578512396693</v>
      </c>
      <c r="F9" s="12">
        <v>91.7</v>
      </c>
      <c r="G9" s="13">
        <f t="shared" si="1"/>
        <v>73.36</v>
      </c>
      <c r="H9" s="17">
        <f>C9/'численность 1'!J8*1000</f>
        <v>2016.6666666666665</v>
      </c>
      <c r="I9" s="13">
        <f>D9/'численность 1'!K8*1000</f>
        <v>2083.3333333333335</v>
      </c>
      <c r="J9" s="13">
        <f t="shared" si="2"/>
        <v>103.30578512396696</v>
      </c>
      <c r="K9" s="12"/>
    </row>
    <row r="10" spans="1:11" ht="16.5" customHeight="1">
      <c r="A10" s="31">
        <v>4</v>
      </c>
      <c r="B10" s="66" t="s">
        <v>56</v>
      </c>
      <c r="C10" s="12">
        <v>597.8</v>
      </c>
      <c r="D10" s="12">
        <v>608.6</v>
      </c>
      <c r="E10" s="13">
        <f t="shared" si="0"/>
        <v>101.80662428905988</v>
      </c>
      <c r="F10" s="12">
        <v>561.1</v>
      </c>
      <c r="G10" s="13">
        <f t="shared" si="1"/>
        <v>92.19520210318764</v>
      </c>
      <c r="H10" s="17">
        <f>C10/'численность 1'!J9*1000</f>
        <v>1940.9090909090908</v>
      </c>
      <c r="I10" s="13">
        <f>D10/'численность 1'!K9*1000</f>
        <v>1975.9740259740258</v>
      </c>
      <c r="J10" s="13">
        <f t="shared" si="2"/>
        <v>101.80662428905988</v>
      </c>
      <c r="K10" s="12"/>
    </row>
    <row r="11" spans="1:11" ht="16.5" customHeight="1">
      <c r="A11" s="31">
        <v>5</v>
      </c>
      <c r="B11" s="67" t="s">
        <v>57</v>
      </c>
      <c r="C11" s="12">
        <v>218</v>
      </c>
      <c r="D11" s="12">
        <v>160.58</v>
      </c>
      <c r="E11" s="13">
        <f t="shared" si="0"/>
        <v>73.6605504587156</v>
      </c>
      <c r="F11" s="12">
        <v>126.11</v>
      </c>
      <c r="G11" s="13">
        <f t="shared" si="1"/>
        <v>78.53406401793498</v>
      </c>
      <c r="H11" s="17">
        <f>C11/'численность 1'!J10*1000</f>
        <v>931.6239316239316</v>
      </c>
      <c r="I11" s="122">
        <f>D11/'численность 1'!K10*1000</f>
        <v>802.9000000000001</v>
      </c>
      <c r="J11" s="13">
        <f t="shared" si="2"/>
        <v>86.18284403669726</v>
      </c>
      <c r="K11" s="12"/>
    </row>
    <row r="12" spans="1:11" ht="16.5" customHeight="1">
      <c r="A12" s="31">
        <v>6</v>
      </c>
      <c r="B12" s="67" t="s">
        <v>68</v>
      </c>
      <c r="C12" s="16">
        <v>205.48</v>
      </c>
      <c r="D12" s="16">
        <v>138.129</v>
      </c>
      <c r="E12" s="13">
        <f t="shared" si="0"/>
        <v>67.22260073973136</v>
      </c>
      <c r="F12" s="16">
        <v>101.3</v>
      </c>
      <c r="G12" s="17">
        <f t="shared" si="1"/>
        <v>73.3372427223827</v>
      </c>
      <c r="H12" s="17">
        <f>C12/'численность 1'!J11*1000</f>
        <v>2417.411764705882</v>
      </c>
      <c r="I12" s="13">
        <f>D12/'численность 1'!K11*1000</f>
        <v>1625.0470588235294</v>
      </c>
      <c r="J12" s="13">
        <f t="shared" si="2"/>
        <v>67.22260073973136</v>
      </c>
      <c r="K12" s="123">
        <v>278.2</v>
      </c>
    </row>
    <row r="13" spans="1:11" ht="16.5" customHeight="1">
      <c r="A13" s="31">
        <v>8</v>
      </c>
      <c r="B13" s="67" t="s">
        <v>81</v>
      </c>
      <c r="C13" s="16">
        <v>176.172</v>
      </c>
      <c r="D13" s="16">
        <v>183.302</v>
      </c>
      <c r="E13" s="13">
        <f t="shared" si="0"/>
        <v>104.04718116386258</v>
      </c>
      <c r="F13" s="16">
        <v>156.088</v>
      </c>
      <c r="G13" s="17">
        <f t="shared" si="1"/>
        <v>85.15346259178843</v>
      </c>
      <c r="H13" s="17">
        <f>C13/'численность 1'!J12*1000</f>
        <v>2710.338461538461</v>
      </c>
      <c r="I13" s="17">
        <f>D13/'численность 1'!K12*1000</f>
        <v>2820.030769230769</v>
      </c>
      <c r="J13" s="13">
        <f t="shared" si="2"/>
        <v>104.04718116386258</v>
      </c>
      <c r="K13" s="16">
        <v>16.259</v>
      </c>
    </row>
    <row r="14" spans="1:11" ht="16.5" customHeight="1">
      <c r="A14" s="31">
        <v>9</v>
      </c>
      <c r="B14" s="67" t="s">
        <v>67</v>
      </c>
      <c r="C14" s="16">
        <v>257.985</v>
      </c>
      <c r="D14" s="16">
        <v>283.5</v>
      </c>
      <c r="E14" s="17">
        <f t="shared" si="0"/>
        <v>109.89010989010988</v>
      </c>
      <c r="F14" s="16">
        <v>244.9</v>
      </c>
      <c r="G14" s="17">
        <f t="shared" si="1"/>
        <v>86.38447971781305</v>
      </c>
      <c r="H14" s="17">
        <f>C14/'численность 1'!J13*1000</f>
        <v>3307.5</v>
      </c>
      <c r="I14" s="17">
        <f>D14/'численность 1'!K13*1000</f>
        <v>3634.6153846153848</v>
      </c>
      <c r="J14" s="13">
        <f t="shared" si="2"/>
        <v>109.8901098901099</v>
      </c>
      <c r="K14" s="16"/>
    </row>
    <row r="15" spans="1:11" ht="16.5" customHeight="1">
      <c r="A15" s="31">
        <v>10</v>
      </c>
      <c r="B15" s="67" t="s">
        <v>58</v>
      </c>
      <c r="C15" s="16">
        <v>186</v>
      </c>
      <c r="D15" s="16">
        <v>178.6</v>
      </c>
      <c r="E15" s="13">
        <f t="shared" si="0"/>
        <v>96.02150537634408</v>
      </c>
      <c r="F15" s="16">
        <v>139</v>
      </c>
      <c r="G15" s="17">
        <f t="shared" si="1"/>
        <v>77.82754759238522</v>
      </c>
      <c r="H15" s="17">
        <f>C15/'численность 1'!J14*1000</f>
        <v>1860</v>
      </c>
      <c r="I15" s="13">
        <f>D15/'численность 1'!K14*1000</f>
        <v>1786</v>
      </c>
      <c r="J15" s="13">
        <f t="shared" si="2"/>
        <v>96.02150537634408</v>
      </c>
      <c r="K15" s="16"/>
    </row>
    <row r="16" spans="1:11" ht="16.5" customHeight="1">
      <c r="A16" s="31">
        <v>11</v>
      </c>
      <c r="B16" s="67" t="s">
        <v>59</v>
      </c>
      <c r="C16" s="16">
        <v>82.5</v>
      </c>
      <c r="D16" s="16">
        <v>98.79</v>
      </c>
      <c r="E16" s="13">
        <f t="shared" si="0"/>
        <v>119.74545454545455</v>
      </c>
      <c r="F16" s="16">
        <v>87.3</v>
      </c>
      <c r="G16" s="17">
        <f t="shared" si="1"/>
        <v>88.36926814454904</v>
      </c>
      <c r="H16" s="17">
        <f>C16/'численность 1'!J15*1000</f>
        <v>2012.1951219512196</v>
      </c>
      <c r="I16" s="13">
        <f>D16/'численность 1'!K15*1000</f>
        <v>2119.9570815450643</v>
      </c>
      <c r="J16" s="13">
        <f t="shared" si="2"/>
        <v>105.35544284042138</v>
      </c>
      <c r="K16" s="16"/>
    </row>
    <row r="17" spans="1:11" ht="57" customHeight="1">
      <c r="A17" s="171" t="s">
        <v>93</v>
      </c>
      <c r="B17" s="172"/>
      <c r="C17" s="16">
        <f>SUM(C7:C16)</f>
        <v>2232.556</v>
      </c>
      <c r="D17" s="68">
        <f>SUM(D7:D16)</f>
        <v>2151.5679999999998</v>
      </c>
      <c r="E17" s="13">
        <f>D17/C17*100</f>
        <v>96.37240902355863</v>
      </c>
      <c r="F17" s="68">
        <f>SUM(F7:F16)</f>
        <v>1813.6789999999999</v>
      </c>
      <c r="G17" s="13">
        <f>F17/D17*100</f>
        <v>84.29568575104295</v>
      </c>
      <c r="H17" s="13">
        <f>C17/'численность 1'!J19*1000</f>
        <v>1777.5127388535032</v>
      </c>
      <c r="I17" s="13">
        <f>D17/'численность 1'!K19*1000</f>
        <v>1754.0909832056088</v>
      </c>
      <c r="J17" s="13">
        <f t="shared" si="2"/>
        <v>98.68232980074161</v>
      </c>
      <c r="K17" s="68">
        <f>SUM(K7:K16)</f>
        <v>294.459</v>
      </c>
    </row>
    <row r="18" spans="1:11" ht="19.5" customHeight="1">
      <c r="A18" s="126">
        <v>1</v>
      </c>
      <c r="B18" s="124" t="s">
        <v>98</v>
      </c>
      <c r="C18" s="126"/>
      <c r="D18" s="132">
        <v>26.985</v>
      </c>
      <c r="E18" s="13"/>
      <c r="F18" s="68">
        <v>21.309</v>
      </c>
      <c r="G18" s="13">
        <f>F18/D18*100</f>
        <v>78.96609227348527</v>
      </c>
      <c r="H18" s="13"/>
      <c r="I18" s="13">
        <f>D18/'численность 1'!K20*1000</f>
        <v>1799</v>
      </c>
      <c r="J18" s="13"/>
      <c r="K18" s="68"/>
    </row>
    <row r="19" spans="1:11" ht="21.75" customHeight="1">
      <c r="A19" s="171" t="s">
        <v>97</v>
      </c>
      <c r="B19" s="222"/>
      <c r="C19" s="16"/>
      <c r="D19" s="68">
        <f>SUM(D18:D18)</f>
        <v>26.985</v>
      </c>
      <c r="E19" s="68"/>
      <c r="F19" s="68">
        <f>SUM(F18:F18)</f>
        <v>21.309</v>
      </c>
      <c r="G19" s="13">
        <f>F19/D19*100</f>
        <v>78.96609227348527</v>
      </c>
      <c r="H19" s="13"/>
      <c r="I19" s="13">
        <f>D19/'численность 1'!K25*1000</f>
        <v>1799</v>
      </c>
      <c r="J19" s="13"/>
      <c r="K19" s="68"/>
    </row>
    <row r="20" spans="1:11" ht="18">
      <c r="A20" s="219" t="s">
        <v>88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1"/>
    </row>
    <row r="21" spans="1:11" ht="17.25" customHeight="1">
      <c r="A21" s="115">
        <v>1</v>
      </c>
      <c r="B21" s="67" t="s">
        <v>67</v>
      </c>
      <c r="C21" s="115">
        <v>39.878</v>
      </c>
      <c r="D21" s="115">
        <v>45.36</v>
      </c>
      <c r="E21" s="13">
        <f>D21/C21*100</f>
        <v>113.74692813079893</v>
      </c>
      <c r="F21" s="115">
        <v>31.67</v>
      </c>
      <c r="G21" s="13">
        <f>F21/D21*100</f>
        <v>69.81922398589066</v>
      </c>
      <c r="H21" s="115">
        <f>C21*1000/50</f>
        <v>797.56</v>
      </c>
      <c r="I21" s="143">
        <f>D21*1000/111</f>
        <v>408.64864864864865</v>
      </c>
      <c r="J21" s="13">
        <f t="shared" si="2"/>
        <v>51.2373550138734</v>
      </c>
      <c r="K21" s="115"/>
    </row>
    <row r="22" spans="1:11" ht="37.5" customHeight="1">
      <c r="A22" s="213" t="s">
        <v>85</v>
      </c>
      <c r="B22" s="214"/>
      <c r="C22" s="115">
        <f>C17+C21</f>
        <v>2272.434</v>
      </c>
      <c r="D22" s="120">
        <f>D17+D21+D19</f>
        <v>2223.913</v>
      </c>
      <c r="E22" s="13">
        <f>D22/C22*100</f>
        <v>97.86480047385314</v>
      </c>
      <c r="F22" s="115">
        <f>F17+F21</f>
        <v>1845.349</v>
      </c>
      <c r="G22" s="13">
        <f>F22/D22*100</f>
        <v>82.97757151471302</v>
      </c>
      <c r="H22" s="116" t="s">
        <v>89</v>
      </c>
      <c r="I22" s="116" t="s">
        <v>89</v>
      </c>
      <c r="J22" s="116" t="s">
        <v>89</v>
      </c>
      <c r="K22" s="115">
        <f>K17+K21</f>
        <v>294.459</v>
      </c>
    </row>
  </sheetData>
  <sheetProtection/>
  <mergeCells count="8">
    <mergeCell ref="A22:B22"/>
    <mergeCell ref="A3:A5"/>
    <mergeCell ref="B3:B5"/>
    <mergeCell ref="A17:B17"/>
    <mergeCell ref="C3:E3"/>
    <mergeCell ref="A6:K6"/>
    <mergeCell ref="A20:K20"/>
    <mergeCell ref="A19:B19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2013-08-08T04:59:21Z</cp:lastPrinted>
  <dcterms:created xsi:type="dcterms:W3CDTF">2002-11-05T10:10:22Z</dcterms:created>
  <dcterms:modified xsi:type="dcterms:W3CDTF">2013-10-18T23:43:43Z</dcterms:modified>
  <cp:category/>
  <cp:version/>
  <cp:contentType/>
  <cp:contentStatus/>
</cp:coreProperties>
</file>