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8400" windowHeight="6870" tabRatio="880" activeTab="9"/>
  </bookViews>
  <sheets>
    <sheet name="пало1" sheetId="1" r:id="rId1"/>
    <sheet name="привес" sheetId="2" r:id="rId2"/>
    <sheet name="численность 2" sheetId="3" r:id="rId3"/>
    <sheet name="численность 1" sheetId="4" r:id="rId4"/>
    <sheet name="приплод 2" sheetId="5" r:id="rId5"/>
    <sheet name="случка" sheetId="6" r:id="rId6"/>
    <sheet name="приплод 1" sheetId="7" r:id="rId7"/>
    <sheet name="на 100 га" sheetId="8" r:id="rId8"/>
    <sheet name="молоко" sheetId="9" r:id="rId9"/>
    <sheet name="мясо" sheetId="10" r:id="rId10"/>
  </sheets>
  <definedNames>
    <definedName name="_xlnm.Print_Area" localSheetId="8">'молоко'!$A$1:$K$21</definedName>
    <definedName name="_xlnm.Print_Area" localSheetId="9">'мясо'!$A$1:$K$23</definedName>
    <definedName name="_xlnm.Print_Area" localSheetId="7">'на 100 га'!$A$1:$F$17</definedName>
    <definedName name="_xlnm.Print_Area" localSheetId="0">'пало1'!$A$1:$T$23</definedName>
    <definedName name="_xlnm.Print_Area" localSheetId="1">'привес'!$A$1:$T$23</definedName>
    <definedName name="_xlnm.Print_Area" localSheetId="4">'приплод 2'!$A$1:$N$13</definedName>
    <definedName name="_xlnm.Print_Area" localSheetId="3">'численность 1'!$A$1:$U$23</definedName>
    <definedName name="_xlnm.Print_Area" localSheetId="2">'численность 2'!$A$1:$L$23</definedName>
  </definedNames>
  <calcPr fullCalcOnLoad="1"/>
</workbook>
</file>

<file path=xl/sharedStrings.xml><?xml version="1.0" encoding="utf-8"?>
<sst xmlns="http://schemas.openxmlformats.org/spreadsheetml/2006/main" count="305" uniqueCount="120">
  <si>
    <t>молока</t>
  </si>
  <si>
    <t>всего</t>
  </si>
  <si>
    <t>№</t>
  </si>
  <si>
    <t>Наименование хозяйств</t>
  </si>
  <si>
    <t xml:space="preserve">в % к </t>
  </si>
  <si>
    <t>в т.ч.</t>
  </si>
  <si>
    <t xml:space="preserve"> всего</t>
  </si>
  <si>
    <t>усл.гол.</t>
  </si>
  <si>
    <t xml:space="preserve">          в т.ч. коров</t>
  </si>
  <si>
    <t xml:space="preserve">     свиней</t>
  </si>
  <si>
    <t xml:space="preserve">         лошадей</t>
  </si>
  <si>
    <t>в т.ч.отгру-</t>
  </si>
  <si>
    <t>жено мо-</t>
  </si>
  <si>
    <t>лока,т</t>
  </si>
  <si>
    <t>товар-</t>
  </si>
  <si>
    <t>ность,%</t>
  </si>
  <si>
    <t>средний удой от 1 ф.кор.кг</t>
  </si>
  <si>
    <t>куплено у</t>
  </si>
  <si>
    <t>населения</t>
  </si>
  <si>
    <t xml:space="preserve"> производство мяса, т</t>
  </si>
  <si>
    <t>в том числе</t>
  </si>
  <si>
    <t xml:space="preserve">      свиней</t>
  </si>
  <si>
    <t xml:space="preserve">        прочее</t>
  </si>
  <si>
    <t xml:space="preserve">           крс</t>
  </si>
  <si>
    <t xml:space="preserve">   получено телят, гол.</t>
  </si>
  <si>
    <t xml:space="preserve"> в т.ч. от коров</t>
  </si>
  <si>
    <t>ца с</t>
  </si>
  <si>
    <t>разни-</t>
  </si>
  <si>
    <t>получено телят</t>
  </si>
  <si>
    <t>на 100 коров</t>
  </si>
  <si>
    <t>растел нетелей</t>
  </si>
  <si>
    <t xml:space="preserve">            на 100 коров</t>
  </si>
  <si>
    <t>в т.ч.осн.</t>
  </si>
  <si>
    <t>Разница</t>
  </si>
  <si>
    <t xml:space="preserve">      всего КРС, гол</t>
  </si>
  <si>
    <t xml:space="preserve">        в т.ч. телок</t>
  </si>
  <si>
    <t>случ. с/маток и свинок</t>
  </si>
  <si>
    <t xml:space="preserve"> в т.ч. свинок</t>
  </si>
  <si>
    <t>Пало и погибло КРС</t>
  </si>
  <si>
    <t xml:space="preserve">Разница </t>
  </si>
  <si>
    <t xml:space="preserve">    Куплено</t>
  </si>
  <si>
    <t xml:space="preserve">       Продано</t>
  </si>
  <si>
    <t xml:space="preserve">         молока, ц</t>
  </si>
  <si>
    <t xml:space="preserve">       мяса, ц</t>
  </si>
  <si>
    <t>основ.</t>
  </si>
  <si>
    <t>пров.</t>
  </si>
  <si>
    <t xml:space="preserve">                                Кормодни</t>
  </si>
  <si>
    <t xml:space="preserve">                                С/с привес ,г</t>
  </si>
  <si>
    <t xml:space="preserve">       крс</t>
  </si>
  <si>
    <t xml:space="preserve">    свиньи</t>
  </si>
  <si>
    <t xml:space="preserve">          в т.ч. разовых</t>
  </si>
  <si>
    <t>овец и коз</t>
  </si>
  <si>
    <t>Пало и погибло свин.</t>
  </si>
  <si>
    <t xml:space="preserve">               ( таблица 1)</t>
  </si>
  <si>
    <t xml:space="preserve">   ( таблица 2)</t>
  </si>
  <si>
    <t>Колхоз им.Ильича</t>
  </si>
  <si>
    <t>Колхоз "Искра"</t>
  </si>
  <si>
    <t>Колхоз "Кр.фронтовик"</t>
  </si>
  <si>
    <t>Колхоз "Кр.партизан"</t>
  </si>
  <si>
    <t>СХПК им.Калинина</t>
  </si>
  <si>
    <t>Колхоз "Трудовик"</t>
  </si>
  <si>
    <t>Колхоз им.Кирова</t>
  </si>
  <si>
    <t>Колхоз "Заря"</t>
  </si>
  <si>
    <t>ОАО "Рассвет"</t>
  </si>
  <si>
    <t>в т.ч. от основных свиноматок</t>
  </si>
  <si>
    <t xml:space="preserve">                       Валовый привес ,центнер</t>
  </si>
  <si>
    <t>осн.</t>
  </si>
  <si>
    <t>Среднегодовое поголовье коров, гол</t>
  </si>
  <si>
    <t>Наличие кормов, ц.к.ед.</t>
  </si>
  <si>
    <t>в т.ч. конц.</t>
  </si>
  <si>
    <t>п/п</t>
  </si>
  <si>
    <t>ООО "Агропромкомплект"</t>
  </si>
  <si>
    <t>ООО "А-ф "Путиловка"</t>
  </si>
  <si>
    <t>СПК "Патман"</t>
  </si>
  <si>
    <t xml:space="preserve"> в т.ч.  нетелей</t>
  </si>
  <si>
    <t>Крупного рогатого скота</t>
  </si>
  <si>
    <t xml:space="preserve">    Опоросилось свиноматок, голов</t>
  </si>
  <si>
    <t xml:space="preserve">Получено поросят на 1 свиноматку </t>
  </si>
  <si>
    <t xml:space="preserve">Получено поросят на 100 осн. свиноматок </t>
  </si>
  <si>
    <t>Получено поросят , гол.</t>
  </si>
  <si>
    <t>лошади</t>
  </si>
  <si>
    <t>овцы и козы</t>
  </si>
  <si>
    <t>КФХ Ярчеев П.И.</t>
  </si>
  <si>
    <t>КРС</t>
  </si>
  <si>
    <t>свиней</t>
  </si>
  <si>
    <t>2011 к 2010 г. %</t>
  </si>
  <si>
    <t xml:space="preserve">КРС </t>
  </si>
  <si>
    <t>ООО "А-ф "Трудовик"</t>
  </si>
  <si>
    <t>КФХ Васильев О.И.</t>
  </si>
  <si>
    <t xml:space="preserve">Итого по сельскохозяйственным организациям </t>
  </si>
  <si>
    <t>Итого по К(Ф)Х</t>
  </si>
  <si>
    <t>Итого по Ибресинскому району</t>
  </si>
  <si>
    <t xml:space="preserve"> производство  молока, т</t>
  </si>
  <si>
    <t>Коровье молоко</t>
  </si>
  <si>
    <t>Козье молоко</t>
  </si>
  <si>
    <t>*</t>
  </si>
  <si>
    <t>Итого в сельскохозяйственных организациях по Ибресинскому району</t>
  </si>
  <si>
    <t>2012 в %</t>
  </si>
  <si>
    <t>к 2011 г.</t>
  </si>
  <si>
    <t>2011 г.</t>
  </si>
  <si>
    <t>Итого в сельскохозяйственных организациях района</t>
  </si>
  <si>
    <t>Итого по сельскохозяйственным оргаизациям по району</t>
  </si>
  <si>
    <t>в % к 2011 г.</t>
  </si>
  <si>
    <t>Итого по сельскохозяйственным организациям района</t>
  </si>
  <si>
    <t>2012 к 2011 г. %</t>
  </si>
  <si>
    <t>с 2011 г.</t>
  </si>
  <si>
    <t xml:space="preserve">                      </t>
  </si>
  <si>
    <t>с 20110 г.</t>
  </si>
  <si>
    <t xml:space="preserve">    Производство мяса и молока на 100 га с/х угодий</t>
  </si>
  <si>
    <t>разница с 2011 г.</t>
  </si>
  <si>
    <t xml:space="preserve">   Производство мяса за январь-февраль 2012 года по Ибресинскому району </t>
  </si>
  <si>
    <t>Производство молока за  январь-февраль 2012 года по Ибресинскому району</t>
  </si>
  <si>
    <t xml:space="preserve">по Ибресинскому району за январь- февраль 2012 год </t>
  </si>
  <si>
    <t>Поступление приплода (телят) за январь-февраль 2012 года по Ибресинскому  району</t>
  </si>
  <si>
    <t>Случено и осеменено за январь-февраль 2012 года по Ибресинскому району</t>
  </si>
  <si>
    <t>Поступление приплода (поросят) за январь-февраль 2012 года по Ибресинкому  району</t>
  </si>
  <si>
    <t xml:space="preserve"> Численность скота по Ибресинскому району на 1.03.2012 г., (голов)</t>
  </si>
  <si>
    <r>
      <t xml:space="preserve">      Численность скота по </t>
    </r>
    <r>
      <rPr>
        <b/>
        <u val="single"/>
        <sz val="12"/>
        <rFont val="Arial Cyr"/>
        <family val="2"/>
      </rPr>
      <t>Ибресинскому</t>
    </r>
    <r>
      <rPr>
        <b/>
        <sz val="12"/>
        <rFont val="Arial Cyr"/>
        <family val="2"/>
      </rPr>
      <t xml:space="preserve"> району на 1.03.2012 г., (голов)</t>
    </r>
  </si>
  <si>
    <t>Показатели получения привесов за январь-февраль 2012 года по Ибресинскому району</t>
  </si>
  <si>
    <t>Пало, погибло, куплено и продано  сельскохозяйственных животных за январь-февраль 2012 год по Ибресинскому.р-ну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</si>
</sst>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00"/>
    <numFmt numFmtId="170" formatCode="0.0000"/>
    <numFmt numFmtId="171" formatCode="0.000"/>
    <numFmt numFmtId="172" formatCode="0.0"/>
    <numFmt numFmtId="173" formatCode="0.0000000"/>
    <numFmt numFmtId="174" formatCode="0.00000000"/>
  </numFmts>
  <fonts count="50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i/>
      <sz val="12"/>
      <name val="Arial Cyr"/>
      <family val="2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sz val="16"/>
      <name val="Arial Cyr"/>
      <family val="2"/>
    </font>
    <font>
      <b/>
      <sz val="16"/>
      <name val="Arial Cyr"/>
      <family val="2"/>
    </font>
    <font>
      <i/>
      <sz val="16"/>
      <name val="Arial Cyr"/>
      <family val="2"/>
    </font>
    <font>
      <b/>
      <u val="single"/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13"/>
      <name val="Arial Cyr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44" fontId="0" fillId="0" borderId="0" xfId="43" applyFont="1" applyAlignment="1">
      <alignment horizontal="center"/>
    </xf>
    <xf numFmtId="0" fontId="4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2" xfId="0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23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4" xfId="0" applyFont="1" applyFill="1" applyBorder="1" applyAlignment="1">
      <alignment/>
    </xf>
    <xf numFmtId="0" fontId="2" fillId="0" borderId="19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12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172" fontId="4" fillId="0" borderId="10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14" fontId="12" fillId="0" borderId="0" xfId="0" applyNumberFormat="1" applyFont="1" applyAlignment="1">
      <alignment/>
    </xf>
    <xf numFmtId="1" fontId="2" fillId="0" borderId="10" xfId="0" applyNumberFormat="1" applyFont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2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2" fillId="0" borderId="11" xfId="0" applyFont="1" applyFill="1" applyBorder="1" applyAlignment="1">
      <alignment/>
    </xf>
    <xf numFmtId="1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172" fontId="14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172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0" xfId="0" applyNumberFormat="1" applyFont="1" applyFill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1" fontId="2" fillId="0" borderId="14" xfId="0" applyNumberFormat="1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0" fontId="7" fillId="0" borderId="22" xfId="0" applyFont="1" applyBorder="1" applyAlignment="1">
      <alignment/>
    </xf>
    <xf numFmtId="0" fontId="1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view="pageBreakPreview" zoomScale="75" zoomScaleSheetLayoutView="7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Q38" sqref="Q38"/>
    </sheetView>
  </sheetViews>
  <sheetFormatPr defaultColWidth="9.00390625" defaultRowHeight="12.75"/>
  <cols>
    <col min="1" max="1" width="4.00390625" style="70" customWidth="1"/>
    <col min="2" max="2" width="28.625" style="70" customWidth="1"/>
    <col min="3" max="4" width="8.75390625" style="70" customWidth="1"/>
    <col min="5" max="5" width="8.875" style="70" customWidth="1"/>
    <col min="6" max="7" width="8.75390625" style="70" customWidth="1"/>
    <col min="8" max="8" width="8.875" style="70" customWidth="1"/>
    <col min="9" max="14" width="8.75390625" style="70" customWidth="1"/>
    <col min="15" max="15" width="8.875" style="70" customWidth="1"/>
    <col min="16" max="18" width="8.75390625" style="70" customWidth="1"/>
    <col min="19" max="19" width="8.875" style="70" customWidth="1"/>
    <col min="20" max="20" width="8.75390625" style="70" customWidth="1"/>
    <col min="21" max="16384" width="9.125" style="70" customWidth="1"/>
  </cols>
  <sheetData>
    <row r="1" spans="3:18" ht="15.75">
      <c r="C1" s="127" t="s">
        <v>119</v>
      </c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</row>
    <row r="2" spans="3:10" ht="15">
      <c r="C2" s="71"/>
      <c r="D2" s="71"/>
      <c r="E2" s="71"/>
      <c r="F2" s="71"/>
      <c r="G2" s="71"/>
      <c r="H2" s="71"/>
      <c r="I2" s="71"/>
      <c r="J2" s="71"/>
    </row>
    <row r="3" spans="1:20" s="20" customFormat="1" ht="18.75" customHeight="1">
      <c r="A3" s="34" t="s">
        <v>2</v>
      </c>
      <c r="B3" s="23" t="s">
        <v>3</v>
      </c>
      <c r="C3" s="128" t="s">
        <v>38</v>
      </c>
      <c r="D3" s="129"/>
      <c r="E3" s="130"/>
      <c r="F3" s="128" t="s">
        <v>52</v>
      </c>
      <c r="G3" s="129"/>
      <c r="H3" s="130"/>
      <c r="I3" s="98"/>
      <c r="J3" s="103" t="s">
        <v>40</v>
      </c>
      <c r="K3" s="103"/>
      <c r="L3" s="103"/>
      <c r="M3" s="105"/>
      <c r="N3" s="105"/>
      <c r="O3" s="105"/>
      <c r="P3" s="105"/>
      <c r="Q3" s="98"/>
      <c r="R3" s="103" t="s">
        <v>41</v>
      </c>
      <c r="S3" s="103"/>
      <c r="T3" s="102"/>
    </row>
    <row r="4" spans="1:20" s="20" customFormat="1" ht="18.75" customHeight="1">
      <c r="A4" s="39"/>
      <c r="B4" s="33"/>
      <c r="C4" s="131">
        <v>2011</v>
      </c>
      <c r="D4" s="131">
        <v>2012</v>
      </c>
      <c r="E4" s="107" t="s">
        <v>39</v>
      </c>
      <c r="F4" s="131">
        <v>2011</v>
      </c>
      <c r="G4" s="131">
        <v>2012</v>
      </c>
      <c r="H4" s="107" t="s">
        <v>39</v>
      </c>
      <c r="I4" s="133" t="s">
        <v>86</v>
      </c>
      <c r="J4" s="134"/>
      <c r="K4" s="133" t="s">
        <v>84</v>
      </c>
      <c r="L4" s="134"/>
      <c r="M4" s="133" t="s">
        <v>80</v>
      </c>
      <c r="N4" s="134"/>
      <c r="O4" s="133" t="s">
        <v>81</v>
      </c>
      <c r="P4" s="134"/>
      <c r="Q4" s="133" t="s">
        <v>83</v>
      </c>
      <c r="R4" s="134"/>
      <c r="S4" s="133" t="s">
        <v>84</v>
      </c>
      <c r="T4" s="134"/>
    </row>
    <row r="5" spans="1:20" s="20" customFormat="1" ht="18.75" customHeight="1">
      <c r="A5" s="30"/>
      <c r="B5" s="29"/>
      <c r="C5" s="132"/>
      <c r="D5" s="132"/>
      <c r="E5" s="108" t="s">
        <v>105</v>
      </c>
      <c r="F5" s="132"/>
      <c r="G5" s="132"/>
      <c r="H5" s="108" t="s">
        <v>105</v>
      </c>
      <c r="I5" s="109">
        <v>2011</v>
      </c>
      <c r="J5" s="110">
        <v>2012</v>
      </c>
      <c r="K5" s="109">
        <v>2011</v>
      </c>
      <c r="L5" s="110">
        <v>2012</v>
      </c>
      <c r="M5" s="109">
        <v>2011</v>
      </c>
      <c r="N5" s="110">
        <v>2012</v>
      </c>
      <c r="O5" s="109">
        <v>2011</v>
      </c>
      <c r="P5" s="110">
        <v>2012</v>
      </c>
      <c r="Q5" s="109">
        <v>2011</v>
      </c>
      <c r="R5" s="110">
        <v>2012</v>
      </c>
      <c r="S5" s="109">
        <v>2011</v>
      </c>
      <c r="T5" s="110">
        <v>2012</v>
      </c>
    </row>
    <row r="6" spans="1:20" s="20" customFormat="1" ht="15" customHeight="1">
      <c r="A6" s="31">
        <v>1</v>
      </c>
      <c r="B6" s="31" t="s">
        <v>55</v>
      </c>
      <c r="C6" s="3"/>
      <c r="D6" s="3"/>
      <c r="E6" s="11">
        <f aca="true" t="shared" si="0" ref="E6:E22">D6-C6</f>
        <v>0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s="20" customFormat="1" ht="13.5" customHeight="1">
      <c r="A7" s="31">
        <v>2</v>
      </c>
      <c r="B7" s="31" t="s">
        <v>56</v>
      </c>
      <c r="C7" s="3">
        <v>1</v>
      </c>
      <c r="D7" s="3"/>
      <c r="E7" s="11">
        <f t="shared" si="0"/>
        <v>-1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>
        <v>4</v>
      </c>
      <c r="R7" s="3"/>
      <c r="S7" s="3"/>
      <c r="T7" s="3"/>
    </row>
    <row r="8" spans="1:20" s="20" customFormat="1" ht="13.5" customHeight="1">
      <c r="A8" s="31">
        <v>3</v>
      </c>
      <c r="B8" s="31" t="s">
        <v>57</v>
      </c>
      <c r="C8" s="3"/>
      <c r="D8" s="3"/>
      <c r="E8" s="11">
        <f t="shared" si="0"/>
        <v>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>
        <v>7</v>
      </c>
      <c r="R8" s="3">
        <v>8</v>
      </c>
      <c r="S8" s="3"/>
      <c r="T8" s="3"/>
    </row>
    <row r="9" spans="1:20" s="20" customFormat="1" ht="12.75" customHeight="1">
      <c r="A9" s="31">
        <v>4</v>
      </c>
      <c r="B9" s="22" t="s">
        <v>58</v>
      </c>
      <c r="C9" s="3">
        <v>2</v>
      </c>
      <c r="D9" s="3">
        <v>4</v>
      </c>
      <c r="E9" s="11">
        <f t="shared" si="0"/>
        <v>2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>
        <v>2</v>
      </c>
      <c r="T9" s="3">
        <v>17</v>
      </c>
    </row>
    <row r="10" spans="1:20" s="20" customFormat="1" ht="13.5" customHeight="1">
      <c r="A10" s="31">
        <v>5</v>
      </c>
      <c r="B10" s="93" t="s">
        <v>59</v>
      </c>
      <c r="C10" s="3"/>
      <c r="D10" s="3"/>
      <c r="E10" s="11">
        <f t="shared" si="0"/>
        <v>0</v>
      </c>
      <c r="F10" s="3">
        <v>14</v>
      </c>
      <c r="G10" s="3">
        <v>6</v>
      </c>
      <c r="H10" s="3">
        <f>G10-F10</f>
        <v>-8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>
        <v>10</v>
      </c>
      <c r="T10" s="3"/>
    </row>
    <row r="11" spans="1:20" s="20" customFormat="1" ht="12.75" customHeight="1">
      <c r="A11" s="31">
        <v>6</v>
      </c>
      <c r="B11" s="32" t="s">
        <v>73</v>
      </c>
      <c r="C11" s="3"/>
      <c r="D11" s="3"/>
      <c r="E11" s="11">
        <f t="shared" si="0"/>
        <v>0</v>
      </c>
      <c r="F11" s="3"/>
      <c r="G11" s="3"/>
      <c r="H11" s="3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</row>
    <row r="12" spans="1:20" s="20" customFormat="1" ht="12.75" customHeight="1">
      <c r="A12" s="31">
        <v>7</v>
      </c>
      <c r="B12" s="31" t="s">
        <v>60</v>
      </c>
      <c r="C12" s="3"/>
      <c r="D12" s="3"/>
      <c r="E12" s="11">
        <f t="shared" si="0"/>
        <v>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s="20" customFormat="1" ht="12.75" customHeight="1">
      <c r="A13" s="31">
        <v>8</v>
      </c>
      <c r="B13" s="32" t="s">
        <v>87</v>
      </c>
      <c r="C13" s="3"/>
      <c r="D13" s="3"/>
      <c r="E13" s="11">
        <f t="shared" si="0"/>
        <v>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s="20" customFormat="1" ht="13.5" customHeight="1">
      <c r="A14" s="31">
        <v>9</v>
      </c>
      <c r="B14" s="32" t="s">
        <v>72</v>
      </c>
      <c r="C14" s="3"/>
      <c r="D14" s="3"/>
      <c r="E14" s="11">
        <f t="shared" si="0"/>
        <v>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s="20" customFormat="1" ht="12.75" customHeight="1">
      <c r="A15" s="31">
        <v>10</v>
      </c>
      <c r="B15" s="31" t="s">
        <v>61</v>
      </c>
      <c r="C15" s="3"/>
      <c r="D15" s="3"/>
      <c r="E15" s="11">
        <f t="shared" si="0"/>
        <v>0</v>
      </c>
      <c r="F15" s="3"/>
      <c r="G15" s="3"/>
      <c r="H15" s="3"/>
      <c r="I15" s="3"/>
      <c r="J15" s="3">
        <v>1</v>
      </c>
      <c r="K15" s="3"/>
      <c r="L15" s="3"/>
      <c r="M15" s="3"/>
      <c r="N15" s="3"/>
      <c r="O15" s="3"/>
      <c r="P15" s="3"/>
      <c r="Q15" s="3"/>
      <c r="R15" s="3">
        <v>1</v>
      </c>
      <c r="S15" s="3"/>
      <c r="T15" s="3"/>
    </row>
    <row r="16" spans="1:20" s="20" customFormat="1" ht="12.75" customHeight="1">
      <c r="A16" s="31">
        <v>11</v>
      </c>
      <c r="B16" s="31" t="s">
        <v>62</v>
      </c>
      <c r="C16" s="3"/>
      <c r="D16" s="3"/>
      <c r="E16" s="11">
        <f t="shared" si="0"/>
        <v>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s="20" customFormat="1" ht="12.75" customHeight="1">
      <c r="A17" s="31">
        <v>12</v>
      </c>
      <c r="B17" s="31" t="s">
        <v>63</v>
      </c>
      <c r="C17" s="3"/>
      <c r="D17" s="3"/>
      <c r="E17" s="11"/>
      <c r="F17" s="3">
        <v>143</v>
      </c>
      <c r="G17" s="3">
        <v>99</v>
      </c>
      <c r="H17" s="3">
        <f aca="true" t="shared" si="1" ref="H17:H23">G17-F17</f>
        <v>-44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>
        <v>3</v>
      </c>
      <c r="T17" s="3">
        <v>129</v>
      </c>
    </row>
    <row r="18" spans="1:20" s="20" customFormat="1" ht="12.75" customHeight="1">
      <c r="A18" s="31">
        <v>13</v>
      </c>
      <c r="B18" s="32" t="s">
        <v>71</v>
      </c>
      <c r="C18" s="3"/>
      <c r="D18" s="3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s="20" customFormat="1" ht="44.25" customHeight="1">
      <c r="A19" s="137" t="s">
        <v>103</v>
      </c>
      <c r="B19" s="138"/>
      <c r="C19" s="3">
        <f>SUM(C6:C18)</f>
        <v>3</v>
      </c>
      <c r="D19" s="3">
        <f>SUM(D6:D18)</f>
        <v>4</v>
      </c>
      <c r="E19" s="11">
        <f t="shared" si="0"/>
        <v>1</v>
      </c>
      <c r="F19" s="3">
        <f>SUM(F10:F18)</f>
        <v>157</v>
      </c>
      <c r="G19" s="3">
        <f>SUM(G10:G18)</f>
        <v>105</v>
      </c>
      <c r="H19" s="3">
        <f t="shared" si="1"/>
        <v>-52</v>
      </c>
      <c r="I19" s="3">
        <f>SUM(I6:I18)</f>
        <v>0</v>
      </c>
      <c r="J19" s="3">
        <f aca="true" t="shared" si="2" ref="J19:T19">SUM(J6:J18)</f>
        <v>1</v>
      </c>
      <c r="K19" s="3">
        <f t="shared" si="2"/>
        <v>0</v>
      </c>
      <c r="L19" s="3">
        <f t="shared" si="2"/>
        <v>0</v>
      </c>
      <c r="M19" s="3">
        <f t="shared" si="2"/>
        <v>0</v>
      </c>
      <c r="N19" s="3">
        <f t="shared" si="2"/>
        <v>0</v>
      </c>
      <c r="O19" s="3">
        <f t="shared" si="2"/>
        <v>0</v>
      </c>
      <c r="P19" s="3">
        <f t="shared" si="2"/>
        <v>0</v>
      </c>
      <c r="Q19" s="3">
        <f t="shared" si="2"/>
        <v>11</v>
      </c>
      <c r="R19" s="3">
        <f t="shared" si="2"/>
        <v>9</v>
      </c>
      <c r="S19" s="3">
        <f t="shared" si="2"/>
        <v>15</v>
      </c>
      <c r="T19" s="3">
        <f t="shared" si="2"/>
        <v>146</v>
      </c>
    </row>
    <row r="20" spans="1:20" s="20" customFormat="1" ht="12.75" customHeight="1">
      <c r="A20" s="31">
        <v>1</v>
      </c>
      <c r="B20" s="32" t="s">
        <v>82</v>
      </c>
      <c r="C20" s="3"/>
      <c r="D20" s="3"/>
      <c r="E20" s="11">
        <f t="shared" si="0"/>
        <v>0</v>
      </c>
      <c r="F20" s="3"/>
      <c r="G20" s="3"/>
      <c r="H20" s="3">
        <f t="shared" si="1"/>
        <v>0</v>
      </c>
      <c r="I20" s="3"/>
      <c r="J20" s="3"/>
      <c r="K20" s="3"/>
      <c r="L20" s="3"/>
      <c r="M20" s="88"/>
      <c r="N20" s="3"/>
      <c r="O20" s="3"/>
      <c r="P20" s="3"/>
      <c r="Q20" s="3"/>
      <c r="R20" s="3"/>
      <c r="S20" s="112"/>
      <c r="T20" s="22"/>
    </row>
    <row r="21" spans="1:20" s="20" customFormat="1" ht="12.75" customHeight="1">
      <c r="A21" s="31">
        <v>2</v>
      </c>
      <c r="B21" s="32" t="s">
        <v>88</v>
      </c>
      <c r="C21" s="3"/>
      <c r="D21" s="3"/>
      <c r="E21" s="11">
        <f t="shared" si="0"/>
        <v>0</v>
      </c>
      <c r="F21" s="3"/>
      <c r="G21" s="3"/>
      <c r="H21" s="3">
        <f t="shared" si="1"/>
        <v>0</v>
      </c>
      <c r="I21" s="3"/>
      <c r="J21" s="3"/>
      <c r="K21" s="3"/>
      <c r="L21" s="3"/>
      <c r="M21" s="88"/>
      <c r="N21" s="3"/>
      <c r="O21" s="3"/>
      <c r="P21" s="3"/>
      <c r="Q21" s="3"/>
      <c r="R21" s="3"/>
      <c r="S21" s="112"/>
      <c r="T21" s="22"/>
    </row>
    <row r="22" spans="1:20" s="20" customFormat="1" ht="30" customHeight="1">
      <c r="A22" s="139" t="s">
        <v>90</v>
      </c>
      <c r="B22" s="140"/>
      <c r="C22" s="3">
        <f>SUM(C20:C21)</f>
        <v>0</v>
      </c>
      <c r="D22" s="3">
        <f>SUM(D20:D21)</f>
        <v>0</v>
      </c>
      <c r="E22" s="11">
        <f t="shared" si="0"/>
        <v>0</v>
      </c>
      <c r="F22" s="3">
        <f aca="true" t="shared" si="3" ref="F22:T22">SUM(F20:F21)</f>
        <v>0</v>
      </c>
      <c r="G22" s="3">
        <f t="shared" si="3"/>
        <v>0</v>
      </c>
      <c r="H22" s="3">
        <f t="shared" si="1"/>
        <v>0</v>
      </c>
      <c r="I22" s="3">
        <f t="shared" si="3"/>
        <v>0</v>
      </c>
      <c r="J22" s="3">
        <f t="shared" si="3"/>
        <v>0</v>
      </c>
      <c r="K22" s="3">
        <f t="shared" si="3"/>
        <v>0</v>
      </c>
      <c r="L22" s="3">
        <f t="shared" si="3"/>
        <v>0</v>
      </c>
      <c r="M22" s="3">
        <f t="shared" si="3"/>
        <v>0</v>
      </c>
      <c r="N22" s="3">
        <f t="shared" si="3"/>
        <v>0</v>
      </c>
      <c r="O22" s="3">
        <f t="shared" si="3"/>
        <v>0</v>
      </c>
      <c r="P22" s="3">
        <f t="shared" si="3"/>
        <v>0</v>
      </c>
      <c r="Q22" s="3">
        <f t="shared" si="3"/>
        <v>0</v>
      </c>
      <c r="R22" s="3">
        <f t="shared" si="3"/>
        <v>0</v>
      </c>
      <c r="S22" s="3">
        <f t="shared" si="3"/>
        <v>0</v>
      </c>
      <c r="T22" s="3">
        <f t="shared" si="3"/>
        <v>0</v>
      </c>
    </row>
    <row r="23" spans="1:20" s="20" customFormat="1" ht="37.5" customHeight="1">
      <c r="A23" s="135" t="s">
        <v>91</v>
      </c>
      <c r="B23" s="136"/>
      <c r="C23" s="3">
        <f>C22+C19</f>
        <v>3</v>
      </c>
      <c r="D23" s="3">
        <f>D22+D19</f>
        <v>4</v>
      </c>
      <c r="E23" s="11">
        <f>D23-C23</f>
        <v>1</v>
      </c>
      <c r="F23" s="3">
        <f>F22+F19</f>
        <v>157</v>
      </c>
      <c r="G23" s="3">
        <f>G22+G19</f>
        <v>105</v>
      </c>
      <c r="H23" s="3">
        <f t="shared" si="1"/>
        <v>-52</v>
      </c>
      <c r="I23" s="3">
        <f aca="true" t="shared" si="4" ref="I23:T23">I22+I19</f>
        <v>0</v>
      </c>
      <c r="J23" s="3">
        <f t="shared" si="4"/>
        <v>1</v>
      </c>
      <c r="K23" s="3">
        <f t="shared" si="4"/>
        <v>0</v>
      </c>
      <c r="L23" s="3">
        <f t="shared" si="4"/>
        <v>0</v>
      </c>
      <c r="M23" s="3">
        <f t="shared" si="4"/>
        <v>0</v>
      </c>
      <c r="N23" s="3">
        <f t="shared" si="4"/>
        <v>0</v>
      </c>
      <c r="O23" s="3">
        <f t="shared" si="4"/>
        <v>0</v>
      </c>
      <c r="P23" s="3">
        <f t="shared" si="4"/>
        <v>0</v>
      </c>
      <c r="Q23" s="3">
        <f t="shared" si="4"/>
        <v>11</v>
      </c>
      <c r="R23" s="3">
        <f t="shared" si="4"/>
        <v>9</v>
      </c>
      <c r="S23" s="3">
        <f t="shared" si="4"/>
        <v>15</v>
      </c>
      <c r="T23" s="3">
        <f t="shared" si="4"/>
        <v>146</v>
      </c>
    </row>
    <row r="24" ht="14.25">
      <c r="B24" s="73"/>
    </row>
  </sheetData>
  <sheetProtection/>
  <mergeCells count="16">
    <mergeCell ref="Q4:R4"/>
    <mergeCell ref="S4:T4"/>
    <mergeCell ref="I4:J4"/>
    <mergeCell ref="K4:L4"/>
    <mergeCell ref="A23:B23"/>
    <mergeCell ref="A19:B19"/>
    <mergeCell ref="A22:B22"/>
    <mergeCell ref="C1:R1"/>
    <mergeCell ref="F3:H3"/>
    <mergeCell ref="C3:E3"/>
    <mergeCell ref="C4:C5"/>
    <mergeCell ref="D4:D5"/>
    <mergeCell ref="F4:F5"/>
    <mergeCell ref="G4:G5"/>
    <mergeCell ref="M4:N4"/>
    <mergeCell ref="O4:P4"/>
  </mergeCells>
  <printOptions/>
  <pageMargins left="0.75" right="0.75" top="1" bottom="1" header="0.5" footer="0.5"/>
  <pageSetup horizontalDpi="600" verticalDpi="600" orientation="landscape" paperSize="9" scale="69" r:id="rId1"/>
  <colBreaks count="1" manualBreakCount="1">
    <brk id="2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23"/>
  <sheetViews>
    <sheetView tabSelected="1" view="pageBreakPreview" zoomScale="75" zoomScaleNormal="65" zoomScaleSheetLayoutView="75" zoomScalePageLayoutView="0" workbookViewId="0" topLeftCell="A1">
      <selection activeCell="K15" sqref="K15"/>
    </sheetView>
  </sheetViews>
  <sheetFormatPr defaultColWidth="9.00390625" defaultRowHeight="12.75"/>
  <cols>
    <col min="1" max="1" width="3.875" style="0" customWidth="1"/>
    <col min="2" max="2" width="31.25390625" style="0" customWidth="1"/>
    <col min="3" max="3" width="10.375" style="0" customWidth="1"/>
    <col min="4" max="4" width="9.75390625" style="0" customWidth="1"/>
    <col min="5" max="5" width="11.625" style="0" customWidth="1"/>
    <col min="6" max="6" width="10.00390625" style="0" customWidth="1"/>
    <col min="7" max="7" width="10.625" style="0" customWidth="1"/>
    <col min="8" max="8" width="10.875" style="0" customWidth="1"/>
    <col min="9" max="9" width="10.375" style="0" customWidth="1"/>
    <col min="10" max="10" width="9.875" style="0" customWidth="1"/>
    <col min="11" max="11" width="10.875" style="0" customWidth="1"/>
  </cols>
  <sheetData>
    <row r="1" spans="1:13" ht="15.75">
      <c r="A1" s="20"/>
      <c r="B1" s="20"/>
      <c r="C1" s="95" t="s">
        <v>110</v>
      </c>
      <c r="D1" s="95"/>
      <c r="E1" s="95"/>
      <c r="F1" s="95"/>
      <c r="G1" s="20"/>
      <c r="H1" s="20"/>
      <c r="I1" s="20"/>
      <c r="J1" s="20"/>
      <c r="K1" s="20"/>
      <c r="L1" s="20"/>
      <c r="M1" s="20"/>
    </row>
    <row r="2" spans="1:13" ht="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5">
      <c r="A3" s="203" t="s">
        <v>2</v>
      </c>
      <c r="B3" s="203" t="s">
        <v>3</v>
      </c>
      <c r="C3" s="24" t="s">
        <v>19</v>
      </c>
      <c r="D3" s="25"/>
      <c r="E3" s="27"/>
      <c r="F3" s="24"/>
      <c r="G3" s="25"/>
      <c r="H3" s="25" t="s">
        <v>20</v>
      </c>
      <c r="I3" s="25"/>
      <c r="J3" s="25"/>
      <c r="K3" s="27"/>
      <c r="L3" s="20"/>
      <c r="M3" s="20"/>
    </row>
    <row r="4" spans="1:13" ht="15">
      <c r="A4" s="204"/>
      <c r="B4" s="204"/>
      <c r="C4" s="18">
        <v>2011</v>
      </c>
      <c r="D4" s="19">
        <v>2012</v>
      </c>
      <c r="E4" s="19" t="s">
        <v>97</v>
      </c>
      <c r="F4" s="24" t="s">
        <v>23</v>
      </c>
      <c r="G4" s="27"/>
      <c r="H4" s="24" t="s">
        <v>21</v>
      </c>
      <c r="I4" s="27"/>
      <c r="J4" s="24" t="s">
        <v>22</v>
      </c>
      <c r="K4" s="27"/>
      <c r="L4" s="20"/>
      <c r="M4" s="20"/>
    </row>
    <row r="5" spans="1:13" ht="15">
      <c r="A5" s="205"/>
      <c r="B5" s="205"/>
      <c r="C5" s="40"/>
      <c r="D5" s="11"/>
      <c r="E5" s="11" t="s">
        <v>98</v>
      </c>
      <c r="F5" s="18">
        <v>2011</v>
      </c>
      <c r="G5" s="19">
        <v>2012</v>
      </c>
      <c r="H5" s="18">
        <v>2011</v>
      </c>
      <c r="I5" s="19">
        <v>2012</v>
      </c>
      <c r="J5" s="18">
        <v>2011</v>
      </c>
      <c r="K5" s="19">
        <v>2012</v>
      </c>
      <c r="L5" s="20"/>
      <c r="M5" s="20"/>
    </row>
    <row r="6" spans="1:13" ht="16.5">
      <c r="A6" s="31">
        <v>1</v>
      </c>
      <c r="B6" s="31" t="s">
        <v>55</v>
      </c>
      <c r="C6" s="83">
        <v>9.9</v>
      </c>
      <c r="D6" s="83">
        <v>5.2</v>
      </c>
      <c r="E6" s="82">
        <f aca="true" t="shared" si="0" ref="E6:E23">D6*100/C6</f>
        <v>52.525252525252526</v>
      </c>
      <c r="F6" s="83">
        <v>9.9</v>
      </c>
      <c r="G6" s="83">
        <v>5.2</v>
      </c>
      <c r="H6" s="83"/>
      <c r="I6" s="83"/>
      <c r="J6" s="83"/>
      <c r="K6" s="83"/>
      <c r="L6" s="20"/>
      <c r="M6" s="20"/>
    </row>
    <row r="7" spans="1:13" ht="16.5">
      <c r="A7" s="31">
        <v>2</v>
      </c>
      <c r="B7" s="31" t="s">
        <v>56</v>
      </c>
      <c r="C7" s="83">
        <v>2.8</v>
      </c>
      <c r="D7" s="83">
        <v>0.25</v>
      </c>
      <c r="E7" s="82">
        <f t="shared" si="0"/>
        <v>8.928571428571429</v>
      </c>
      <c r="F7" s="83">
        <v>2.8</v>
      </c>
      <c r="G7" s="83">
        <v>0.25</v>
      </c>
      <c r="H7" s="83"/>
      <c r="I7" s="83"/>
      <c r="J7" s="83"/>
      <c r="K7" s="83"/>
      <c r="L7" s="20"/>
      <c r="M7" s="20"/>
    </row>
    <row r="8" spans="1:13" ht="16.5">
      <c r="A8" s="31">
        <v>3</v>
      </c>
      <c r="B8" s="31" t="s">
        <v>57</v>
      </c>
      <c r="C8" s="83">
        <v>2.2</v>
      </c>
      <c r="D8" s="83">
        <v>1.9</v>
      </c>
      <c r="E8" s="82">
        <f t="shared" si="0"/>
        <v>86.36363636363636</v>
      </c>
      <c r="F8" s="83">
        <v>2.2</v>
      </c>
      <c r="G8" s="83">
        <v>1.9</v>
      </c>
      <c r="H8" s="83"/>
      <c r="I8" s="83"/>
      <c r="J8" s="83"/>
      <c r="K8" s="83"/>
      <c r="L8" s="20"/>
      <c r="M8" s="20"/>
    </row>
    <row r="9" spans="1:13" ht="16.5">
      <c r="A9" s="31">
        <v>4</v>
      </c>
      <c r="B9" s="41" t="s">
        <v>58</v>
      </c>
      <c r="C9" s="83">
        <v>28.2</v>
      </c>
      <c r="D9" s="83">
        <v>10.1</v>
      </c>
      <c r="E9" s="82">
        <f t="shared" si="0"/>
        <v>35.815602836879435</v>
      </c>
      <c r="F9" s="83">
        <v>27.5</v>
      </c>
      <c r="G9" s="83">
        <v>9.8</v>
      </c>
      <c r="H9" s="83">
        <v>0.3</v>
      </c>
      <c r="I9" s="83">
        <v>0.3</v>
      </c>
      <c r="J9" s="83">
        <v>0.4</v>
      </c>
      <c r="K9" s="83"/>
      <c r="L9" s="20"/>
      <c r="M9" s="20"/>
    </row>
    <row r="10" spans="1:13" ht="16.5">
      <c r="A10" s="31">
        <v>5</v>
      </c>
      <c r="B10" s="31" t="s">
        <v>59</v>
      </c>
      <c r="C10" s="83">
        <v>9.3</v>
      </c>
      <c r="D10" s="83">
        <v>18.5</v>
      </c>
      <c r="E10" s="82">
        <f t="shared" si="0"/>
        <v>198.92473118279568</v>
      </c>
      <c r="F10" s="83">
        <v>3.7</v>
      </c>
      <c r="G10" s="83">
        <v>15</v>
      </c>
      <c r="H10" s="83">
        <v>3.2</v>
      </c>
      <c r="I10" s="83">
        <v>3.2</v>
      </c>
      <c r="J10" s="83">
        <v>2.4</v>
      </c>
      <c r="K10" s="83">
        <v>0.3</v>
      </c>
      <c r="L10" s="20"/>
      <c r="M10" s="20"/>
    </row>
    <row r="11" spans="1:13" ht="16.5">
      <c r="A11" s="31">
        <v>6</v>
      </c>
      <c r="B11" s="32" t="s">
        <v>73</v>
      </c>
      <c r="C11" s="83">
        <v>2</v>
      </c>
      <c r="D11" s="120">
        <v>2.1</v>
      </c>
      <c r="E11" s="82">
        <f t="shared" si="0"/>
        <v>105</v>
      </c>
      <c r="F11" s="84">
        <v>1.7</v>
      </c>
      <c r="G11" s="84">
        <v>2.1</v>
      </c>
      <c r="H11" s="84"/>
      <c r="I11" s="84"/>
      <c r="J11" s="84">
        <v>0.3</v>
      </c>
      <c r="K11" s="84"/>
      <c r="L11" s="20"/>
      <c r="M11" s="20"/>
    </row>
    <row r="12" spans="1:13" ht="16.5">
      <c r="A12" s="31">
        <v>7</v>
      </c>
      <c r="B12" s="32" t="s">
        <v>60</v>
      </c>
      <c r="C12" s="83"/>
      <c r="D12" s="83"/>
      <c r="E12" s="82"/>
      <c r="F12" s="84"/>
      <c r="G12" s="84"/>
      <c r="H12" s="84"/>
      <c r="I12" s="84"/>
      <c r="J12" s="84"/>
      <c r="K12" s="84"/>
      <c r="L12" s="20"/>
      <c r="M12" s="20"/>
    </row>
    <row r="13" spans="1:13" ht="16.5">
      <c r="A13" s="31">
        <v>8</v>
      </c>
      <c r="B13" s="32" t="s">
        <v>87</v>
      </c>
      <c r="C13" s="83"/>
      <c r="D13" s="83">
        <v>7.783</v>
      </c>
      <c r="E13" s="82"/>
      <c r="F13" s="84"/>
      <c r="G13" s="84">
        <v>7.783</v>
      </c>
      <c r="H13" s="84"/>
      <c r="I13" s="84"/>
      <c r="J13" s="84"/>
      <c r="K13" s="84"/>
      <c r="L13" s="20"/>
      <c r="M13" s="20"/>
    </row>
    <row r="14" spans="1:13" ht="16.5">
      <c r="A14" s="31">
        <v>9</v>
      </c>
      <c r="B14" s="32" t="s">
        <v>72</v>
      </c>
      <c r="C14" s="83">
        <v>3.1</v>
      </c>
      <c r="D14" s="83">
        <v>1.89</v>
      </c>
      <c r="E14" s="82">
        <f t="shared" si="0"/>
        <v>60.96774193548387</v>
      </c>
      <c r="F14" s="84">
        <v>3.1</v>
      </c>
      <c r="G14" s="84">
        <v>1.49</v>
      </c>
      <c r="H14" s="84"/>
      <c r="I14" s="84"/>
      <c r="J14" s="84"/>
      <c r="K14" s="84">
        <v>0.4</v>
      </c>
      <c r="L14" s="20"/>
      <c r="M14" s="20"/>
    </row>
    <row r="15" spans="1:13" ht="16.5">
      <c r="A15" s="31">
        <v>10</v>
      </c>
      <c r="B15" s="32" t="s">
        <v>61</v>
      </c>
      <c r="C15" s="83">
        <v>0.7</v>
      </c>
      <c r="D15" s="83">
        <v>8.6</v>
      </c>
      <c r="E15" s="82">
        <f t="shared" si="0"/>
        <v>1228.5714285714287</v>
      </c>
      <c r="F15" s="84">
        <v>0.7</v>
      </c>
      <c r="G15" s="84">
        <v>8.6</v>
      </c>
      <c r="H15" s="84"/>
      <c r="I15" s="84"/>
      <c r="J15" s="84"/>
      <c r="K15" s="84"/>
      <c r="L15" s="20"/>
      <c r="M15" s="20"/>
    </row>
    <row r="16" spans="1:13" ht="16.5">
      <c r="A16" s="31">
        <v>11</v>
      </c>
      <c r="B16" s="32" t="s">
        <v>62</v>
      </c>
      <c r="C16" s="83">
        <v>2.3</v>
      </c>
      <c r="D16" s="83">
        <v>1.6</v>
      </c>
      <c r="E16" s="82">
        <f t="shared" si="0"/>
        <v>69.56521739130436</v>
      </c>
      <c r="F16" s="84">
        <v>2.3</v>
      </c>
      <c r="G16" s="84">
        <v>1.6</v>
      </c>
      <c r="H16" s="84"/>
      <c r="I16" s="84"/>
      <c r="J16" s="84"/>
      <c r="K16" s="84"/>
      <c r="L16" s="20"/>
      <c r="M16" s="20"/>
    </row>
    <row r="17" spans="1:13" ht="16.5">
      <c r="A17" s="31">
        <v>12</v>
      </c>
      <c r="B17" s="32" t="s">
        <v>63</v>
      </c>
      <c r="C17" s="83">
        <v>124</v>
      </c>
      <c r="D17" s="83">
        <v>150</v>
      </c>
      <c r="E17" s="82">
        <f t="shared" si="0"/>
        <v>120.96774193548387</v>
      </c>
      <c r="F17" s="84"/>
      <c r="G17" s="84"/>
      <c r="H17" s="84">
        <v>124</v>
      </c>
      <c r="I17" s="84">
        <v>150</v>
      </c>
      <c r="J17" s="84"/>
      <c r="K17" s="84"/>
      <c r="L17" s="20"/>
      <c r="M17" s="20"/>
    </row>
    <row r="18" spans="1:13" ht="16.5">
      <c r="A18" s="31">
        <v>13</v>
      </c>
      <c r="B18" s="32" t="s">
        <v>71</v>
      </c>
      <c r="C18" s="83">
        <v>0.5</v>
      </c>
      <c r="D18" s="83"/>
      <c r="E18" s="82">
        <f t="shared" si="0"/>
        <v>0</v>
      </c>
      <c r="F18" s="84"/>
      <c r="G18" s="84"/>
      <c r="H18" s="84"/>
      <c r="I18" s="84"/>
      <c r="J18" s="84">
        <v>0.5</v>
      </c>
      <c r="K18" s="84"/>
      <c r="L18" s="20"/>
      <c r="M18" s="20"/>
    </row>
    <row r="19" spans="1:13" ht="46.5" customHeight="1">
      <c r="A19" s="206" t="s">
        <v>89</v>
      </c>
      <c r="B19" s="207"/>
      <c r="C19" s="83">
        <f>SUM(C6:C18)</f>
        <v>185</v>
      </c>
      <c r="D19" s="83">
        <f>SUM(D6:D18)</f>
        <v>207.923</v>
      </c>
      <c r="E19" s="82">
        <f t="shared" si="0"/>
        <v>112.3908108108108</v>
      </c>
      <c r="F19" s="84">
        <f aca="true" t="shared" si="1" ref="F19:K19">SUM(F6:F18)</f>
        <v>53.900000000000006</v>
      </c>
      <c r="G19" s="84">
        <f t="shared" si="1"/>
        <v>53.723000000000006</v>
      </c>
      <c r="H19" s="84">
        <f t="shared" si="1"/>
        <v>127.5</v>
      </c>
      <c r="I19" s="84">
        <f t="shared" si="1"/>
        <v>153.5</v>
      </c>
      <c r="J19" s="84">
        <f t="shared" si="1"/>
        <v>3.5999999999999996</v>
      </c>
      <c r="K19" s="84">
        <f t="shared" si="1"/>
        <v>0.7</v>
      </c>
      <c r="L19" s="20"/>
      <c r="M19" s="20"/>
    </row>
    <row r="20" spans="1:13" ht="16.5">
      <c r="A20" s="31">
        <v>1</v>
      </c>
      <c r="B20" s="32" t="s">
        <v>82</v>
      </c>
      <c r="C20" s="83"/>
      <c r="D20" s="83"/>
      <c r="E20" s="82"/>
      <c r="F20" s="84"/>
      <c r="G20" s="84"/>
      <c r="H20" s="84"/>
      <c r="I20" s="84"/>
      <c r="J20" s="84"/>
      <c r="K20" s="84"/>
      <c r="L20" s="20"/>
      <c r="M20" s="20"/>
    </row>
    <row r="21" spans="1:13" ht="18">
      <c r="A21" s="31">
        <v>2</v>
      </c>
      <c r="B21" s="32" t="s">
        <v>88</v>
      </c>
      <c r="C21" s="83"/>
      <c r="D21" s="83"/>
      <c r="E21" s="82"/>
      <c r="F21" s="16"/>
      <c r="G21" s="84"/>
      <c r="H21" s="16"/>
      <c r="I21" s="84"/>
      <c r="J21" s="84"/>
      <c r="K21" s="84"/>
      <c r="L21" s="20"/>
      <c r="M21" s="20"/>
    </row>
    <row r="22" spans="1:13" ht="18">
      <c r="A22" s="208" t="s">
        <v>90</v>
      </c>
      <c r="B22" s="209"/>
      <c r="C22" s="83">
        <f>SUM(C20:C21)</f>
        <v>0</v>
      </c>
      <c r="D22" s="83">
        <f>SUM(D20:D21)</f>
        <v>0</v>
      </c>
      <c r="E22" s="82"/>
      <c r="F22" s="16">
        <f aca="true" t="shared" si="2" ref="F22:K22">SUM(F20:F21)</f>
        <v>0</v>
      </c>
      <c r="G22" s="84">
        <f t="shared" si="2"/>
        <v>0</v>
      </c>
      <c r="H22" s="16">
        <f t="shared" si="2"/>
        <v>0</v>
      </c>
      <c r="I22" s="84">
        <f t="shared" si="2"/>
        <v>0</v>
      </c>
      <c r="J22" s="84">
        <f t="shared" si="2"/>
        <v>0</v>
      </c>
      <c r="K22" s="84">
        <f t="shared" si="2"/>
        <v>0</v>
      </c>
      <c r="L22" s="20"/>
      <c r="M22" s="20"/>
    </row>
    <row r="23" spans="1:13" ht="16.5">
      <c r="A23" s="201" t="s">
        <v>91</v>
      </c>
      <c r="B23" s="202"/>
      <c r="C23" s="85">
        <f>C19+C22</f>
        <v>185</v>
      </c>
      <c r="D23" s="85">
        <f>D19+D22</f>
        <v>207.923</v>
      </c>
      <c r="E23" s="82">
        <f t="shared" si="0"/>
        <v>112.3908108108108</v>
      </c>
      <c r="F23" s="85">
        <f aca="true" t="shared" si="3" ref="F23:K23">F19+F22</f>
        <v>53.900000000000006</v>
      </c>
      <c r="G23" s="85">
        <f t="shared" si="3"/>
        <v>53.723000000000006</v>
      </c>
      <c r="H23" s="85">
        <f t="shared" si="3"/>
        <v>127.5</v>
      </c>
      <c r="I23" s="85">
        <f t="shared" si="3"/>
        <v>153.5</v>
      </c>
      <c r="J23" s="85">
        <f t="shared" si="3"/>
        <v>3.5999999999999996</v>
      </c>
      <c r="K23" s="85">
        <f t="shared" si="3"/>
        <v>0.7</v>
      </c>
      <c r="L23" s="20"/>
      <c r="M23" s="20"/>
    </row>
  </sheetData>
  <sheetProtection/>
  <mergeCells count="5">
    <mergeCell ref="A23:B23"/>
    <mergeCell ref="A3:A5"/>
    <mergeCell ref="B3:B5"/>
    <mergeCell ref="A19:B19"/>
    <mergeCell ref="A22:B22"/>
  </mergeCells>
  <printOptions/>
  <pageMargins left="0.75" right="0.75" top="1" bottom="1" header="0.5" footer="0.5"/>
  <pageSetup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3"/>
  <sheetViews>
    <sheetView view="pageBreakPreview" zoomScale="75" zoomScaleNormal="75" zoomScaleSheetLayoutView="75" zoomScalePageLayoutView="0" workbookViewId="0" topLeftCell="A1">
      <pane xSplit="2" topLeftCell="C1" activePane="topRight" state="frozen"/>
      <selection pane="topLeft" activeCell="A1" sqref="A1"/>
      <selection pane="topRight" activeCell="R11" sqref="R11"/>
    </sheetView>
  </sheetViews>
  <sheetFormatPr defaultColWidth="9.00390625" defaultRowHeight="12.75"/>
  <cols>
    <col min="1" max="1" width="4.00390625" style="0" customWidth="1"/>
    <col min="2" max="2" width="25.125" style="0" customWidth="1"/>
    <col min="3" max="4" width="7.125" style="0" customWidth="1"/>
    <col min="5" max="5" width="8.25390625" style="0" customWidth="1"/>
    <col min="6" max="7" width="7.125" style="0" customWidth="1"/>
    <col min="8" max="8" width="8.75390625" style="0" customWidth="1"/>
    <col min="9" max="10" width="10.25390625" style="0" customWidth="1"/>
    <col min="11" max="11" width="8.25390625" style="0" customWidth="1"/>
    <col min="12" max="12" width="11.125" style="0" customWidth="1"/>
    <col min="13" max="13" width="10.625" style="0" customWidth="1"/>
    <col min="14" max="14" width="8.625" style="0" customWidth="1"/>
    <col min="15" max="15" width="7.00390625" style="0" customWidth="1"/>
    <col min="16" max="16" width="7.125" style="0" customWidth="1"/>
    <col min="17" max="17" width="8.625" style="0" customWidth="1"/>
    <col min="18" max="18" width="6.375" style="0" customWidth="1"/>
    <col min="19" max="19" width="6.25390625" style="0" customWidth="1"/>
    <col min="20" max="20" width="8.75390625" style="0" customWidth="1"/>
  </cols>
  <sheetData>
    <row r="1" spans="2:20" ht="15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2:20" ht="15.75">
      <c r="B2" s="20"/>
      <c r="C2" s="20"/>
      <c r="D2" s="20"/>
      <c r="E2" s="20"/>
      <c r="F2" s="20"/>
      <c r="G2" s="1" t="s">
        <v>118</v>
      </c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2:20" ht="15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20" ht="15">
      <c r="A4" s="78"/>
      <c r="B4" s="23" t="s">
        <v>3</v>
      </c>
      <c r="C4" s="26" t="s">
        <v>65</v>
      </c>
      <c r="D4" s="105"/>
      <c r="E4" s="105"/>
      <c r="F4" s="103"/>
      <c r="G4" s="103"/>
      <c r="H4" s="106"/>
      <c r="I4" s="98" t="s">
        <v>46</v>
      </c>
      <c r="J4" s="103"/>
      <c r="K4" s="105"/>
      <c r="L4" s="103"/>
      <c r="M4" s="103"/>
      <c r="N4" s="106"/>
      <c r="O4" s="98" t="s">
        <v>47</v>
      </c>
      <c r="P4" s="103"/>
      <c r="Q4" s="105"/>
      <c r="R4" s="103"/>
      <c r="S4" s="103"/>
      <c r="T4" s="106"/>
    </row>
    <row r="5" spans="1:20" ht="15" customHeight="1">
      <c r="A5" s="79" t="s">
        <v>2</v>
      </c>
      <c r="B5" s="33"/>
      <c r="C5" s="25" t="s">
        <v>48</v>
      </c>
      <c r="D5" s="103"/>
      <c r="E5" s="143" t="s">
        <v>104</v>
      </c>
      <c r="F5" s="98" t="s">
        <v>49</v>
      </c>
      <c r="G5" s="102"/>
      <c r="H5" s="143" t="s">
        <v>104</v>
      </c>
      <c r="I5" s="146" t="s">
        <v>48</v>
      </c>
      <c r="J5" s="146"/>
      <c r="K5" s="143" t="s">
        <v>104</v>
      </c>
      <c r="L5" s="146" t="s">
        <v>49</v>
      </c>
      <c r="M5" s="146"/>
      <c r="N5" s="143" t="s">
        <v>104</v>
      </c>
      <c r="O5" s="103" t="s">
        <v>48</v>
      </c>
      <c r="P5" s="103"/>
      <c r="Q5" s="143" t="s">
        <v>85</v>
      </c>
      <c r="R5" s="147" t="s">
        <v>49</v>
      </c>
      <c r="S5" s="148"/>
      <c r="T5" s="143" t="s">
        <v>104</v>
      </c>
    </row>
    <row r="6" spans="1:20" ht="15">
      <c r="A6" s="79" t="s">
        <v>70</v>
      </c>
      <c r="B6" s="33"/>
      <c r="C6" s="141">
        <v>2011</v>
      </c>
      <c r="D6" s="141">
        <v>2012</v>
      </c>
      <c r="E6" s="144"/>
      <c r="F6" s="141">
        <v>2011</v>
      </c>
      <c r="G6" s="141">
        <v>2012</v>
      </c>
      <c r="H6" s="144"/>
      <c r="I6" s="141">
        <v>2011</v>
      </c>
      <c r="J6" s="141">
        <v>2012</v>
      </c>
      <c r="K6" s="144"/>
      <c r="L6" s="141">
        <v>2011</v>
      </c>
      <c r="M6" s="141">
        <v>2012</v>
      </c>
      <c r="N6" s="144"/>
      <c r="O6" s="141">
        <v>2011</v>
      </c>
      <c r="P6" s="141">
        <v>2012</v>
      </c>
      <c r="Q6" s="144"/>
      <c r="R6" s="141">
        <v>2011</v>
      </c>
      <c r="S6" s="141">
        <v>2012</v>
      </c>
      <c r="T6" s="144"/>
    </row>
    <row r="7" spans="1:20" ht="15">
      <c r="A7" s="80"/>
      <c r="B7" s="29"/>
      <c r="C7" s="142"/>
      <c r="D7" s="142"/>
      <c r="E7" s="145"/>
      <c r="F7" s="142"/>
      <c r="G7" s="142"/>
      <c r="H7" s="145"/>
      <c r="I7" s="142"/>
      <c r="J7" s="142"/>
      <c r="K7" s="145"/>
      <c r="L7" s="142"/>
      <c r="M7" s="142"/>
      <c r="N7" s="145"/>
      <c r="O7" s="142"/>
      <c r="P7" s="142"/>
      <c r="Q7" s="145"/>
      <c r="R7" s="142"/>
      <c r="S7" s="142"/>
      <c r="T7" s="145"/>
    </row>
    <row r="8" spans="1:20" ht="15">
      <c r="A8" s="2">
        <v>1</v>
      </c>
      <c r="B8" s="22" t="s">
        <v>55</v>
      </c>
      <c r="C8" s="3">
        <v>51</v>
      </c>
      <c r="D8" s="3">
        <v>45</v>
      </c>
      <c r="E8" s="36">
        <f aca="true" t="shared" si="0" ref="E8:E18">D8/C8*100</f>
        <v>88.23529411764706</v>
      </c>
      <c r="F8" s="3"/>
      <c r="G8" s="3"/>
      <c r="H8" s="36"/>
      <c r="I8" s="3">
        <v>11351</v>
      </c>
      <c r="J8" s="3">
        <v>12498</v>
      </c>
      <c r="K8" s="36">
        <f>J8*100/I8</f>
        <v>110.10483657827504</v>
      </c>
      <c r="L8" s="3"/>
      <c r="M8" s="3"/>
      <c r="N8" s="36"/>
      <c r="O8" s="36">
        <f aca="true" t="shared" si="1" ref="O8:O18">C8/I8*100000</f>
        <v>449.2996211787508</v>
      </c>
      <c r="P8" s="36">
        <f aca="true" t="shared" si="2" ref="P8:P17">D8/J8*100000</f>
        <v>360.0576092174748</v>
      </c>
      <c r="Q8" s="36">
        <f aca="true" t="shared" si="3" ref="Q8:Q18">P8/O8*100</f>
        <v>80.13752788681484</v>
      </c>
      <c r="R8" s="36"/>
      <c r="S8" s="36"/>
      <c r="T8" s="36"/>
    </row>
    <row r="9" spans="1:20" ht="15">
      <c r="A9" s="2">
        <v>2</v>
      </c>
      <c r="B9" s="22" t="s">
        <v>56</v>
      </c>
      <c r="C9" s="3">
        <v>19.59</v>
      </c>
      <c r="D9" s="3">
        <v>28.45</v>
      </c>
      <c r="E9" s="36">
        <f t="shared" si="0"/>
        <v>145.22715671260846</v>
      </c>
      <c r="F9" s="3"/>
      <c r="G9" s="3"/>
      <c r="H9" s="36"/>
      <c r="I9" s="3">
        <v>5584</v>
      </c>
      <c r="J9" s="3">
        <v>6533</v>
      </c>
      <c r="K9" s="36">
        <f aca="true" t="shared" si="4" ref="K9:K20">J9*100/I9</f>
        <v>116.99498567335243</v>
      </c>
      <c r="L9" s="3"/>
      <c r="M9" s="3"/>
      <c r="N9" s="36"/>
      <c r="O9" s="36">
        <f t="shared" si="1"/>
        <v>350.82378223495704</v>
      </c>
      <c r="P9" s="36">
        <f t="shared" si="2"/>
        <v>435.48140211235267</v>
      </c>
      <c r="Q9" s="36">
        <f t="shared" si="3"/>
        <v>124.13109491553737</v>
      </c>
      <c r="R9" s="36"/>
      <c r="S9" s="36"/>
      <c r="T9" s="36"/>
    </row>
    <row r="10" spans="1:20" ht="15">
      <c r="A10" s="2">
        <v>3</v>
      </c>
      <c r="B10" s="37" t="s">
        <v>57</v>
      </c>
      <c r="C10" s="19">
        <v>23</v>
      </c>
      <c r="D10" s="19">
        <v>16</v>
      </c>
      <c r="E10" s="36">
        <f t="shared" si="0"/>
        <v>69.56521739130434</v>
      </c>
      <c r="F10" s="19"/>
      <c r="G10" s="19"/>
      <c r="H10" s="36"/>
      <c r="I10" s="3">
        <v>2668</v>
      </c>
      <c r="J10" s="3">
        <v>2435</v>
      </c>
      <c r="K10" s="36">
        <f t="shared" si="4"/>
        <v>91.26686656671664</v>
      </c>
      <c r="L10" s="19"/>
      <c r="M10" s="19"/>
      <c r="N10" s="87"/>
      <c r="O10" s="36">
        <f t="shared" si="1"/>
        <v>862.0689655172414</v>
      </c>
      <c r="P10" s="36">
        <f t="shared" si="2"/>
        <v>657.0841889117042</v>
      </c>
      <c r="Q10" s="36">
        <f t="shared" si="3"/>
        <v>76.2217659137577</v>
      </c>
      <c r="R10" s="87"/>
      <c r="S10" s="87"/>
      <c r="T10" s="87"/>
    </row>
    <row r="11" spans="1:20" ht="15">
      <c r="A11" s="2">
        <v>4</v>
      </c>
      <c r="B11" s="22" t="s">
        <v>58</v>
      </c>
      <c r="C11" s="3">
        <v>40</v>
      </c>
      <c r="D11" s="3">
        <v>103</v>
      </c>
      <c r="E11" s="36">
        <f t="shared" si="0"/>
        <v>257.5</v>
      </c>
      <c r="F11" s="3">
        <v>42</v>
      </c>
      <c r="G11" s="3">
        <v>42</v>
      </c>
      <c r="H11" s="36">
        <f>G11/F11*100</f>
        <v>100</v>
      </c>
      <c r="I11" s="3">
        <v>25703</v>
      </c>
      <c r="J11" s="3">
        <v>24536</v>
      </c>
      <c r="K11" s="36">
        <f t="shared" si="4"/>
        <v>95.4596739680193</v>
      </c>
      <c r="L11" s="3">
        <v>10738</v>
      </c>
      <c r="M11" s="3">
        <v>10773</v>
      </c>
      <c r="N11" s="36">
        <f>M11/L11*100</f>
        <v>100.32594524119949</v>
      </c>
      <c r="O11" s="36">
        <f t="shared" si="1"/>
        <v>155.62385713729913</v>
      </c>
      <c r="P11" s="36">
        <f t="shared" si="2"/>
        <v>419.7913270296707</v>
      </c>
      <c r="Q11" s="36">
        <f t="shared" si="3"/>
        <v>269.7474119660907</v>
      </c>
      <c r="R11" s="36">
        <f>F11/L11*100000</f>
        <v>391.13428943937424</v>
      </c>
      <c r="S11" s="36">
        <f>G11/M11*100000</f>
        <v>389.8635477582846</v>
      </c>
      <c r="T11" s="36">
        <f>S11/R11*100</f>
        <v>99.67511371020142</v>
      </c>
    </row>
    <row r="12" spans="1:20" ht="15">
      <c r="A12" s="2">
        <v>5</v>
      </c>
      <c r="B12" s="22" t="s">
        <v>59</v>
      </c>
      <c r="C12" s="88">
        <v>30</v>
      </c>
      <c r="D12" s="88">
        <v>41</v>
      </c>
      <c r="E12" s="89">
        <f t="shared" si="0"/>
        <v>136.66666666666666</v>
      </c>
      <c r="F12" s="88">
        <v>35</v>
      </c>
      <c r="G12" s="88">
        <v>2</v>
      </c>
      <c r="H12" s="36">
        <f>G12/F12*100</f>
        <v>5.714285714285714</v>
      </c>
      <c r="I12" s="3">
        <v>6000</v>
      </c>
      <c r="J12" s="3">
        <v>10114</v>
      </c>
      <c r="K12" s="36">
        <f t="shared" si="4"/>
        <v>168.56666666666666</v>
      </c>
      <c r="L12" s="3">
        <v>10537</v>
      </c>
      <c r="M12" s="3">
        <v>4800</v>
      </c>
      <c r="N12" s="36">
        <f>M12/L12*100</f>
        <v>45.55376293062541</v>
      </c>
      <c r="O12" s="36">
        <f t="shared" si="1"/>
        <v>500</v>
      </c>
      <c r="P12" s="36">
        <f t="shared" si="2"/>
        <v>405.37868301364443</v>
      </c>
      <c r="Q12" s="36">
        <f t="shared" si="3"/>
        <v>81.07573660272888</v>
      </c>
      <c r="R12" s="36">
        <f>F12/L12*100000</f>
        <v>332.162854702477</v>
      </c>
      <c r="S12" s="36">
        <f>G12/M12*100000</f>
        <v>41.66666666666667</v>
      </c>
      <c r="T12" s="36">
        <f>S12/R12*100</f>
        <v>12.544047619047621</v>
      </c>
    </row>
    <row r="13" spans="1:20" ht="15">
      <c r="A13" s="2">
        <v>6</v>
      </c>
      <c r="B13" s="38" t="s">
        <v>73</v>
      </c>
      <c r="C13" s="88">
        <v>17.81</v>
      </c>
      <c r="D13" s="88">
        <v>40.68</v>
      </c>
      <c r="E13" s="89">
        <f t="shared" si="0"/>
        <v>228.41100505334083</v>
      </c>
      <c r="F13" s="88"/>
      <c r="G13" s="88"/>
      <c r="H13" s="89"/>
      <c r="I13" s="88">
        <v>7563</v>
      </c>
      <c r="J13" s="88">
        <v>6784</v>
      </c>
      <c r="K13" s="36">
        <f t="shared" si="4"/>
        <v>89.69985455507074</v>
      </c>
      <c r="L13" s="88"/>
      <c r="M13" s="88"/>
      <c r="N13" s="89"/>
      <c r="O13" s="36">
        <f t="shared" si="1"/>
        <v>235.48856273965356</v>
      </c>
      <c r="P13" s="36">
        <f t="shared" si="2"/>
        <v>599.6462264150944</v>
      </c>
      <c r="Q13" s="36">
        <f t="shared" si="3"/>
        <v>254.63921450743175</v>
      </c>
      <c r="R13" s="36"/>
      <c r="S13" s="36"/>
      <c r="T13" s="89"/>
    </row>
    <row r="14" spans="1:20" ht="15">
      <c r="A14" s="2">
        <v>7</v>
      </c>
      <c r="B14" s="38" t="s">
        <v>60</v>
      </c>
      <c r="C14" s="88">
        <v>13</v>
      </c>
      <c r="D14" s="88"/>
      <c r="E14" s="89">
        <f t="shared" si="0"/>
        <v>0</v>
      </c>
      <c r="F14" s="88"/>
      <c r="G14" s="88"/>
      <c r="H14" s="89"/>
      <c r="I14" s="88">
        <v>5683</v>
      </c>
      <c r="J14" s="88"/>
      <c r="K14" s="36">
        <f t="shared" si="4"/>
        <v>0</v>
      </c>
      <c r="L14" s="88"/>
      <c r="M14" s="88"/>
      <c r="N14" s="89"/>
      <c r="O14" s="36">
        <f t="shared" si="1"/>
        <v>228.75241949674466</v>
      </c>
      <c r="P14" s="36"/>
      <c r="Q14" s="89"/>
      <c r="R14" s="36"/>
      <c r="S14" s="3"/>
      <c r="T14" s="89"/>
    </row>
    <row r="15" spans="1:20" ht="15">
      <c r="A15" s="2">
        <v>8</v>
      </c>
      <c r="B15" s="32" t="s">
        <v>87</v>
      </c>
      <c r="C15" s="88"/>
      <c r="D15" s="88">
        <v>34</v>
      </c>
      <c r="E15" s="89"/>
      <c r="F15" s="88"/>
      <c r="G15" s="88"/>
      <c r="H15" s="89"/>
      <c r="I15" s="88"/>
      <c r="J15" s="88">
        <v>8640</v>
      </c>
      <c r="K15" s="36"/>
      <c r="L15" s="88"/>
      <c r="M15" s="88"/>
      <c r="N15" s="89"/>
      <c r="O15" s="36"/>
      <c r="P15" s="36">
        <f t="shared" si="2"/>
        <v>393.5185185185185</v>
      </c>
      <c r="Q15" s="89"/>
      <c r="R15" s="36"/>
      <c r="S15" s="3"/>
      <c r="T15" s="89"/>
    </row>
    <row r="16" spans="1:20" s="69" customFormat="1" ht="15">
      <c r="A16" s="2">
        <v>9</v>
      </c>
      <c r="B16" s="32" t="s">
        <v>72</v>
      </c>
      <c r="C16" s="88">
        <v>24.18</v>
      </c>
      <c r="D16" s="90">
        <v>41.81</v>
      </c>
      <c r="E16" s="91">
        <f t="shared" si="0"/>
        <v>172.9114971050455</v>
      </c>
      <c r="F16" s="90"/>
      <c r="G16" s="90"/>
      <c r="H16" s="91"/>
      <c r="I16" s="90">
        <v>5062</v>
      </c>
      <c r="J16" s="90">
        <v>11972</v>
      </c>
      <c r="K16" s="36">
        <f t="shared" si="4"/>
        <v>236.5073093638878</v>
      </c>
      <c r="L16" s="90"/>
      <c r="M16" s="90"/>
      <c r="N16" s="91"/>
      <c r="O16" s="36">
        <f t="shared" si="1"/>
        <v>477.6768075859344</v>
      </c>
      <c r="P16" s="36">
        <f t="shared" si="2"/>
        <v>349.2315402606081</v>
      </c>
      <c r="Q16" s="91">
        <f t="shared" si="3"/>
        <v>73.11042418524393</v>
      </c>
      <c r="R16" s="36"/>
      <c r="S16" s="36"/>
      <c r="T16" s="36"/>
    </row>
    <row r="17" spans="1:20" ht="15">
      <c r="A17" s="2">
        <v>10</v>
      </c>
      <c r="B17" s="38" t="s">
        <v>61</v>
      </c>
      <c r="C17" s="90">
        <v>15</v>
      </c>
      <c r="D17" s="88">
        <v>46</v>
      </c>
      <c r="E17" s="89">
        <f t="shared" si="0"/>
        <v>306.6666666666667</v>
      </c>
      <c r="F17" s="88"/>
      <c r="G17" s="88"/>
      <c r="H17" s="89"/>
      <c r="I17" s="88">
        <v>3504</v>
      </c>
      <c r="J17" s="88">
        <v>7996</v>
      </c>
      <c r="K17" s="36">
        <f t="shared" si="4"/>
        <v>228.19634703196348</v>
      </c>
      <c r="L17" s="88"/>
      <c r="M17" s="88"/>
      <c r="N17" s="89"/>
      <c r="O17" s="36">
        <f t="shared" si="1"/>
        <v>428.0821917808219</v>
      </c>
      <c r="P17" s="36">
        <f t="shared" si="2"/>
        <v>575.287643821911</v>
      </c>
      <c r="Q17" s="89">
        <f t="shared" si="3"/>
        <v>134.38719359679843</v>
      </c>
      <c r="R17" s="36"/>
      <c r="S17" s="36"/>
      <c r="T17" s="89"/>
    </row>
    <row r="18" spans="1:20" ht="15">
      <c r="A18" s="2">
        <v>11</v>
      </c>
      <c r="B18" s="38" t="s">
        <v>62</v>
      </c>
      <c r="C18" s="88">
        <v>9.75</v>
      </c>
      <c r="D18" s="88">
        <v>5.7</v>
      </c>
      <c r="E18" s="89">
        <f t="shared" si="0"/>
        <v>58.46153846153847</v>
      </c>
      <c r="F18" s="88"/>
      <c r="G18" s="88"/>
      <c r="H18" s="89"/>
      <c r="I18" s="88">
        <v>3020</v>
      </c>
      <c r="J18" s="88">
        <v>830</v>
      </c>
      <c r="K18" s="36">
        <f t="shared" si="4"/>
        <v>27.483443708609272</v>
      </c>
      <c r="L18" s="88"/>
      <c r="M18" s="88"/>
      <c r="N18" s="89"/>
      <c r="O18" s="36">
        <f t="shared" si="1"/>
        <v>322.8476821192053</v>
      </c>
      <c r="P18" s="36">
        <f>D18/J18*100000</f>
        <v>686.7469879518072</v>
      </c>
      <c r="Q18" s="89">
        <f t="shared" si="3"/>
        <v>212.71547729379057</v>
      </c>
      <c r="R18" s="36"/>
      <c r="S18" s="36"/>
      <c r="T18" s="89"/>
    </row>
    <row r="19" spans="1:20" ht="15">
      <c r="A19" s="2">
        <v>12</v>
      </c>
      <c r="B19" s="81" t="s">
        <v>63</v>
      </c>
      <c r="C19" s="88"/>
      <c r="D19" s="88"/>
      <c r="E19" s="89"/>
      <c r="F19" s="88">
        <v>1432</v>
      </c>
      <c r="G19" s="88">
        <v>1659</v>
      </c>
      <c r="H19" s="89">
        <f>G19/F19*100</f>
        <v>115.85195530726257</v>
      </c>
      <c r="I19" s="3"/>
      <c r="J19" s="88"/>
      <c r="K19" s="36"/>
      <c r="L19" s="88">
        <v>374054</v>
      </c>
      <c r="M19" s="88">
        <v>400142</v>
      </c>
      <c r="N19" s="89">
        <f>M19/L19*100</f>
        <v>106.97439407144422</v>
      </c>
      <c r="O19" s="36"/>
      <c r="P19" s="36"/>
      <c r="Q19" s="89"/>
      <c r="R19" s="36">
        <f aca="true" t="shared" si="5" ref="R19:S21">F19/L19*100000</f>
        <v>382.8324252648013</v>
      </c>
      <c r="S19" s="36">
        <f t="shared" si="5"/>
        <v>414.6028160003199</v>
      </c>
      <c r="T19" s="89">
        <f>S19/R19*100</f>
        <v>108.29877216213943</v>
      </c>
    </row>
    <row r="20" spans="1:20" ht="43.5" customHeight="1">
      <c r="A20" s="137" t="s">
        <v>103</v>
      </c>
      <c r="B20" s="138"/>
      <c r="C20" s="92">
        <f>SUM(C8:C19)</f>
        <v>243.33</v>
      </c>
      <c r="D20" s="3">
        <f>SUM(D8:D19)</f>
        <v>401.64</v>
      </c>
      <c r="E20" s="36">
        <f>D20/C20*100</f>
        <v>165.05979533966217</v>
      </c>
      <c r="F20" s="36">
        <f>SUM(F11:F19)</f>
        <v>1509</v>
      </c>
      <c r="G20" s="3">
        <f>SUM(G11:G19)</f>
        <v>1703</v>
      </c>
      <c r="H20" s="36">
        <f>G20/F20*100</f>
        <v>112.85619615639497</v>
      </c>
      <c r="I20" s="3">
        <f>SUM(I8:I19)</f>
        <v>76138</v>
      </c>
      <c r="J20" s="3">
        <f>SUM(J8:J19)</f>
        <v>92338</v>
      </c>
      <c r="K20" s="36">
        <f t="shared" si="4"/>
        <v>121.27715464025847</v>
      </c>
      <c r="L20" s="3">
        <f>SUM(L11:L19)</f>
        <v>395329</v>
      </c>
      <c r="M20" s="3">
        <f>SUM(M11:M19)</f>
        <v>415715</v>
      </c>
      <c r="N20" s="36">
        <f>M20/L20*100</f>
        <v>105.15671756941687</v>
      </c>
      <c r="O20" s="36">
        <f aca="true" t="shared" si="6" ref="O20:P23">C20/I20*100000</f>
        <v>319.5907431243269</v>
      </c>
      <c r="P20" s="36">
        <f t="shared" si="6"/>
        <v>434.9671857740042</v>
      </c>
      <c r="Q20" s="36">
        <f>P20/O20*100</f>
        <v>136.10130929380318</v>
      </c>
      <c r="R20" s="36">
        <f t="shared" si="5"/>
        <v>381.7073880236461</v>
      </c>
      <c r="S20" s="36">
        <f t="shared" si="5"/>
        <v>409.65565351262285</v>
      </c>
      <c r="T20" s="36">
        <f>S20/R20*100</f>
        <v>107.32190844764193</v>
      </c>
    </row>
    <row r="21" spans="1:20" ht="15">
      <c r="A21" s="2">
        <v>13</v>
      </c>
      <c r="B21" s="32" t="s">
        <v>82</v>
      </c>
      <c r="C21" s="97"/>
      <c r="D21" s="88"/>
      <c r="E21" s="89"/>
      <c r="F21" s="88">
        <v>11</v>
      </c>
      <c r="G21" s="88">
        <v>15</v>
      </c>
      <c r="H21" s="36">
        <f>G21/F21*100</f>
        <v>136.36363636363635</v>
      </c>
      <c r="I21" s="3"/>
      <c r="J21" s="88"/>
      <c r="K21" s="36"/>
      <c r="L21" s="88">
        <v>5068</v>
      </c>
      <c r="M21" s="88">
        <v>6023</v>
      </c>
      <c r="N21" s="89">
        <f>M21/L21*100</f>
        <v>118.84372533543804</v>
      </c>
      <c r="O21" s="36"/>
      <c r="P21" s="36"/>
      <c r="Q21" s="36"/>
      <c r="R21" s="36">
        <f t="shared" si="5"/>
        <v>217.0481452249408</v>
      </c>
      <c r="S21" s="36">
        <f t="shared" si="5"/>
        <v>249.04532624937738</v>
      </c>
      <c r="T21" s="36">
        <f>S21/R21*100</f>
        <v>114.74197394834951</v>
      </c>
    </row>
    <row r="22" spans="1:20" ht="18" customHeight="1">
      <c r="A22" s="139" t="s">
        <v>90</v>
      </c>
      <c r="B22" s="140"/>
      <c r="C22" s="88"/>
      <c r="D22" s="88"/>
      <c r="E22" s="89"/>
      <c r="F22" s="88">
        <f>SUM(F21)</f>
        <v>11</v>
      </c>
      <c r="G22" s="88">
        <f>SUM(G21)</f>
        <v>15</v>
      </c>
      <c r="H22" s="36">
        <f>G22/F22*100</f>
        <v>136.36363636363635</v>
      </c>
      <c r="I22" s="3"/>
      <c r="J22" s="88"/>
      <c r="K22" s="36"/>
      <c r="L22" s="88">
        <f>SUM(L21)</f>
        <v>5068</v>
      </c>
      <c r="M22" s="88">
        <f>SUM(M21)</f>
        <v>6023</v>
      </c>
      <c r="N22" s="89">
        <f>M22/L22*100</f>
        <v>118.84372533543804</v>
      </c>
      <c r="O22" s="36"/>
      <c r="P22" s="36"/>
      <c r="Q22" s="36"/>
      <c r="R22" s="36">
        <f>F22/L22*100000</f>
        <v>217.0481452249408</v>
      </c>
      <c r="S22" s="36">
        <f>G22/M22*100000</f>
        <v>249.04532624937738</v>
      </c>
      <c r="T22" s="36">
        <f>S22/R22*100</f>
        <v>114.74197394834951</v>
      </c>
    </row>
    <row r="23" spans="1:20" ht="36.75" customHeight="1">
      <c r="A23" s="135" t="s">
        <v>91</v>
      </c>
      <c r="B23" s="136"/>
      <c r="C23" s="89">
        <f>C20+C22</f>
        <v>243.33</v>
      </c>
      <c r="D23" s="89">
        <f>D20+D22</f>
        <v>401.64</v>
      </c>
      <c r="E23" s="36">
        <f>D23/C23*100</f>
        <v>165.05979533966217</v>
      </c>
      <c r="F23" s="89">
        <f>F20+F22</f>
        <v>1520</v>
      </c>
      <c r="G23" s="89">
        <f>G20+G22</f>
        <v>1718</v>
      </c>
      <c r="H23" s="36">
        <f>G23/F23*100</f>
        <v>113.02631578947368</v>
      </c>
      <c r="I23" s="89">
        <f>I20+I22</f>
        <v>76138</v>
      </c>
      <c r="J23" s="89">
        <f>J20+J22</f>
        <v>92338</v>
      </c>
      <c r="K23" s="36">
        <f>J23*100/I23</f>
        <v>121.27715464025847</v>
      </c>
      <c r="L23" s="89">
        <f>L20+L22</f>
        <v>400397</v>
      </c>
      <c r="M23" s="89">
        <f>M20+M22</f>
        <v>421738</v>
      </c>
      <c r="N23" s="89">
        <f>M23/L23*100</f>
        <v>105.32996001468543</v>
      </c>
      <c r="O23" s="36">
        <f t="shared" si="6"/>
        <v>319.5907431243269</v>
      </c>
      <c r="P23" s="36">
        <f t="shared" si="6"/>
        <v>434.9671857740042</v>
      </c>
      <c r="Q23" s="36">
        <f>P23/O23*100</f>
        <v>136.10130929380318</v>
      </c>
      <c r="R23" s="36">
        <f>F23/L23*100000</f>
        <v>379.6232239502294</v>
      </c>
      <c r="S23" s="36">
        <f>G23/M23*100000</f>
        <v>407.36191664018895</v>
      </c>
      <c r="T23" s="36">
        <f>S23/R23*100</f>
        <v>107.30690087959324</v>
      </c>
    </row>
  </sheetData>
  <sheetProtection/>
  <mergeCells count="24">
    <mergeCell ref="J6:J7"/>
    <mergeCell ref="S6:S7"/>
    <mergeCell ref="F6:F7"/>
    <mergeCell ref="I6:I7"/>
    <mergeCell ref="K5:K7"/>
    <mergeCell ref="E5:E7"/>
    <mergeCell ref="I5:J5"/>
    <mergeCell ref="P6:P7"/>
    <mergeCell ref="A23:B23"/>
    <mergeCell ref="T5:T7"/>
    <mergeCell ref="L5:M5"/>
    <mergeCell ref="R5:S5"/>
    <mergeCell ref="L6:L7"/>
    <mergeCell ref="M6:M7"/>
    <mergeCell ref="G6:G7"/>
    <mergeCell ref="H5:H7"/>
    <mergeCell ref="A20:B20"/>
    <mergeCell ref="A22:B22"/>
    <mergeCell ref="R6:R7"/>
    <mergeCell ref="O6:O7"/>
    <mergeCell ref="Q5:Q7"/>
    <mergeCell ref="N5:N7"/>
    <mergeCell ref="C6:C7"/>
    <mergeCell ref="D6:D7"/>
  </mergeCells>
  <printOptions/>
  <pageMargins left="0.75" right="0.75" top="1" bottom="1" header="0.5" footer="0.5"/>
  <pageSetup horizontalDpi="300" verticalDpi="3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view="pageBreakPreview" zoomScale="75" zoomScaleNormal="50" zoomScaleSheetLayoutView="75" zoomScalePageLayoutView="0" workbookViewId="0" topLeftCell="A1">
      <selection activeCell="L23" sqref="L23"/>
    </sheetView>
  </sheetViews>
  <sheetFormatPr defaultColWidth="9.00390625" defaultRowHeight="12.75"/>
  <cols>
    <col min="1" max="1" width="3.625" style="0" customWidth="1"/>
    <col min="2" max="2" width="29.625" style="0" customWidth="1"/>
    <col min="3" max="3" width="7.25390625" style="0" customWidth="1"/>
    <col min="4" max="4" width="7.125" style="0" customWidth="1"/>
    <col min="5" max="5" width="8.125" style="0" customWidth="1"/>
    <col min="6" max="6" width="7.125" style="0" customWidth="1"/>
    <col min="7" max="7" width="7.375" style="0" customWidth="1"/>
    <col min="8" max="8" width="8.75390625" style="0" customWidth="1"/>
    <col min="9" max="9" width="8.375" style="0" customWidth="1"/>
    <col min="10" max="10" width="9.625" style="0" customWidth="1"/>
    <col min="11" max="11" width="13.75390625" style="0" customWidth="1"/>
    <col min="12" max="12" width="14.375" style="0" customWidth="1"/>
    <col min="13" max="13" width="9.125" style="72" customWidth="1"/>
  </cols>
  <sheetData>
    <row r="1" ht="15.75">
      <c r="C1" s="1" t="s">
        <v>117</v>
      </c>
    </row>
    <row r="2" spans="1:12" ht="15">
      <c r="A2" s="20"/>
      <c r="B2" s="20"/>
      <c r="C2" s="20"/>
      <c r="D2" s="20"/>
      <c r="E2" s="20"/>
      <c r="F2" s="20"/>
      <c r="G2" s="20"/>
      <c r="H2" s="10" t="s">
        <v>54</v>
      </c>
      <c r="I2" s="20"/>
      <c r="J2" s="20"/>
      <c r="K2" s="20"/>
      <c r="L2" s="20"/>
    </row>
    <row r="3" spans="1:13" ht="15" customHeight="1">
      <c r="A3" s="23" t="s">
        <v>2</v>
      </c>
      <c r="B3" s="23" t="s">
        <v>3</v>
      </c>
      <c r="C3" s="25"/>
      <c r="D3" s="25" t="s">
        <v>51</v>
      </c>
      <c r="E3" s="27"/>
      <c r="F3" s="153" t="s">
        <v>10</v>
      </c>
      <c r="G3" s="154"/>
      <c r="H3" s="155"/>
      <c r="I3" s="25" t="s">
        <v>6</v>
      </c>
      <c r="J3" s="21" t="s">
        <v>7</v>
      </c>
      <c r="K3" s="158" t="s">
        <v>68</v>
      </c>
      <c r="L3" s="159"/>
      <c r="M3" s="156"/>
    </row>
    <row r="4" spans="1:13" ht="15" customHeight="1">
      <c r="A4" s="33"/>
      <c r="B4" s="33"/>
      <c r="C4" s="9">
        <v>2011</v>
      </c>
      <c r="D4" s="42">
        <v>2012</v>
      </c>
      <c r="E4" s="19" t="s">
        <v>4</v>
      </c>
      <c r="F4" s="9">
        <v>2011</v>
      </c>
      <c r="G4" s="42">
        <v>2012</v>
      </c>
      <c r="H4" s="19" t="s">
        <v>4</v>
      </c>
      <c r="I4" s="9">
        <v>2011</v>
      </c>
      <c r="J4" s="42">
        <v>2012</v>
      </c>
      <c r="K4" s="160" t="s">
        <v>1</v>
      </c>
      <c r="L4" s="160" t="s">
        <v>69</v>
      </c>
      <c r="M4" s="157"/>
    </row>
    <row r="5" spans="1:13" ht="15">
      <c r="A5" s="29"/>
      <c r="B5" s="29"/>
      <c r="C5" s="28"/>
      <c r="D5" s="35"/>
      <c r="E5" s="11">
        <v>2011</v>
      </c>
      <c r="F5" s="28"/>
      <c r="G5" s="35"/>
      <c r="H5" s="11">
        <v>2011</v>
      </c>
      <c r="I5" s="35"/>
      <c r="J5" s="29"/>
      <c r="K5" s="161"/>
      <c r="L5" s="161"/>
      <c r="M5" s="157"/>
    </row>
    <row r="6" spans="1:13" ht="15">
      <c r="A6" s="3">
        <v>1</v>
      </c>
      <c r="B6" s="22" t="s">
        <v>55</v>
      </c>
      <c r="C6" s="3"/>
      <c r="D6" s="3"/>
      <c r="E6" s="36"/>
      <c r="F6" s="3">
        <v>27</v>
      </c>
      <c r="G6" s="3">
        <v>14</v>
      </c>
      <c r="H6" s="89">
        <f aca="true" t="shared" si="0" ref="H6:H19">G6*100/F6</f>
        <v>51.851851851851855</v>
      </c>
      <c r="I6" s="125">
        <f>F6+(C6*0.2)+('численность 1'!M6*0.3)+'численность 1'!G6+(('численность 1'!C6-'численность 1'!G6)*0.6)</f>
        <v>318.6</v>
      </c>
      <c r="J6" s="125">
        <f>G6+(D6*0.2)+('численность 1'!N6*0.3)+'численность 1'!H6+(('численность 1'!D6-'численность 1'!H6)*0.6)</f>
        <v>271.4</v>
      </c>
      <c r="K6" s="3">
        <v>4019</v>
      </c>
      <c r="L6" s="3">
        <v>834</v>
      </c>
      <c r="M6" s="77"/>
    </row>
    <row r="7" spans="1:13" ht="15">
      <c r="A7" s="3">
        <v>2</v>
      </c>
      <c r="B7" s="22" t="s">
        <v>56</v>
      </c>
      <c r="C7" s="3"/>
      <c r="D7" s="3"/>
      <c r="E7" s="36"/>
      <c r="F7" s="3">
        <v>5</v>
      </c>
      <c r="G7" s="3">
        <v>4</v>
      </c>
      <c r="H7" s="89">
        <f t="shared" si="0"/>
        <v>80</v>
      </c>
      <c r="I7" s="125">
        <f>F7+(C7*0.2)+('численность 1'!M7*0.3)+'численность 1'!G7+(('численность 1'!C7-'численность 1'!G7)*0.6)</f>
        <v>175.39999999999998</v>
      </c>
      <c r="J7" s="125">
        <f>G7+(D7*0.2)+('численность 1'!N7*0.3)+'численность 1'!H7+(('численность 1'!D7-'численность 1'!H7)*0.6)</f>
        <v>179.8</v>
      </c>
      <c r="K7" s="3">
        <v>5799</v>
      </c>
      <c r="L7" s="3">
        <v>1657</v>
      </c>
      <c r="M7" s="77"/>
    </row>
    <row r="8" spans="1:13" ht="15">
      <c r="A8" s="3">
        <v>3</v>
      </c>
      <c r="B8" s="22" t="s">
        <v>57</v>
      </c>
      <c r="C8" s="3"/>
      <c r="D8" s="3"/>
      <c r="E8" s="36"/>
      <c r="F8" s="3">
        <v>1</v>
      </c>
      <c r="G8" s="3">
        <v>1</v>
      </c>
      <c r="H8" s="89">
        <f t="shared" si="0"/>
        <v>100</v>
      </c>
      <c r="I8" s="125">
        <f>F8+(C8*0.2)+('численность 1'!M8*0.3)+'численность 1'!G8+(('численность 1'!C8-'численность 1'!G8)*0.6)</f>
        <v>97</v>
      </c>
      <c r="J8" s="125">
        <f>G8+(D8*0.2)+('численность 1'!N8*0.3)+'численность 1'!H8+(('численность 1'!D8-'численность 1'!H8)*0.6)</f>
        <v>95.8</v>
      </c>
      <c r="K8" s="3">
        <v>985</v>
      </c>
      <c r="L8" s="3">
        <v>226</v>
      </c>
      <c r="M8" s="77"/>
    </row>
    <row r="9" spans="1:13" ht="15">
      <c r="A9" s="3">
        <v>4</v>
      </c>
      <c r="B9" s="22" t="s">
        <v>58</v>
      </c>
      <c r="C9" s="3"/>
      <c r="D9" s="3"/>
      <c r="E9" s="3"/>
      <c r="F9" s="3">
        <v>24</v>
      </c>
      <c r="G9" s="3">
        <v>20</v>
      </c>
      <c r="H9" s="89">
        <f t="shared" si="0"/>
        <v>83.33333333333333</v>
      </c>
      <c r="I9" s="125">
        <f>F9+(C9*0.2)+('численность 1'!M9*0.3)+'численность 1'!G9+(('численность 1'!C9-'численность 1'!G9)*0.6)</f>
        <v>767.3</v>
      </c>
      <c r="J9" s="125">
        <f>G9+(D9*0.2)+('численность 1'!N9*0.3)+'численность 1'!H9+(('численность 1'!D9-'численность 1'!H9)*0.6)</f>
        <v>767.8</v>
      </c>
      <c r="K9" s="88">
        <v>6810</v>
      </c>
      <c r="L9" s="88">
        <v>2323</v>
      </c>
      <c r="M9" s="77"/>
    </row>
    <row r="10" spans="1:13" ht="15">
      <c r="A10" s="3">
        <v>5</v>
      </c>
      <c r="B10" s="22" t="s">
        <v>59</v>
      </c>
      <c r="C10" s="86">
        <v>179</v>
      </c>
      <c r="D10" s="3">
        <v>155</v>
      </c>
      <c r="E10" s="89">
        <f>D10*100/C10</f>
        <v>86.59217877094972</v>
      </c>
      <c r="F10" s="3">
        <v>49</v>
      </c>
      <c r="G10" s="3">
        <v>16</v>
      </c>
      <c r="H10" s="89">
        <f t="shared" si="0"/>
        <v>32.6530612244898</v>
      </c>
      <c r="I10" s="125">
        <f>F10+(C10*0.2)+('численность 1'!M10*0.3)+'численность 1'!G10+(('численность 1'!C10-'численность 1'!G10)*0.6)</f>
        <v>651.3</v>
      </c>
      <c r="J10" s="125">
        <f>G10+(D10*0.2)+('численность 1'!N10*0.3)+'численность 1'!H10+(('численность 1'!D10-'численность 1'!H10)*0.6)</f>
        <v>421.5</v>
      </c>
      <c r="K10" s="3">
        <v>5928</v>
      </c>
      <c r="L10" s="3">
        <v>1328</v>
      </c>
      <c r="M10" s="77"/>
    </row>
    <row r="11" spans="1:13" ht="15">
      <c r="A11" s="3">
        <v>6</v>
      </c>
      <c r="B11" s="38" t="s">
        <v>73</v>
      </c>
      <c r="C11" s="88"/>
      <c r="D11" s="88"/>
      <c r="E11" s="89"/>
      <c r="F11" s="3">
        <v>11</v>
      </c>
      <c r="G11" s="3">
        <v>9</v>
      </c>
      <c r="H11" s="89">
        <f t="shared" si="0"/>
        <v>81.81818181818181</v>
      </c>
      <c r="I11" s="125">
        <f>F11+(C11*0.2)+('численность 1'!M11*0.3)+'численность 1'!G11+(('численность 1'!C11-'численность 1'!G11)*0.6)</f>
        <v>238.2</v>
      </c>
      <c r="J11" s="125">
        <f>G11+(D11*0.2)+('численность 1'!N11*0.3)+'численность 1'!H11+(('численность 1'!D11-'численность 1'!H11)*0.6)</f>
        <v>209.2</v>
      </c>
      <c r="K11" s="88">
        <v>9780</v>
      </c>
      <c r="L11" s="88">
        <v>1260</v>
      </c>
      <c r="M11" s="77"/>
    </row>
    <row r="12" spans="1:13" ht="15">
      <c r="A12" s="3">
        <v>7</v>
      </c>
      <c r="B12" s="22" t="s">
        <v>60</v>
      </c>
      <c r="C12" s="88"/>
      <c r="D12" s="88"/>
      <c r="E12" s="89"/>
      <c r="F12" s="88">
        <v>3</v>
      </c>
      <c r="G12" s="88"/>
      <c r="H12" s="89">
        <f t="shared" si="0"/>
        <v>0</v>
      </c>
      <c r="I12" s="125">
        <f>F12+(C12*0.2)+('численность 1'!M12*0.3)+'численность 1'!G12+(('численность 1'!C12-'численность 1'!G12)*0.6)</f>
        <v>129.6</v>
      </c>
      <c r="J12" s="125">
        <f>G12+(D12*0.2)+('численность 1'!N12*0.3)+'численность 1'!H12+(('численность 1'!D12-'численность 1'!H12)*0.6)</f>
        <v>0</v>
      </c>
      <c r="K12" s="88"/>
      <c r="L12" s="88"/>
      <c r="M12" s="77"/>
    </row>
    <row r="13" spans="1:13" ht="15">
      <c r="A13" s="3">
        <v>8</v>
      </c>
      <c r="B13" s="32" t="s">
        <v>87</v>
      </c>
      <c r="C13" s="88"/>
      <c r="D13" s="88"/>
      <c r="E13" s="89"/>
      <c r="F13" s="88"/>
      <c r="G13" s="88">
        <v>3</v>
      </c>
      <c r="H13" s="89"/>
      <c r="I13" s="125">
        <f>F13+(C13*0.2)+('численность 1'!M13*0.3)+'численность 1'!G13+(('численность 1'!C13-'численность 1'!G13)*0.6)</f>
        <v>0</v>
      </c>
      <c r="J13" s="125">
        <f>G13+(D13*0.2)+('численность 1'!N13*0.3)+'численность 1'!H13+(('численность 1'!D13-'численность 1'!H13)*0.6)</f>
        <v>168.8</v>
      </c>
      <c r="K13" s="88">
        <v>2342</v>
      </c>
      <c r="L13" s="88">
        <v>122</v>
      </c>
      <c r="M13" s="77"/>
    </row>
    <row r="14" spans="1:13" ht="15">
      <c r="A14" s="3">
        <v>9</v>
      </c>
      <c r="B14" s="32" t="s">
        <v>72</v>
      </c>
      <c r="C14" s="88">
        <v>123</v>
      </c>
      <c r="D14" s="88">
        <v>266</v>
      </c>
      <c r="E14" s="89">
        <f>D14*100/C14</f>
        <v>216.260162601626</v>
      </c>
      <c r="F14" s="3">
        <v>5</v>
      </c>
      <c r="G14" s="3">
        <v>3</v>
      </c>
      <c r="H14" s="89">
        <f t="shared" si="0"/>
        <v>60</v>
      </c>
      <c r="I14" s="125">
        <f>F14+(C14*0.2)+('численность 1'!M14*0.3)+'численность 1'!G14+(('численность 1'!C14-'численность 1'!G14)*0.6)</f>
        <v>191</v>
      </c>
      <c r="J14" s="125">
        <f>G14+(D14*0.2)+('численность 1'!N14*0.3)+'численность 1'!H14+(('численность 1'!D14-'численность 1'!H14)*0.6)</f>
        <v>245.79999999999998</v>
      </c>
      <c r="K14" s="88">
        <v>6137</v>
      </c>
      <c r="L14" s="88">
        <v>1834</v>
      </c>
      <c r="M14" s="77"/>
    </row>
    <row r="15" spans="1:13" ht="15">
      <c r="A15" s="3">
        <v>10</v>
      </c>
      <c r="B15" s="22" t="s">
        <v>61</v>
      </c>
      <c r="C15" s="88"/>
      <c r="D15" s="88"/>
      <c r="E15" s="89"/>
      <c r="F15" s="3">
        <v>3</v>
      </c>
      <c r="G15" s="3">
        <v>5</v>
      </c>
      <c r="H15" s="89">
        <f t="shared" si="0"/>
        <v>166.66666666666666</v>
      </c>
      <c r="I15" s="125">
        <f>F15+(C15*0.2)+('численность 1'!M15*0.3)+'численность 1'!G15+(('численность 1'!C15-'численность 1'!G15)*0.6)</f>
        <v>189.39999999999998</v>
      </c>
      <c r="J15" s="125">
        <f>G15+(D15*0.2)+('численность 1'!N15*0.3)+'численность 1'!H15+(('численность 1'!D15-'численность 1'!H15)*0.6)</f>
        <v>189.6</v>
      </c>
      <c r="K15" s="88">
        <v>4642</v>
      </c>
      <c r="L15" s="88">
        <v>928</v>
      </c>
      <c r="M15" s="77"/>
    </row>
    <row r="16" spans="1:13" ht="15">
      <c r="A16" s="3">
        <v>11</v>
      </c>
      <c r="B16" s="22" t="s">
        <v>62</v>
      </c>
      <c r="C16" s="88"/>
      <c r="D16" s="88"/>
      <c r="E16" s="89"/>
      <c r="F16" s="3">
        <v>2</v>
      </c>
      <c r="G16" s="3">
        <v>1</v>
      </c>
      <c r="H16" s="89">
        <f t="shared" si="0"/>
        <v>50</v>
      </c>
      <c r="I16" s="125">
        <f>F16+(C16*0.2)+('численность 1'!M16*0.3)+'численность 1'!G16+(('численность 1'!C16-'численность 1'!G16)*0.6)</f>
        <v>75.8</v>
      </c>
      <c r="J16" s="125">
        <f>G16+(D16*0.2)+('численность 1'!N16*0.3)+'численность 1'!H16+(('численность 1'!D16-'численность 1'!H16)*0.6)</f>
        <v>59.8</v>
      </c>
      <c r="K16" s="88">
        <v>1359</v>
      </c>
      <c r="L16" s="88">
        <v>290</v>
      </c>
      <c r="M16" s="77"/>
    </row>
    <row r="17" spans="1:13" ht="15">
      <c r="A17" s="3">
        <v>12</v>
      </c>
      <c r="B17" s="22" t="s">
        <v>63</v>
      </c>
      <c r="C17" s="88"/>
      <c r="D17" s="88"/>
      <c r="E17" s="89"/>
      <c r="F17" s="3">
        <v>1</v>
      </c>
      <c r="G17" s="3">
        <v>1</v>
      </c>
      <c r="H17" s="89">
        <f t="shared" si="0"/>
        <v>100</v>
      </c>
      <c r="I17" s="125">
        <f>F17+(C17*0.2)+('численность 1'!M17*0.3)+'численность 1'!G17+(('численность 1'!C17-'численность 1'!G17)*0.6)</f>
        <v>2662.2999999999997</v>
      </c>
      <c r="J17" s="125">
        <f>G17+(D17*0.2)+('численность 1'!N17*0.3)+'численность 1'!H17+(('численность 1'!D17-'численность 1'!H17)*0.6)</f>
        <v>2852.7999999999997</v>
      </c>
      <c r="K17" s="88">
        <v>6530</v>
      </c>
      <c r="L17" s="88">
        <v>6530</v>
      </c>
      <c r="M17" s="77"/>
    </row>
    <row r="18" spans="1:13" ht="15">
      <c r="A18" s="3">
        <v>13</v>
      </c>
      <c r="B18" s="32" t="s">
        <v>71</v>
      </c>
      <c r="C18" s="88"/>
      <c r="D18" s="88"/>
      <c r="E18" s="89"/>
      <c r="F18" s="3">
        <v>108</v>
      </c>
      <c r="G18" s="3">
        <v>154</v>
      </c>
      <c r="H18" s="89">
        <f t="shared" si="0"/>
        <v>142.59259259259258</v>
      </c>
      <c r="I18" s="125">
        <f>F18+(C18*0.2)+('численность 1'!M18*0.3)+'численность 1'!G18+(('численность 1'!C18-'численность 1'!G18)*0.6)</f>
        <v>108</v>
      </c>
      <c r="J18" s="125">
        <f>G18+(D18*0.2)+('численность 1'!N18*0.3)+'численность 1'!H18+(('численность 1'!D18-'численность 1'!H18)*0.6)</f>
        <v>154</v>
      </c>
      <c r="K18" s="88">
        <v>5280</v>
      </c>
      <c r="L18" s="88">
        <v>986</v>
      </c>
      <c r="M18" s="77"/>
    </row>
    <row r="19" spans="1:13" ht="60" customHeight="1">
      <c r="A19" s="149" t="s">
        <v>103</v>
      </c>
      <c r="B19" s="150"/>
      <c r="C19" s="88">
        <f>SUM(C10:C18)</f>
        <v>302</v>
      </c>
      <c r="D19" s="88">
        <f>SUM(D10:D18)</f>
        <v>421</v>
      </c>
      <c r="E19" s="89">
        <f>D19*100/C19</f>
        <v>139.40397350993376</v>
      </c>
      <c r="F19" s="3">
        <f>SUM(F6:F18)</f>
        <v>239</v>
      </c>
      <c r="G19" s="3">
        <f>SUM(G6:G18)</f>
        <v>231</v>
      </c>
      <c r="H19" s="89">
        <f t="shared" si="0"/>
        <v>96.65271966527196</v>
      </c>
      <c r="I19" s="125">
        <f>SUM(I6:I18)</f>
        <v>5603.9</v>
      </c>
      <c r="J19" s="125">
        <f>SUM(J6:J18)</f>
        <v>5616.3</v>
      </c>
      <c r="K19" s="88">
        <f>SUM(K6:K18)</f>
        <v>59611</v>
      </c>
      <c r="L19" s="88">
        <f>SUM(L6:L18)</f>
        <v>18318</v>
      </c>
      <c r="M19" s="77"/>
    </row>
    <row r="20" spans="1:13" ht="15">
      <c r="A20" s="3">
        <v>1</v>
      </c>
      <c r="B20" s="32" t="s">
        <v>82</v>
      </c>
      <c r="C20" s="88"/>
      <c r="D20" s="88"/>
      <c r="E20" s="89"/>
      <c r="F20" s="3"/>
      <c r="G20" s="3"/>
      <c r="H20" s="89"/>
      <c r="I20" s="125">
        <f>F20+(C20*0.2)+('численность 1'!M20*0.3)+'численность 1'!G20+(('численность 1'!C20-'численность 1'!G20)*0.6)</f>
        <v>30.9</v>
      </c>
      <c r="J20" s="125">
        <f>G20+(D20*0.2)+('численность 1'!N20*0.3)+'численность 1'!H20+(('численность 1'!D20-'численность 1'!H20)*0.6)</f>
        <v>30.599999999999998</v>
      </c>
      <c r="K20" s="121">
        <v>10</v>
      </c>
      <c r="L20" s="88">
        <v>10</v>
      </c>
      <c r="M20" s="77"/>
    </row>
    <row r="21" spans="1:13" ht="15">
      <c r="A21" s="3">
        <v>2</v>
      </c>
      <c r="B21" s="32" t="s">
        <v>88</v>
      </c>
      <c r="C21" s="3"/>
      <c r="D21" s="3">
        <v>54</v>
      </c>
      <c r="E21" s="36"/>
      <c r="F21" s="3"/>
      <c r="G21" s="3">
        <v>7</v>
      </c>
      <c r="H21" s="89"/>
      <c r="I21" s="125">
        <f>F21+(C21*0.2)+('численность 1'!M21*0.3)+'численность 1'!G21+(('численность 1'!C21-'численность 1'!G21)*0.6)</f>
        <v>0</v>
      </c>
      <c r="J21" s="125">
        <f>G21+(D21*0.2)+('численность 1'!N21*0.3)+'численность 1'!H21+(('численность 1'!D21-'численность 1'!H21)*0.6)</f>
        <v>17.8</v>
      </c>
      <c r="K21" s="3">
        <v>180</v>
      </c>
      <c r="L21" s="3">
        <v>12</v>
      </c>
      <c r="M21" s="77"/>
    </row>
    <row r="22" spans="1:12" ht="25.5" customHeight="1">
      <c r="A22" s="149" t="s">
        <v>90</v>
      </c>
      <c r="B22" s="150"/>
      <c r="C22" s="88">
        <f>SUM(C21)</f>
        <v>0</v>
      </c>
      <c r="D22" s="88">
        <f>SUM(D21)</f>
        <v>54</v>
      </c>
      <c r="E22" s="36"/>
      <c r="F22" s="88">
        <f>SUM(F20:F21)</f>
        <v>0</v>
      </c>
      <c r="G22" s="88">
        <f>SUM(G20:G21)</f>
        <v>7</v>
      </c>
      <c r="H22" s="89"/>
      <c r="I22" s="125">
        <f>SUM(I20:I21)</f>
        <v>30.9</v>
      </c>
      <c r="J22" s="125">
        <f>SUM(J20:J21)</f>
        <v>48.4</v>
      </c>
      <c r="K22" s="88">
        <f>SUM(K20:K21)</f>
        <v>190</v>
      </c>
      <c r="L22" s="88">
        <f>SUM(L20:L21)</f>
        <v>22</v>
      </c>
    </row>
    <row r="23" spans="1:12" ht="41.25" customHeight="1">
      <c r="A23" s="151" t="s">
        <v>91</v>
      </c>
      <c r="B23" s="152"/>
      <c r="C23" s="88">
        <f>C19+C22</f>
        <v>302</v>
      </c>
      <c r="D23" s="88">
        <f>D19+D22</f>
        <v>475</v>
      </c>
      <c r="E23" s="36">
        <f>D23/C23*100</f>
        <v>157.28476821192052</v>
      </c>
      <c r="F23" s="88">
        <f>F19+F22</f>
        <v>239</v>
      </c>
      <c r="G23" s="88">
        <f>G19+G22</f>
        <v>238</v>
      </c>
      <c r="H23" s="89">
        <f>G23*100/F23</f>
        <v>99.581589958159</v>
      </c>
      <c r="I23" s="121">
        <f>I19+I22</f>
        <v>5634.799999999999</v>
      </c>
      <c r="J23" s="121">
        <f>J19+J22</f>
        <v>5664.7</v>
      </c>
      <c r="K23" s="88">
        <f>K19+K22</f>
        <v>59801</v>
      </c>
      <c r="L23" s="88">
        <f>L19+L22</f>
        <v>18340</v>
      </c>
    </row>
  </sheetData>
  <sheetProtection/>
  <mergeCells count="8">
    <mergeCell ref="A22:B22"/>
    <mergeCell ref="A23:B23"/>
    <mergeCell ref="F3:H3"/>
    <mergeCell ref="M3:M5"/>
    <mergeCell ref="K3:L3"/>
    <mergeCell ref="K4:K5"/>
    <mergeCell ref="L4:L5"/>
    <mergeCell ref="A19:B19"/>
  </mergeCells>
  <printOptions/>
  <pageMargins left="0.75" right="0.75" top="1" bottom="1" header="0.5" footer="0.5"/>
  <pageSetup horizontalDpi="300" verticalDpi="3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3"/>
  <sheetViews>
    <sheetView view="pageBreakPreview" zoomScale="60" zoomScaleNormal="50" zoomScalePageLayoutView="0" workbookViewId="0" topLeftCell="A1">
      <selection activeCell="P23" sqref="P23"/>
    </sheetView>
  </sheetViews>
  <sheetFormatPr defaultColWidth="9.00390625" defaultRowHeight="12.75"/>
  <cols>
    <col min="1" max="1" width="5.25390625" style="0" customWidth="1"/>
    <col min="2" max="2" width="34.125" style="0" customWidth="1"/>
    <col min="3" max="3" width="9.75390625" style="0" customWidth="1"/>
    <col min="4" max="4" width="9.875" style="0" customWidth="1"/>
    <col min="5" max="5" width="10.75390625" style="0" customWidth="1"/>
    <col min="6" max="6" width="11.75390625" style="0" customWidth="1"/>
    <col min="7" max="7" width="9.875" style="0" customWidth="1"/>
    <col min="8" max="8" width="9.75390625" style="0" customWidth="1"/>
    <col min="9" max="9" width="10.75390625" style="0" customWidth="1"/>
    <col min="10" max="10" width="9.75390625" style="0" customWidth="1"/>
    <col min="11" max="11" width="9.875" style="0" customWidth="1"/>
    <col min="12" max="12" width="10.75390625" style="0" customWidth="1"/>
    <col min="13" max="13" width="9.875" style="0" customWidth="1"/>
    <col min="14" max="14" width="9.75390625" style="0" customWidth="1"/>
    <col min="15" max="15" width="10.75390625" style="0" customWidth="1"/>
    <col min="16" max="17" width="9.75390625" style="0" customWidth="1"/>
    <col min="18" max="18" width="10.875" style="0" customWidth="1"/>
    <col min="19" max="20" width="9.75390625" style="0" customWidth="1"/>
    <col min="21" max="21" width="10.625" style="0" customWidth="1"/>
    <col min="22" max="22" width="7.00390625" style="0" customWidth="1"/>
    <col min="23" max="23" width="14.25390625" style="0" customWidth="1"/>
    <col min="24" max="24" width="6.375" style="0" customWidth="1"/>
    <col min="25" max="25" width="6.00390625" style="0" customWidth="1"/>
    <col min="26" max="26" width="6.875" style="0" customWidth="1"/>
    <col min="27" max="27" width="7.375" style="0" customWidth="1"/>
    <col min="28" max="28" width="7.125" style="0" customWidth="1"/>
    <col min="29" max="29" width="10.00390625" style="0" hidden="1" customWidth="1"/>
    <col min="30" max="31" width="8.25390625" style="0" customWidth="1"/>
    <col min="32" max="32" width="8.125" style="0" customWidth="1"/>
    <col min="33" max="33" width="8.625" style="0" customWidth="1"/>
    <col min="34" max="34" width="3.25390625" style="0" customWidth="1"/>
    <col min="35" max="35" width="22.375" style="0" customWidth="1"/>
    <col min="36" max="36" width="7.125" style="0" customWidth="1"/>
    <col min="37" max="38" width="6.625" style="0" customWidth="1"/>
    <col min="39" max="39" width="7.00390625" style="0" customWidth="1"/>
  </cols>
  <sheetData>
    <row r="1" spans="5:18" ht="20.25">
      <c r="E1" s="47" t="s">
        <v>116</v>
      </c>
      <c r="F1" s="47"/>
      <c r="G1" s="47"/>
      <c r="H1" s="46"/>
      <c r="I1" s="46"/>
      <c r="J1" s="46"/>
      <c r="K1" s="46"/>
      <c r="L1" s="46"/>
      <c r="M1" s="46"/>
      <c r="N1" s="46"/>
      <c r="O1" s="46"/>
      <c r="P1" s="14"/>
      <c r="Q1" s="43"/>
      <c r="R1" s="1"/>
    </row>
    <row r="2" spans="5:17" ht="20.25">
      <c r="E2" s="46"/>
      <c r="F2" s="46"/>
      <c r="G2" s="46"/>
      <c r="H2" s="48" t="s">
        <v>53</v>
      </c>
      <c r="I2" s="48"/>
      <c r="J2" s="48"/>
      <c r="K2" s="48"/>
      <c r="L2" s="48"/>
      <c r="M2" s="48"/>
      <c r="N2" s="46"/>
      <c r="O2" s="46"/>
      <c r="P2" s="14"/>
      <c r="Q2" s="14"/>
    </row>
    <row r="3" spans="1:21" s="20" customFormat="1" ht="44.25" customHeight="1">
      <c r="A3" s="23" t="s">
        <v>2</v>
      </c>
      <c r="B3" s="141" t="s">
        <v>3</v>
      </c>
      <c r="C3" s="128" t="s">
        <v>75</v>
      </c>
      <c r="D3" s="162"/>
      <c r="E3" s="163"/>
      <c r="F3" s="143" t="s">
        <v>74</v>
      </c>
      <c r="G3" s="128" t="s">
        <v>8</v>
      </c>
      <c r="H3" s="162"/>
      <c r="I3" s="163"/>
      <c r="J3" s="164" t="s">
        <v>67</v>
      </c>
      <c r="K3" s="165"/>
      <c r="L3" s="166"/>
      <c r="M3" s="128" t="s">
        <v>9</v>
      </c>
      <c r="N3" s="162"/>
      <c r="O3" s="162"/>
      <c r="P3" s="162"/>
      <c r="Q3" s="162"/>
      <c r="R3" s="162"/>
      <c r="S3" s="162"/>
      <c r="T3" s="162"/>
      <c r="U3" s="163"/>
    </row>
    <row r="4" spans="1:21" s="20" customFormat="1" ht="23.25" customHeight="1">
      <c r="A4" s="33"/>
      <c r="B4" s="169"/>
      <c r="C4" s="141">
        <v>2011</v>
      </c>
      <c r="D4" s="141">
        <v>2012</v>
      </c>
      <c r="E4" s="101" t="s">
        <v>4</v>
      </c>
      <c r="F4" s="144"/>
      <c r="G4" s="141">
        <v>2011</v>
      </c>
      <c r="H4" s="141">
        <v>2012</v>
      </c>
      <c r="I4" s="101" t="s">
        <v>4</v>
      </c>
      <c r="J4" s="141">
        <v>2011</v>
      </c>
      <c r="K4" s="141">
        <v>2012</v>
      </c>
      <c r="L4" s="101" t="s">
        <v>4</v>
      </c>
      <c r="M4" s="141">
        <v>2011</v>
      </c>
      <c r="N4" s="141">
        <v>2012</v>
      </c>
      <c r="O4" s="101" t="s">
        <v>4</v>
      </c>
      <c r="P4" s="98" t="s">
        <v>5</v>
      </c>
      <c r="Q4" s="102" t="s">
        <v>66</v>
      </c>
      <c r="R4" s="143" t="s">
        <v>102</v>
      </c>
      <c r="S4" s="98" t="s">
        <v>50</v>
      </c>
      <c r="T4" s="103"/>
      <c r="U4" s="143" t="s">
        <v>102</v>
      </c>
    </row>
    <row r="5" spans="1:21" s="20" customFormat="1" ht="23.25" customHeight="1">
      <c r="A5" s="29"/>
      <c r="B5" s="142"/>
      <c r="C5" s="167"/>
      <c r="D5" s="167"/>
      <c r="E5" s="104">
        <v>2011</v>
      </c>
      <c r="F5" s="145"/>
      <c r="G5" s="167"/>
      <c r="H5" s="167"/>
      <c r="I5" s="104">
        <v>2011</v>
      </c>
      <c r="J5" s="167"/>
      <c r="K5" s="167"/>
      <c r="L5" s="104">
        <v>2011</v>
      </c>
      <c r="M5" s="167"/>
      <c r="N5" s="167"/>
      <c r="O5" s="104">
        <v>2011</v>
      </c>
      <c r="P5" s="99">
        <v>2011</v>
      </c>
      <c r="Q5" s="99">
        <v>2012</v>
      </c>
      <c r="R5" s="168"/>
      <c r="S5" s="99">
        <v>2011</v>
      </c>
      <c r="T5" s="99">
        <v>2012</v>
      </c>
      <c r="U5" s="168"/>
    </row>
    <row r="6" spans="1:34" s="20" customFormat="1" ht="24.75" customHeight="1">
      <c r="A6" s="3">
        <v>1</v>
      </c>
      <c r="B6" s="22" t="s">
        <v>55</v>
      </c>
      <c r="C6" s="3">
        <v>366</v>
      </c>
      <c r="D6" s="3">
        <v>309</v>
      </c>
      <c r="E6" s="36">
        <f aca="true" t="shared" si="0" ref="E6:E16">D6*100/C6</f>
        <v>84.42622950819673</v>
      </c>
      <c r="F6" s="3">
        <v>5</v>
      </c>
      <c r="G6" s="3">
        <v>180</v>
      </c>
      <c r="H6" s="3">
        <v>180</v>
      </c>
      <c r="I6" s="36">
        <f aca="true" t="shared" si="1" ref="I6:I16">H6*100/G6</f>
        <v>100</v>
      </c>
      <c r="J6" s="3">
        <v>180</v>
      </c>
      <c r="K6" s="3">
        <v>180</v>
      </c>
      <c r="L6" s="36">
        <f aca="true" t="shared" si="2" ref="L6:L23">K6*100/J6</f>
        <v>100</v>
      </c>
      <c r="M6" s="66"/>
      <c r="N6" s="3"/>
      <c r="O6" s="36"/>
      <c r="P6" s="66"/>
      <c r="Q6" s="3"/>
      <c r="R6" s="36"/>
      <c r="S6" s="111"/>
      <c r="T6" s="36"/>
      <c r="U6" s="36"/>
      <c r="AH6" s="86"/>
    </row>
    <row r="7" spans="1:34" s="20" customFormat="1" ht="24.75" customHeight="1">
      <c r="A7" s="3">
        <v>2</v>
      </c>
      <c r="B7" s="22" t="s">
        <v>56</v>
      </c>
      <c r="C7" s="3">
        <v>214</v>
      </c>
      <c r="D7" s="3">
        <v>223</v>
      </c>
      <c r="E7" s="36">
        <f t="shared" si="0"/>
        <v>104.20560747663552</v>
      </c>
      <c r="F7" s="3">
        <v>19</v>
      </c>
      <c r="G7" s="3">
        <v>105</v>
      </c>
      <c r="H7" s="3">
        <v>105</v>
      </c>
      <c r="I7" s="36">
        <f t="shared" si="1"/>
        <v>100</v>
      </c>
      <c r="J7" s="3">
        <v>105</v>
      </c>
      <c r="K7" s="3">
        <v>105</v>
      </c>
      <c r="L7" s="36">
        <f t="shared" si="2"/>
        <v>100</v>
      </c>
      <c r="M7" s="66"/>
      <c r="N7" s="3"/>
      <c r="O7" s="36"/>
      <c r="P7" s="66"/>
      <c r="Q7" s="3"/>
      <c r="R7" s="36"/>
      <c r="S7" s="111"/>
      <c r="T7" s="36"/>
      <c r="U7" s="36"/>
      <c r="AH7" s="86"/>
    </row>
    <row r="8" spans="1:34" s="20" customFormat="1" ht="24.75" customHeight="1">
      <c r="A8" s="3">
        <v>3</v>
      </c>
      <c r="B8" s="22" t="s">
        <v>57</v>
      </c>
      <c r="C8" s="3">
        <v>120</v>
      </c>
      <c r="D8" s="3">
        <v>118</v>
      </c>
      <c r="E8" s="36">
        <f t="shared" si="0"/>
        <v>98.33333333333333</v>
      </c>
      <c r="F8" s="88">
        <v>2</v>
      </c>
      <c r="G8" s="3">
        <v>60</v>
      </c>
      <c r="H8" s="3">
        <v>60</v>
      </c>
      <c r="I8" s="36">
        <f t="shared" si="1"/>
        <v>100</v>
      </c>
      <c r="J8" s="3">
        <v>60</v>
      </c>
      <c r="K8" s="3">
        <v>60</v>
      </c>
      <c r="L8" s="36">
        <f t="shared" si="2"/>
        <v>100</v>
      </c>
      <c r="M8" s="66"/>
      <c r="N8" s="3"/>
      <c r="O8" s="100"/>
      <c r="P8" s="66"/>
      <c r="Q8" s="3"/>
      <c r="R8" s="36"/>
      <c r="S8" s="111"/>
      <c r="T8" s="36"/>
      <c r="U8" s="36"/>
      <c r="AH8" s="86"/>
    </row>
    <row r="9" spans="1:34" s="20" customFormat="1" ht="24.75" customHeight="1">
      <c r="A9" s="3">
        <v>4</v>
      </c>
      <c r="B9" s="22" t="s">
        <v>58</v>
      </c>
      <c r="C9" s="3">
        <v>824</v>
      </c>
      <c r="D9" s="3">
        <v>806</v>
      </c>
      <c r="E9" s="36">
        <f t="shared" si="0"/>
        <v>97.81553398058253</v>
      </c>
      <c r="F9" s="3">
        <v>36</v>
      </c>
      <c r="G9" s="3">
        <v>308</v>
      </c>
      <c r="H9" s="3">
        <v>308</v>
      </c>
      <c r="I9" s="36">
        <f t="shared" si="1"/>
        <v>100</v>
      </c>
      <c r="J9" s="3">
        <v>308</v>
      </c>
      <c r="K9" s="3">
        <v>308</v>
      </c>
      <c r="L9" s="36">
        <f t="shared" si="2"/>
        <v>100</v>
      </c>
      <c r="M9" s="3">
        <v>419</v>
      </c>
      <c r="N9" s="3">
        <v>470</v>
      </c>
      <c r="O9" s="36">
        <f>N9*100/M9</f>
        <v>112.17183770883055</v>
      </c>
      <c r="P9" s="3">
        <v>20</v>
      </c>
      <c r="Q9" s="3">
        <v>28</v>
      </c>
      <c r="R9" s="36">
        <f>Q9*100/P9</f>
        <v>140</v>
      </c>
      <c r="S9" s="3">
        <v>25</v>
      </c>
      <c r="T9" s="3">
        <v>39</v>
      </c>
      <c r="U9" s="36">
        <f>T9*100/S9</f>
        <v>156</v>
      </c>
      <c r="AH9" s="86"/>
    </row>
    <row r="10" spans="1:34" s="20" customFormat="1" ht="24.75" customHeight="1">
      <c r="A10" s="3">
        <v>5</v>
      </c>
      <c r="B10" s="22" t="s">
        <v>59</v>
      </c>
      <c r="C10" s="3">
        <v>538</v>
      </c>
      <c r="D10" s="3">
        <v>359</v>
      </c>
      <c r="E10" s="36">
        <f t="shared" si="0"/>
        <v>66.72862453531599</v>
      </c>
      <c r="F10" s="88">
        <v>4</v>
      </c>
      <c r="G10" s="3">
        <v>280</v>
      </c>
      <c r="H10" s="3">
        <v>250</v>
      </c>
      <c r="I10" s="36">
        <f t="shared" si="1"/>
        <v>89.28571428571429</v>
      </c>
      <c r="J10" s="3">
        <v>280</v>
      </c>
      <c r="K10" s="3">
        <v>250</v>
      </c>
      <c r="L10" s="36">
        <f t="shared" si="2"/>
        <v>89.28571428571429</v>
      </c>
      <c r="M10" s="3">
        <v>439</v>
      </c>
      <c r="N10" s="3">
        <v>197</v>
      </c>
      <c r="O10" s="36">
        <f>N10*100/M10</f>
        <v>44.874715261959</v>
      </c>
      <c r="P10" s="3">
        <v>80</v>
      </c>
      <c r="Q10" s="3">
        <v>80</v>
      </c>
      <c r="R10" s="36">
        <f>Q10*100/P10</f>
        <v>100</v>
      </c>
      <c r="S10" s="3">
        <v>7</v>
      </c>
      <c r="T10" s="3">
        <v>7</v>
      </c>
      <c r="U10" s="36">
        <f>T10*100/S10</f>
        <v>100</v>
      </c>
      <c r="AH10" s="86"/>
    </row>
    <row r="11" spans="1:34" s="20" customFormat="1" ht="24.75" customHeight="1">
      <c r="A11" s="3">
        <v>6</v>
      </c>
      <c r="B11" s="38" t="s">
        <v>73</v>
      </c>
      <c r="C11" s="3">
        <v>322</v>
      </c>
      <c r="D11" s="3">
        <v>277</v>
      </c>
      <c r="E11" s="36">
        <f t="shared" si="0"/>
        <v>86.0248447204969</v>
      </c>
      <c r="F11" s="88"/>
      <c r="G11" s="3">
        <v>85</v>
      </c>
      <c r="H11" s="3">
        <v>85</v>
      </c>
      <c r="I11" s="36">
        <f t="shared" si="1"/>
        <v>100</v>
      </c>
      <c r="J11" s="3">
        <v>85</v>
      </c>
      <c r="K11" s="3">
        <v>85</v>
      </c>
      <c r="L11" s="36">
        <f t="shared" si="2"/>
        <v>100</v>
      </c>
      <c r="M11" s="3"/>
      <c r="N11" s="3"/>
      <c r="O11" s="36"/>
      <c r="P11" s="3"/>
      <c r="Q11" s="3"/>
      <c r="R11" s="36"/>
      <c r="S11" s="3"/>
      <c r="T11" s="3"/>
      <c r="U11" s="36"/>
      <c r="AH11" s="86"/>
    </row>
    <row r="12" spans="1:34" s="20" customFormat="1" ht="24.75" customHeight="1">
      <c r="A12" s="3">
        <v>7</v>
      </c>
      <c r="B12" s="22" t="s">
        <v>60</v>
      </c>
      <c r="C12" s="3">
        <v>171</v>
      </c>
      <c r="D12" s="3"/>
      <c r="E12" s="36">
        <f t="shared" si="0"/>
        <v>0</v>
      </c>
      <c r="F12" s="3"/>
      <c r="G12" s="3">
        <v>60</v>
      </c>
      <c r="H12" s="3"/>
      <c r="I12" s="36">
        <f t="shared" si="1"/>
        <v>0</v>
      </c>
      <c r="J12" s="3">
        <v>60</v>
      </c>
      <c r="K12" s="3"/>
      <c r="L12" s="36">
        <f t="shared" si="2"/>
        <v>0</v>
      </c>
      <c r="M12" s="3"/>
      <c r="N12" s="3"/>
      <c r="O12" s="36"/>
      <c r="P12" s="3"/>
      <c r="Q12" s="3"/>
      <c r="R12" s="36"/>
      <c r="S12" s="3"/>
      <c r="T12" s="3"/>
      <c r="U12" s="36"/>
      <c r="AH12" s="86"/>
    </row>
    <row r="13" spans="1:34" s="20" customFormat="1" ht="24.75" customHeight="1">
      <c r="A13" s="3">
        <v>8</v>
      </c>
      <c r="B13" s="32" t="s">
        <v>87</v>
      </c>
      <c r="C13" s="3"/>
      <c r="D13" s="3">
        <v>233</v>
      </c>
      <c r="E13" s="36"/>
      <c r="F13" s="3">
        <v>11</v>
      </c>
      <c r="G13" s="3"/>
      <c r="H13" s="3">
        <v>65</v>
      </c>
      <c r="I13" s="36"/>
      <c r="J13" s="3"/>
      <c r="K13" s="3">
        <v>65</v>
      </c>
      <c r="L13" s="36"/>
      <c r="M13" s="3"/>
      <c r="N13" s="3"/>
      <c r="O13" s="36"/>
      <c r="P13" s="3"/>
      <c r="Q13" s="3"/>
      <c r="R13" s="36"/>
      <c r="S13" s="3"/>
      <c r="T13" s="3"/>
      <c r="U13" s="36"/>
      <c r="AH13" s="86"/>
    </row>
    <row r="14" spans="1:34" s="20" customFormat="1" ht="24.75" customHeight="1">
      <c r="A14" s="3">
        <v>9</v>
      </c>
      <c r="B14" s="32" t="s">
        <v>72</v>
      </c>
      <c r="C14" s="3">
        <v>217</v>
      </c>
      <c r="D14" s="3">
        <v>264</v>
      </c>
      <c r="E14" s="36">
        <f t="shared" si="0"/>
        <v>121.6589861751152</v>
      </c>
      <c r="F14" s="3">
        <v>28</v>
      </c>
      <c r="G14" s="3">
        <v>78</v>
      </c>
      <c r="H14" s="3">
        <v>78</v>
      </c>
      <c r="I14" s="36">
        <f t="shared" si="1"/>
        <v>100</v>
      </c>
      <c r="J14" s="3">
        <v>78</v>
      </c>
      <c r="K14" s="3">
        <v>78</v>
      </c>
      <c r="L14" s="36">
        <f t="shared" si="2"/>
        <v>100</v>
      </c>
      <c r="M14" s="3"/>
      <c r="N14" s="3"/>
      <c r="O14" s="36"/>
      <c r="P14" s="3"/>
      <c r="Q14" s="3"/>
      <c r="R14" s="36"/>
      <c r="S14" s="3"/>
      <c r="T14" s="3"/>
      <c r="U14" s="36"/>
      <c r="AH14" s="86"/>
    </row>
    <row r="15" spans="1:34" s="20" customFormat="1" ht="24.75" customHeight="1">
      <c r="A15" s="3">
        <v>10</v>
      </c>
      <c r="B15" s="22" t="s">
        <v>61</v>
      </c>
      <c r="C15" s="3">
        <v>244</v>
      </c>
      <c r="D15" s="3">
        <v>241</v>
      </c>
      <c r="E15" s="36">
        <f t="shared" si="0"/>
        <v>98.77049180327869</v>
      </c>
      <c r="F15" s="3">
        <v>16</v>
      </c>
      <c r="G15" s="3">
        <v>100</v>
      </c>
      <c r="H15" s="3">
        <v>100</v>
      </c>
      <c r="I15" s="36">
        <f t="shared" si="1"/>
        <v>100</v>
      </c>
      <c r="J15" s="3">
        <v>100</v>
      </c>
      <c r="K15" s="3">
        <v>100</v>
      </c>
      <c r="L15" s="36">
        <f t="shared" si="2"/>
        <v>100</v>
      </c>
      <c r="M15" s="3"/>
      <c r="N15" s="3"/>
      <c r="O15" s="36"/>
      <c r="P15" s="3"/>
      <c r="Q15" s="3"/>
      <c r="R15" s="36"/>
      <c r="S15" s="3"/>
      <c r="T15" s="3"/>
      <c r="U15" s="36"/>
      <c r="AH15" s="86"/>
    </row>
    <row r="16" spans="1:34" s="20" customFormat="1" ht="24.75" customHeight="1">
      <c r="A16" s="3">
        <v>11</v>
      </c>
      <c r="B16" s="22" t="s">
        <v>62</v>
      </c>
      <c r="C16" s="3">
        <v>95</v>
      </c>
      <c r="D16" s="3">
        <v>70</v>
      </c>
      <c r="E16" s="36">
        <f t="shared" si="0"/>
        <v>73.6842105263158</v>
      </c>
      <c r="F16" s="3"/>
      <c r="G16" s="3">
        <v>42</v>
      </c>
      <c r="H16" s="3">
        <v>42</v>
      </c>
      <c r="I16" s="36">
        <f t="shared" si="1"/>
        <v>100</v>
      </c>
      <c r="J16" s="3">
        <v>42</v>
      </c>
      <c r="K16" s="3">
        <v>42</v>
      </c>
      <c r="L16" s="36">
        <f t="shared" si="2"/>
        <v>100</v>
      </c>
      <c r="M16" s="3"/>
      <c r="N16" s="3"/>
      <c r="O16" s="36"/>
      <c r="P16" s="3"/>
      <c r="Q16" s="3"/>
      <c r="R16" s="36"/>
      <c r="S16" s="3"/>
      <c r="T16" s="3"/>
      <c r="U16" s="36"/>
      <c r="AH16" s="86"/>
    </row>
    <row r="17" spans="1:34" s="20" customFormat="1" ht="24.75" customHeight="1">
      <c r="A17" s="3">
        <v>12</v>
      </c>
      <c r="B17" s="22" t="s">
        <v>63</v>
      </c>
      <c r="C17" s="3"/>
      <c r="D17" s="3"/>
      <c r="E17" s="36"/>
      <c r="F17" s="3"/>
      <c r="G17" s="3"/>
      <c r="H17" s="3"/>
      <c r="I17" s="36"/>
      <c r="J17" s="3"/>
      <c r="K17" s="3"/>
      <c r="L17" s="36"/>
      <c r="M17" s="3">
        <v>8871</v>
      </c>
      <c r="N17" s="3">
        <v>9506</v>
      </c>
      <c r="O17" s="36">
        <f>N17*100/M17</f>
        <v>107.15815578852441</v>
      </c>
      <c r="P17" s="3">
        <v>240</v>
      </c>
      <c r="Q17" s="3">
        <v>240</v>
      </c>
      <c r="R17" s="36">
        <f>Q17*100/P17</f>
        <v>100</v>
      </c>
      <c r="S17" s="3">
        <v>473</v>
      </c>
      <c r="T17" s="3">
        <v>384</v>
      </c>
      <c r="U17" s="36">
        <f>T17*100/S17</f>
        <v>81.18393234672304</v>
      </c>
      <c r="AH17" s="86"/>
    </row>
    <row r="18" spans="1:34" s="20" customFormat="1" ht="24.75" customHeight="1">
      <c r="A18" s="3">
        <v>13</v>
      </c>
      <c r="B18" s="32" t="s">
        <v>71</v>
      </c>
      <c r="C18" s="3"/>
      <c r="D18" s="3"/>
      <c r="E18" s="36"/>
      <c r="F18" s="3"/>
      <c r="G18" s="3"/>
      <c r="H18" s="3"/>
      <c r="I18" s="36"/>
      <c r="J18" s="3"/>
      <c r="K18" s="3"/>
      <c r="L18" s="36"/>
      <c r="M18" s="3"/>
      <c r="N18" s="3"/>
      <c r="O18" s="36"/>
      <c r="P18" s="3"/>
      <c r="Q18" s="3"/>
      <c r="R18" s="36"/>
      <c r="S18" s="3"/>
      <c r="T18" s="3"/>
      <c r="U18" s="36"/>
      <c r="AH18" s="86"/>
    </row>
    <row r="19" spans="1:21" s="20" customFormat="1" ht="57" customHeight="1">
      <c r="A19" s="149" t="s">
        <v>103</v>
      </c>
      <c r="B19" s="150"/>
      <c r="C19" s="3">
        <f>SUM(C6:C18)</f>
        <v>3111</v>
      </c>
      <c r="D19" s="3">
        <f>SUM(D6:D18)</f>
        <v>2900</v>
      </c>
      <c r="E19" s="36">
        <f>D19*100/C19</f>
        <v>93.21761491481838</v>
      </c>
      <c r="F19" s="3">
        <f>SUM(F6:F18)</f>
        <v>121</v>
      </c>
      <c r="G19" s="3">
        <f>SUM(G6:G18)</f>
        <v>1298</v>
      </c>
      <c r="H19" s="3">
        <f>SUM(H6:H18)</f>
        <v>1273</v>
      </c>
      <c r="I19" s="36">
        <f>H19*100/G19</f>
        <v>98.07395993836671</v>
      </c>
      <c r="J19" s="3">
        <f>SUM(J6:J18)</f>
        <v>1298</v>
      </c>
      <c r="K19" s="3">
        <f>SUM(K6:K18)</f>
        <v>1273</v>
      </c>
      <c r="L19" s="36">
        <f t="shared" si="2"/>
        <v>98.07395993836671</v>
      </c>
      <c r="M19" s="3">
        <f>SUM(M9:M18)</f>
        <v>9729</v>
      </c>
      <c r="N19" s="3">
        <f>SUM(N9:N18)</f>
        <v>10173</v>
      </c>
      <c r="O19" s="36">
        <f>N19*100/M19</f>
        <v>104.56367560900401</v>
      </c>
      <c r="P19" s="3">
        <f>SUM(P9:P18)</f>
        <v>340</v>
      </c>
      <c r="Q19" s="3">
        <f>SUM(Q9:Q18)</f>
        <v>348</v>
      </c>
      <c r="R19" s="36">
        <f>Q19*100/P19</f>
        <v>102.3529411764706</v>
      </c>
      <c r="S19" s="3">
        <f>SUM(S9:S18)</f>
        <v>505</v>
      </c>
      <c r="T19" s="36">
        <f>SUM(T9:T18)</f>
        <v>430</v>
      </c>
      <c r="U19" s="36">
        <f>T19*100/S19</f>
        <v>85.14851485148515</v>
      </c>
    </row>
    <row r="20" spans="1:34" s="20" customFormat="1" ht="24.75" customHeight="1">
      <c r="A20" s="3">
        <v>1</v>
      </c>
      <c r="B20" s="32" t="s">
        <v>82</v>
      </c>
      <c r="C20" s="3"/>
      <c r="D20" s="3"/>
      <c r="E20" s="36"/>
      <c r="F20" s="3"/>
      <c r="G20" s="3"/>
      <c r="H20" s="3"/>
      <c r="I20" s="36"/>
      <c r="J20" s="3"/>
      <c r="K20" s="3"/>
      <c r="L20" s="36"/>
      <c r="M20" s="3">
        <v>103</v>
      </c>
      <c r="N20" s="3">
        <v>102</v>
      </c>
      <c r="O20" s="36">
        <f>N20*100/M20</f>
        <v>99.02912621359224</v>
      </c>
      <c r="P20" s="3">
        <v>10</v>
      </c>
      <c r="Q20" s="3">
        <v>10</v>
      </c>
      <c r="R20" s="36">
        <f>Q20*100/P20</f>
        <v>100</v>
      </c>
      <c r="S20" s="3">
        <v>2</v>
      </c>
      <c r="T20" s="3"/>
      <c r="U20" s="36">
        <f>T20*100/S20</f>
        <v>0</v>
      </c>
      <c r="AH20" s="86"/>
    </row>
    <row r="21" spans="1:34" s="20" customFormat="1" ht="24.75" customHeight="1">
      <c r="A21" s="3">
        <v>2</v>
      </c>
      <c r="B21" s="32" t="s">
        <v>88</v>
      </c>
      <c r="C21" s="3"/>
      <c r="D21" s="3"/>
      <c r="E21" s="36"/>
      <c r="F21" s="3"/>
      <c r="G21" s="3"/>
      <c r="H21" s="3"/>
      <c r="I21" s="36"/>
      <c r="J21" s="3"/>
      <c r="K21" s="3"/>
      <c r="L21" s="36"/>
      <c r="M21" s="3"/>
      <c r="N21" s="3"/>
      <c r="O21" s="36"/>
      <c r="P21" s="3"/>
      <c r="Q21" s="3"/>
      <c r="R21" s="36"/>
      <c r="S21" s="3"/>
      <c r="T21" s="3"/>
      <c r="U21" s="36"/>
      <c r="AH21" s="86"/>
    </row>
    <row r="22" spans="1:34" s="20" customFormat="1" ht="24.75" customHeight="1">
      <c r="A22" s="149" t="s">
        <v>90</v>
      </c>
      <c r="B22" s="150"/>
      <c r="C22" s="3"/>
      <c r="D22" s="3"/>
      <c r="E22" s="36"/>
      <c r="F22" s="3"/>
      <c r="G22" s="3"/>
      <c r="H22" s="3"/>
      <c r="I22" s="36"/>
      <c r="J22" s="3"/>
      <c r="K22" s="3"/>
      <c r="L22" s="36"/>
      <c r="M22" s="3">
        <f>SUM(M20:M21)</f>
        <v>103</v>
      </c>
      <c r="N22" s="3">
        <f>SUM(N20:N21)</f>
        <v>102</v>
      </c>
      <c r="O22" s="36">
        <f>N22*100/M22</f>
        <v>99.02912621359224</v>
      </c>
      <c r="P22" s="3">
        <f>SUM(P20:P21)</f>
        <v>10</v>
      </c>
      <c r="Q22" s="3">
        <f>SUM(Q20:Q21)</f>
        <v>10</v>
      </c>
      <c r="R22" s="36">
        <f>Q22*100/P22</f>
        <v>100</v>
      </c>
      <c r="S22" s="3">
        <f>SUM(S20:S21)</f>
        <v>2</v>
      </c>
      <c r="T22" s="3">
        <f>SUM(T20:T21)</f>
        <v>0</v>
      </c>
      <c r="U22" s="36">
        <f>T22*100/S22</f>
        <v>0</v>
      </c>
      <c r="AH22" s="86"/>
    </row>
    <row r="23" spans="1:34" s="20" customFormat="1" ht="36" customHeight="1">
      <c r="A23" s="151" t="s">
        <v>91</v>
      </c>
      <c r="B23" s="152"/>
      <c r="C23" s="3">
        <f>C19+C22</f>
        <v>3111</v>
      </c>
      <c r="D23" s="3">
        <f>D19+D22</f>
        <v>2900</v>
      </c>
      <c r="E23" s="36">
        <f>D23*100/C23</f>
        <v>93.21761491481838</v>
      </c>
      <c r="F23" s="3">
        <f>F19+F22</f>
        <v>121</v>
      </c>
      <c r="G23" s="3">
        <f>G19+G22</f>
        <v>1298</v>
      </c>
      <c r="H23" s="3">
        <f>H19+H22</f>
        <v>1273</v>
      </c>
      <c r="I23" s="36">
        <f>H23*100/G23</f>
        <v>98.07395993836671</v>
      </c>
      <c r="J23" s="3">
        <f>J19+J22</f>
        <v>1298</v>
      </c>
      <c r="K23" s="3">
        <f>K19+K22</f>
        <v>1273</v>
      </c>
      <c r="L23" s="36">
        <f t="shared" si="2"/>
        <v>98.07395993836671</v>
      </c>
      <c r="M23" s="3">
        <f>M19+M22</f>
        <v>9832</v>
      </c>
      <c r="N23" s="3">
        <f>N19+N22</f>
        <v>10275</v>
      </c>
      <c r="O23" s="36">
        <f>N23*100/M23</f>
        <v>104.50569568755085</v>
      </c>
      <c r="P23" s="3">
        <f>P19+P22</f>
        <v>350</v>
      </c>
      <c r="Q23" s="3">
        <f>Q19+Q22</f>
        <v>358</v>
      </c>
      <c r="R23" s="36">
        <f>Q23*100/P23</f>
        <v>102.28571428571429</v>
      </c>
      <c r="S23" s="3">
        <f>S19+S22</f>
        <v>507</v>
      </c>
      <c r="T23" s="3">
        <f>T19+T22</f>
        <v>430</v>
      </c>
      <c r="U23" s="36">
        <f>T23*100/S23</f>
        <v>84.81262327416174</v>
      </c>
      <c r="AH23" s="86"/>
    </row>
  </sheetData>
  <sheetProtection/>
  <mergeCells count="19">
    <mergeCell ref="A22:B22"/>
    <mergeCell ref="A23:B23"/>
    <mergeCell ref="U4:U5"/>
    <mergeCell ref="M4:M5"/>
    <mergeCell ref="B3:B5"/>
    <mergeCell ref="G4:G5"/>
    <mergeCell ref="H4:H5"/>
    <mergeCell ref="D4:D5"/>
    <mergeCell ref="C4:C5"/>
    <mergeCell ref="G3:I3"/>
    <mergeCell ref="F3:F5"/>
    <mergeCell ref="C3:E3"/>
    <mergeCell ref="A19:B19"/>
    <mergeCell ref="J3:L3"/>
    <mergeCell ref="J4:J5"/>
    <mergeCell ref="K4:K5"/>
    <mergeCell ref="M3:U3"/>
    <mergeCell ref="N4:N5"/>
    <mergeCell ref="R4:R5"/>
  </mergeCells>
  <printOptions/>
  <pageMargins left="0.75" right="0.75" top="1" bottom="1" header="0.5" footer="0.5"/>
  <pageSetup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26"/>
  <sheetViews>
    <sheetView view="pageBreakPreview" zoomScale="75" zoomScaleNormal="75" zoomScaleSheetLayoutView="75" zoomScalePageLayoutView="0" workbookViewId="0" topLeftCell="A1">
      <selection activeCell="L11" sqref="L11"/>
    </sheetView>
  </sheetViews>
  <sheetFormatPr defaultColWidth="9.00390625" defaultRowHeight="12.75"/>
  <cols>
    <col min="1" max="1" width="4.00390625" style="0" customWidth="1"/>
    <col min="2" max="2" width="32.00390625" style="0" customWidth="1"/>
    <col min="3" max="4" width="9.75390625" style="0" customWidth="1"/>
    <col min="5" max="5" width="11.125" style="0" customWidth="1"/>
    <col min="6" max="8" width="9.75390625" style="0" customWidth="1"/>
    <col min="9" max="9" width="9.625" style="0" customWidth="1"/>
    <col min="10" max="10" width="10.75390625" style="0" customWidth="1"/>
    <col min="11" max="11" width="10.125" style="0" customWidth="1"/>
    <col min="12" max="12" width="12.125" style="0" customWidth="1"/>
    <col min="13" max="13" width="9.375" style="0" customWidth="1"/>
    <col min="14" max="14" width="9.625" style="0" customWidth="1"/>
  </cols>
  <sheetData>
    <row r="2" spans="1:14" ht="15.75">
      <c r="A2" s="20"/>
      <c r="B2" s="20"/>
      <c r="C2" s="20"/>
      <c r="D2" s="1" t="s">
        <v>115</v>
      </c>
      <c r="E2" s="1"/>
      <c r="F2" s="1"/>
      <c r="G2" s="1"/>
      <c r="H2" s="1"/>
      <c r="I2" s="1"/>
      <c r="J2" s="1"/>
      <c r="K2" s="1"/>
      <c r="L2" s="20"/>
      <c r="M2" s="20"/>
      <c r="N2" s="20"/>
    </row>
    <row r="3" spans="1:14" ht="15">
      <c r="A3" s="183" t="s">
        <v>106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</row>
    <row r="4" spans="1:14" ht="12.75">
      <c r="A4" s="141" t="s">
        <v>2</v>
      </c>
      <c r="B4" s="143" t="s">
        <v>3</v>
      </c>
      <c r="C4" s="147" t="s">
        <v>79</v>
      </c>
      <c r="D4" s="176"/>
      <c r="E4" s="172"/>
      <c r="F4" s="170" t="s">
        <v>64</v>
      </c>
      <c r="G4" s="184"/>
      <c r="H4" s="170" t="s">
        <v>78</v>
      </c>
      <c r="I4" s="171"/>
      <c r="J4" s="172"/>
      <c r="K4" s="170" t="s">
        <v>76</v>
      </c>
      <c r="L4" s="184"/>
      <c r="M4" s="170" t="s">
        <v>77</v>
      </c>
      <c r="N4" s="184"/>
    </row>
    <row r="5" spans="1:14" ht="31.5" customHeight="1">
      <c r="A5" s="169"/>
      <c r="B5" s="144"/>
      <c r="C5" s="177"/>
      <c r="D5" s="178"/>
      <c r="E5" s="179"/>
      <c r="F5" s="173"/>
      <c r="G5" s="185"/>
      <c r="H5" s="173"/>
      <c r="I5" s="174"/>
      <c r="J5" s="175"/>
      <c r="K5" s="173"/>
      <c r="L5" s="185"/>
      <c r="M5" s="173"/>
      <c r="N5" s="185"/>
    </row>
    <row r="6" spans="1:14" ht="30">
      <c r="A6" s="142"/>
      <c r="B6" s="145"/>
      <c r="C6" s="3">
        <v>2011</v>
      </c>
      <c r="D6" s="19">
        <v>2012</v>
      </c>
      <c r="E6" s="96" t="s">
        <v>109</v>
      </c>
      <c r="F6" s="3">
        <v>2011</v>
      </c>
      <c r="G6" s="19">
        <v>2012</v>
      </c>
      <c r="H6" s="3">
        <v>2011</v>
      </c>
      <c r="I6" s="19">
        <v>2012</v>
      </c>
      <c r="J6" s="96" t="s">
        <v>109</v>
      </c>
      <c r="K6" s="22" t="s">
        <v>1</v>
      </c>
      <c r="L6" s="24" t="s">
        <v>32</v>
      </c>
      <c r="M6" s="38" t="s">
        <v>44</v>
      </c>
      <c r="N6" s="51" t="s">
        <v>45</v>
      </c>
    </row>
    <row r="7" spans="1:14" ht="16.5" customHeight="1">
      <c r="A7" s="31">
        <v>1</v>
      </c>
      <c r="B7" s="22" t="s">
        <v>58</v>
      </c>
      <c r="C7" s="31"/>
      <c r="D7" s="31">
        <v>94</v>
      </c>
      <c r="E7" s="31">
        <f aca="true" t="shared" si="0" ref="E7:E13">D7-C7</f>
        <v>94</v>
      </c>
      <c r="F7" s="31"/>
      <c r="G7" s="31">
        <v>94</v>
      </c>
      <c r="H7" s="75">
        <f>F7*100/20</f>
        <v>0</v>
      </c>
      <c r="I7" s="75">
        <f>G7*100/28</f>
        <v>335.7142857142857</v>
      </c>
      <c r="J7" s="74">
        <f aca="true" t="shared" si="1" ref="J7:J13">I7-H7</f>
        <v>335.7142857142857</v>
      </c>
      <c r="K7" s="31">
        <v>11</v>
      </c>
      <c r="L7" s="31">
        <v>11</v>
      </c>
      <c r="M7" s="94">
        <f aca="true" t="shared" si="2" ref="M7:M13">G7/L7</f>
        <v>8.545454545454545</v>
      </c>
      <c r="N7" s="94"/>
    </row>
    <row r="8" spans="1:15" ht="16.5" customHeight="1">
      <c r="A8" s="31">
        <v>2</v>
      </c>
      <c r="B8" s="31" t="s">
        <v>59</v>
      </c>
      <c r="C8" s="31">
        <v>60</v>
      </c>
      <c r="D8" s="31">
        <v>51</v>
      </c>
      <c r="E8" s="31">
        <f t="shared" si="0"/>
        <v>-9</v>
      </c>
      <c r="F8" s="31">
        <v>60</v>
      </c>
      <c r="G8" s="31">
        <v>51</v>
      </c>
      <c r="H8" s="75">
        <f>F8*100/80</f>
        <v>75</v>
      </c>
      <c r="I8" s="75">
        <f>G8*100/80</f>
        <v>63.75</v>
      </c>
      <c r="J8" s="74">
        <f t="shared" si="1"/>
        <v>-11.25</v>
      </c>
      <c r="K8" s="32">
        <v>9</v>
      </c>
      <c r="L8" s="32">
        <v>9</v>
      </c>
      <c r="M8" s="94">
        <f t="shared" si="2"/>
        <v>5.666666666666667</v>
      </c>
      <c r="N8" s="94"/>
      <c r="O8" s="15"/>
    </row>
    <row r="9" spans="1:14" ht="16.5" customHeight="1">
      <c r="A9" s="31">
        <v>3</v>
      </c>
      <c r="B9" s="32" t="s">
        <v>63</v>
      </c>
      <c r="C9" s="31">
        <v>1433</v>
      </c>
      <c r="D9" s="31">
        <v>1530</v>
      </c>
      <c r="E9" s="31">
        <f t="shared" si="0"/>
        <v>97</v>
      </c>
      <c r="F9" s="31">
        <v>892</v>
      </c>
      <c r="G9" s="31">
        <v>950</v>
      </c>
      <c r="H9" s="75">
        <f>F9*100/226</f>
        <v>394.69026548672565</v>
      </c>
      <c r="I9" s="75">
        <f>G9*100/240</f>
        <v>395.8333333333333</v>
      </c>
      <c r="J9" s="74">
        <f t="shared" si="1"/>
        <v>1.1430678466076643</v>
      </c>
      <c r="K9" s="32">
        <v>177</v>
      </c>
      <c r="L9" s="32">
        <v>101</v>
      </c>
      <c r="M9" s="118">
        <f t="shared" si="2"/>
        <v>9.405940594059405</v>
      </c>
      <c r="N9" s="118">
        <f>(D9-G9)/(K9-L9)</f>
        <v>7.631578947368421</v>
      </c>
    </row>
    <row r="10" spans="1:14" ht="42.75" customHeight="1">
      <c r="A10" s="181" t="s">
        <v>101</v>
      </c>
      <c r="B10" s="182"/>
      <c r="C10" s="31">
        <f>SUM(C7:C9)</f>
        <v>1493</v>
      </c>
      <c r="D10" s="31">
        <f>SUM(D7:D9)</f>
        <v>1675</v>
      </c>
      <c r="E10" s="31">
        <f t="shared" si="0"/>
        <v>182</v>
      </c>
      <c r="F10" s="31">
        <f>SUM(F7:F9)</f>
        <v>952</v>
      </c>
      <c r="G10" s="31">
        <f>SUM(G7:G9)</f>
        <v>1095</v>
      </c>
      <c r="H10" s="75">
        <f>F10*100/326</f>
        <v>292.02453987730064</v>
      </c>
      <c r="I10" s="75">
        <f>G10*100/348</f>
        <v>314.6551724137931</v>
      </c>
      <c r="J10" s="74">
        <f t="shared" si="1"/>
        <v>22.630632536492442</v>
      </c>
      <c r="K10" s="74">
        <f>SUM(K7:K9)</f>
        <v>197</v>
      </c>
      <c r="L10" s="74">
        <f>SUM(L7:L9)</f>
        <v>121</v>
      </c>
      <c r="M10" s="94">
        <f t="shared" si="2"/>
        <v>9.049586776859504</v>
      </c>
      <c r="N10" s="94">
        <f>(D10-G10)/(K10-L10)</f>
        <v>7.631578947368421</v>
      </c>
    </row>
    <row r="11" spans="1:14" ht="15">
      <c r="A11" s="31">
        <v>1</v>
      </c>
      <c r="B11" s="32" t="s">
        <v>82</v>
      </c>
      <c r="C11" s="31">
        <v>8</v>
      </c>
      <c r="D11" s="31">
        <v>8</v>
      </c>
      <c r="E11" s="31">
        <f t="shared" si="0"/>
        <v>0</v>
      </c>
      <c r="F11" s="31">
        <v>8</v>
      </c>
      <c r="G11" s="31">
        <v>8</v>
      </c>
      <c r="H11" s="75">
        <f>F11*100/11</f>
        <v>72.72727272727273</v>
      </c>
      <c r="I11" s="75">
        <f>G11*100/10</f>
        <v>80</v>
      </c>
      <c r="J11" s="74">
        <f t="shared" si="1"/>
        <v>7.272727272727266</v>
      </c>
      <c r="K11" s="74">
        <v>1</v>
      </c>
      <c r="L11" s="74">
        <v>1</v>
      </c>
      <c r="M11" s="94">
        <f t="shared" si="2"/>
        <v>8</v>
      </c>
      <c r="N11" s="94"/>
    </row>
    <row r="12" spans="1:14" ht="25.5" customHeight="1">
      <c r="A12" s="149" t="s">
        <v>90</v>
      </c>
      <c r="B12" s="150"/>
      <c r="C12" s="31">
        <f>SUM(C11)</f>
        <v>8</v>
      </c>
      <c r="D12" s="31">
        <f>SUM(D11)</f>
        <v>8</v>
      </c>
      <c r="E12" s="31">
        <f t="shared" si="0"/>
        <v>0</v>
      </c>
      <c r="F12" s="31">
        <f>SUM(F11)</f>
        <v>8</v>
      </c>
      <c r="G12" s="31">
        <f>SUM(G11)</f>
        <v>8</v>
      </c>
      <c r="H12" s="75">
        <f>F12*100/11</f>
        <v>72.72727272727273</v>
      </c>
      <c r="I12" s="75">
        <f>G12*100/10</f>
        <v>80</v>
      </c>
      <c r="J12" s="74">
        <f t="shared" si="1"/>
        <v>7.272727272727266</v>
      </c>
      <c r="K12" s="31">
        <f>SUM(K11)</f>
        <v>1</v>
      </c>
      <c r="L12" s="31">
        <f>SUM(L11)</f>
        <v>1</v>
      </c>
      <c r="M12" s="94">
        <f t="shared" si="2"/>
        <v>8</v>
      </c>
      <c r="N12" s="94"/>
    </row>
    <row r="13" spans="1:14" ht="28.5" customHeight="1">
      <c r="A13" s="180" t="s">
        <v>91</v>
      </c>
      <c r="B13" s="180"/>
      <c r="C13" s="31">
        <f>C10+C12</f>
        <v>1501</v>
      </c>
      <c r="D13" s="31">
        <f>SUM(D10:D11)</f>
        <v>1683</v>
      </c>
      <c r="E13" s="31">
        <f t="shared" si="0"/>
        <v>182</v>
      </c>
      <c r="F13" s="31">
        <f>F10+F12</f>
        <v>960</v>
      </c>
      <c r="G13" s="31">
        <f>SUM(G10:G11)</f>
        <v>1103</v>
      </c>
      <c r="H13" s="75">
        <f>F13*100/337</f>
        <v>284.86646884272994</v>
      </c>
      <c r="I13" s="75">
        <f>G13*100/358</f>
        <v>308.1005586592179</v>
      </c>
      <c r="J13" s="74">
        <f t="shared" si="1"/>
        <v>23.234089816487938</v>
      </c>
      <c r="K13" s="31">
        <f>K10+K12</f>
        <v>198</v>
      </c>
      <c r="L13" s="31">
        <f>SUM(L10:L11)</f>
        <v>122</v>
      </c>
      <c r="M13" s="94">
        <f t="shared" si="2"/>
        <v>9.040983606557377</v>
      </c>
      <c r="N13" s="94">
        <f>(D13-G13)/(K13-L13)</f>
        <v>7.631578947368421</v>
      </c>
    </row>
    <row r="15" spans="2:17" ht="12.75"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</row>
    <row r="16" spans="2:17" ht="15">
      <c r="B16" s="72"/>
      <c r="C16" s="113"/>
      <c r="D16" s="113"/>
      <c r="E16" s="113"/>
      <c r="F16" s="113"/>
      <c r="G16" s="113"/>
      <c r="H16" s="114"/>
      <c r="I16" s="115"/>
      <c r="J16" s="114"/>
      <c r="K16" s="113"/>
      <c r="L16" s="113"/>
      <c r="M16" s="116"/>
      <c r="N16" s="116"/>
      <c r="O16" s="72"/>
      <c r="P16" s="72"/>
      <c r="Q16" s="72"/>
    </row>
    <row r="17" spans="2:17" ht="15">
      <c r="B17" s="72"/>
      <c r="C17" s="113"/>
      <c r="D17" s="113"/>
      <c r="E17" s="113"/>
      <c r="F17" s="113"/>
      <c r="G17" s="113"/>
      <c r="H17" s="115"/>
      <c r="I17" s="115"/>
      <c r="J17" s="114"/>
      <c r="K17" s="117"/>
      <c r="L17" s="117"/>
      <c r="M17" s="116"/>
      <c r="N17" s="116"/>
      <c r="O17" s="72"/>
      <c r="P17" s="72"/>
      <c r="Q17" s="72"/>
    </row>
    <row r="18" spans="2:17" ht="15">
      <c r="B18" s="72"/>
      <c r="C18" s="113"/>
      <c r="D18" s="113"/>
      <c r="E18" s="113"/>
      <c r="F18" s="113"/>
      <c r="G18" s="113"/>
      <c r="H18" s="114"/>
      <c r="I18" s="115"/>
      <c r="J18" s="114"/>
      <c r="K18" s="117"/>
      <c r="L18" s="117"/>
      <c r="M18" s="116"/>
      <c r="N18" s="116"/>
      <c r="O18" s="72"/>
      <c r="P18" s="72"/>
      <c r="Q18" s="72"/>
    </row>
    <row r="19" spans="2:17" ht="15">
      <c r="B19" s="72"/>
      <c r="C19" s="113"/>
      <c r="D19" s="113"/>
      <c r="E19" s="113"/>
      <c r="F19" s="113"/>
      <c r="G19" s="113"/>
      <c r="H19" s="114"/>
      <c r="I19" s="115"/>
      <c r="J19" s="114"/>
      <c r="K19" s="117"/>
      <c r="L19" s="117"/>
      <c r="M19" s="116"/>
      <c r="N19" s="116"/>
      <c r="O19" s="72"/>
      <c r="P19" s="72"/>
      <c r="Q19" s="72"/>
    </row>
    <row r="20" spans="2:17" ht="15">
      <c r="B20" s="72"/>
      <c r="C20" s="113"/>
      <c r="D20" s="113"/>
      <c r="E20" s="113"/>
      <c r="F20" s="113"/>
      <c r="G20" s="113"/>
      <c r="H20" s="114"/>
      <c r="I20" s="115"/>
      <c r="J20" s="114"/>
      <c r="K20" s="117"/>
      <c r="L20" s="117"/>
      <c r="M20" s="116"/>
      <c r="N20" s="116"/>
      <c r="O20" s="72"/>
      <c r="P20" s="72"/>
      <c r="Q20" s="72"/>
    </row>
    <row r="21" spans="2:17" ht="15">
      <c r="B21" s="72"/>
      <c r="C21" s="113"/>
      <c r="D21" s="113"/>
      <c r="E21" s="113"/>
      <c r="F21" s="113"/>
      <c r="G21" s="113"/>
      <c r="H21" s="114"/>
      <c r="I21" s="115"/>
      <c r="J21" s="114"/>
      <c r="K21" s="115"/>
      <c r="L21" s="115"/>
      <c r="M21" s="116"/>
      <c r="N21" s="116"/>
      <c r="O21" s="72"/>
      <c r="P21" s="72"/>
      <c r="Q21" s="72"/>
    </row>
    <row r="22" spans="2:17" ht="15">
      <c r="B22" s="72"/>
      <c r="C22" s="113"/>
      <c r="D22" s="113"/>
      <c r="E22" s="113"/>
      <c r="F22" s="113"/>
      <c r="G22" s="113"/>
      <c r="H22" s="114"/>
      <c r="I22" s="115"/>
      <c r="J22" s="114"/>
      <c r="K22" s="117"/>
      <c r="L22" s="117"/>
      <c r="M22" s="116"/>
      <c r="N22" s="116"/>
      <c r="O22" s="72"/>
      <c r="P22" s="72"/>
      <c r="Q22" s="72"/>
    </row>
    <row r="23" spans="2:17" ht="15">
      <c r="B23" s="72"/>
      <c r="C23" s="113"/>
      <c r="D23" s="113"/>
      <c r="E23" s="113"/>
      <c r="F23" s="113"/>
      <c r="G23" s="113"/>
      <c r="H23" s="115"/>
      <c r="I23" s="115"/>
      <c r="J23" s="114"/>
      <c r="K23" s="117"/>
      <c r="L23" s="117"/>
      <c r="M23" s="116"/>
      <c r="N23" s="116"/>
      <c r="O23" s="72"/>
      <c r="P23" s="72"/>
      <c r="Q23" s="72"/>
    </row>
    <row r="24" spans="2:17" ht="12.75"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</row>
    <row r="25" spans="2:17" ht="12.75"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</row>
    <row r="26" spans="2:17" ht="12.75"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</row>
  </sheetData>
  <sheetProtection/>
  <mergeCells count="11">
    <mergeCell ref="A3:N3"/>
    <mergeCell ref="F4:G5"/>
    <mergeCell ref="K4:L5"/>
    <mergeCell ref="M4:N5"/>
    <mergeCell ref="B4:B6"/>
    <mergeCell ref="A4:A6"/>
    <mergeCell ref="H4:J5"/>
    <mergeCell ref="C4:E5"/>
    <mergeCell ref="A12:B12"/>
    <mergeCell ref="A13:B13"/>
    <mergeCell ref="A10:B10"/>
  </mergeCells>
  <printOptions/>
  <pageMargins left="0.75" right="0.75" top="1" bottom="1" header="0.5" footer="0.5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"/>
  <sheetViews>
    <sheetView view="pageBreakPreview" zoomScale="65" zoomScaleNormal="75" zoomScaleSheetLayoutView="65" zoomScalePageLayoutView="0" workbookViewId="0" topLeftCell="A1">
      <selection activeCell="J16" sqref="J16"/>
    </sheetView>
  </sheetViews>
  <sheetFormatPr defaultColWidth="9.00390625" defaultRowHeight="12.75"/>
  <cols>
    <col min="1" max="1" width="4.125" style="0" customWidth="1"/>
    <col min="2" max="2" width="32.875" style="0" customWidth="1"/>
    <col min="3" max="3" width="10.625" style="0" customWidth="1"/>
    <col min="4" max="4" width="10.25390625" style="0" customWidth="1"/>
    <col min="5" max="5" width="12.125" style="0" customWidth="1"/>
    <col min="6" max="6" width="9.00390625" style="0" customWidth="1"/>
    <col min="7" max="7" width="10.125" style="0" customWidth="1"/>
    <col min="8" max="8" width="11.75390625" style="0" customWidth="1"/>
    <col min="9" max="9" width="10.125" style="0" customWidth="1"/>
    <col min="10" max="10" width="9.375" style="0" customWidth="1"/>
    <col min="11" max="11" width="11.375" style="0" customWidth="1"/>
    <col min="12" max="12" width="9.00390625" style="0" customWidth="1"/>
    <col min="13" max="13" width="10.00390625" style="0" customWidth="1"/>
    <col min="14" max="14" width="13.125" style="0" customWidth="1"/>
  </cols>
  <sheetData>
    <row r="1" spans="1:14" ht="15.75" customHeight="1">
      <c r="A1" s="20"/>
      <c r="B1" s="20"/>
      <c r="C1" s="126" t="s">
        <v>114</v>
      </c>
      <c r="D1" s="126"/>
      <c r="E1" s="126"/>
      <c r="F1" s="126"/>
      <c r="G1" s="126"/>
      <c r="H1" s="126"/>
      <c r="I1" s="126"/>
      <c r="J1" s="126"/>
      <c r="K1" s="126"/>
      <c r="L1" s="20"/>
      <c r="M1" s="20"/>
      <c r="N1" s="20"/>
    </row>
    <row r="2" spans="1:14" ht="15">
      <c r="A2" s="141" t="s">
        <v>2</v>
      </c>
      <c r="B2" s="141" t="s">
        <v>3</v>
      </c>
      <c r="C2" s="24" t="s">
        <v>34</v>
      </c>
      <c r="D2" s="25"/>
      <c r="E2" s="27"/>
      <c r="F2" s="49" t="s">
        <v>35</v>
      </c>
      <c r="G2" s="25"/>
      <c r="H2" s="27"/>
      <c r="I2" s="24" t="s">
        <v>36</v>
      </c>
      <c r="J2" s="25"/>
      <c r="K2" s="27"/>
      <c r="L2" s="24" t="s">
        <v>37</v>
      </c>
      <c r="M2" s="25"/>
      <c r="N2" s="27"/>
    </row>
    <row r="3" spans="1:14" ht="15">
      <c r="A3" s="169"/>
      <c r="B3" s="169"/>
      <c r="C3" s="18">
        <v>2011</v>
      </c>
      <c r="D3" s="19">
        <v>2012</v>
      </c>
      <c r="E3" s="9" t="s">
        <v>33</v>
      </c>
      <c r="F3" s="18">
        <v>2011</v>
      </c>
      <c r="G3" s="19">
        <v>2012</v>
      </c>
      <c r="H3" s="9" t="s">
        <v>33</v>
      </c>
      <c r="I3" s="18">
        <v>2011</v>
      </c>
      <c r="J3" s="19">
        <v>2012</v>
      </c>
      <c r="K3" s="9" t="s">
        <v>33</v>
      </c>
      <c r="L3" s="18">
        <v>2011</v>
      </c>
      <c r="M3" s="19">
        <v>2012</v>
      </c>
      <c r="N3" s="9" t="s">
        <v>33</v>
      </c>
    </row>
    <row r="4" spans="1:14" ht="15">
      <c r="A4" s="142"/>
      <c r="B4" s="142"/>
      <c r="C4" s="29"/>
      <c r="D4" s="29"/>
      <c r="E4" s="45" t="s">
        <v>105</v>
      </c>
      <c r="F4" s="29"/>
      <c r="G4" s="29"/>
      <c r="H4" s="45" t="s">
        <v>107</v>
      </c>
      <c r="I4" s="29"/>
      <c r="J4" s="29"/>
      <c r="K4" s="45" t="s">
        <v>105</v>
      </c>
      <c r="L4" s="29"/>
      <c r="M4" s="29"/>
      <c r="N4" s="45" t="s">
        <v>105</v>
      </c>
    </row>
    <row r="5" spans="1:14" ht="16.5" customHeight="1">
      <c r="A5" s="31">
        <v>1</v>
      </c>
      <c r="B5" s="31" t="s">
        <v>55</v>
      </c>
      <c r="C5" s="12">
        <v>31</v>
      </c>
      <c r="D5" s="12">
        <v>39</v>
      </c>
      <c r="E5" s="16">
        <f aca="true" t="shared" si="0" ref="E5:E15">D5-C5</f>
        <v>8</v>
      </c>
      <c r="F5" s="12">
        <v>3</v>
      </c>
      <c r="G5" s="12">
        <v>7</v>
      </c>
      <c r="H5" s="16">
        <f aca="true" t="shared" si="1" ref="H5:H15">G5-F5</f>
        <v>4</v>
      </c>
      <c r="I5" s="12"/>
      <c r="J5" s="12"/>
      <c r="K5" s="12"/>
      <c r="L5" s="12"/>
      <c r="M5" s="12"/>
      <c r="N5" s="12"/>
    </row>
    <row r="6" spans="1:14" ht="16.5" customHeight="1">
      <c r="A6" s="31">
        <v>2</v>
      </c>
      <c r="B6" s="31" t="s">
        <v>56</v>
      </c>
      <c r="C6" s="12">
        <v>22</v>
      </c>
      <c r="D6" s="12">
        <v>9</v>
      </c>
      <c r="E6" s="16">
        <f t="shared" si="0"/>
        <v>-13</v>
      </c>
      <c r="F6" s="12">
        <v>9</v>
      </c>
      <c r="G6" s="12"/>
      <c r="H6" s="16">
        <f t="shared" si="1"/>
        <v>-9</v>
      </c>
      <c r="I6" s="12"/>
      <c r="J6" s="12"/>
      <c r="K6" s="12"/>
      <c r="L6" s="12"/>
      <c r="M6" s="12"/>
      <c r="N6" s="12"/>
    </row>
    <row r="7" spans="1:14" ht="16.5" customHeight="1">
      <c r="A7" s="31">
        <v>3</v>
      </c>
      <c r="B7" s="31" t="s">
        <v>57</v>
      </c>
      <c r="C7" s="12">
        <v>9</v>
      </c>
      <c r="D7" s="12">
        <v>19</v>
      </c>
      <c r="E7" s="16">
        <f t="shared" si="0"/>
        <v>10</v>
      </c>
      <c r="F7" s="12"/>
      <c r="G7" s="12"/>
      <c r="H7" s="16">
        <f t="shared" si="1"/>
        <v>0</v>
      </c>
      <c r="I7" s="12"/>
      <c r="J7" s="12"/>
      <c r="K7" s="12"/>
      <c r="L7" s="12"/>
      <c r="M7" s="12"/>
      <c r="N7" s="12"/>
    </row>
    <row r="8" spans="1:14" ht="16.5" customHeight="1">
      <c r="A8" s="31">
        <v>4</v>
      </c>
      <c r="B8" s="22" t="s">
        <v>58</v>
      </c>
      <c r="C8" s="12">
        <v>57</v>
      </c>
      <c r="D8" s="12">
        <v>81</v>
      </c>
      <c r="E8" s="16">
        <f t="shared" si="0"/>
        <v>24</v>
      </c>
      <c r="F8" s="12"/>
      <c r="G8" s="12"/>
      <c r="H8" s="16">
        <f t="shared" si="1"/>
        <v>0</v>
      </c>
      <c r="I8" s="16">
        <v>20</v>
      </c>
      <c r="J8" s="16">
        <v>21</v>
      </c>
      <c r="K8" s="12">
        <f>J8-I8</f>
        <v>1</v>
      </c>
      <c r="L8" s="12">
        <v>5</v>
      </c>
      <c r="M8" s="12">
        <v>15</v>
      </c>
      <c r="N8" s="12">
        <f>M8-L8</f>
        <v>10</v>
      </c>
    </row>
    <row r="9" spans="1:14" ht="16.5" customHeight="1">
      <c r="A9" s="31">
        <v>5</v>
      </c>
      <c r="B9" s="31" t="s">
        <v>59</v>
      </c>
      <c r="C9" s="12">
        <v>35</v>
      </c>
      <c r="D9" s="12">
        <v>15</v>
      </c>
      <c r="E9" s="16">
        <f t="shared" si="0"/>
        <v>-20</v>
      </c>
      <c r="F9" s="12"/>
      <c r="G9" s="12"/>
      <c r="H9" s="16">
        <f t="shared" si="1"/>
        <v>0</v>
      </c>
      <c r="I9" s="12">
        <v>30</v>
      </c>
      <c r="J9" s="12">
        <v>24</v>
      </c>
      <c r="K9" s="12">
        <f>J9-I9</f>
        <v>-6</v>
      </c>
      <c r="L9" s="12"/>
      <c r="M9" s="16">
        <v>7</v>
      </c>
      <c r="N9" s="12">
        <f>M9-L9</f>
        <v>7</v>
      </c>
    </row>
    <row r="10" spans="1:14" ht="16.5" customHeight="1">
      <c r="A10" s="31">
        <v>6</v>
      </c>
      <c r="B10" s="32" t="s">
        <v>73</v>
      </c>
      <c r="C10" s="12">
        <v>11</v>
      </c>
      <c r="D10" s="12">
        <v>5</v>
      </c>
      <c r="E10" s="16">
        <f t="shared" si="0"/>
        <v>-6</v>
      </c>
      <c r="F10" s="12"/>
      <c r="G10" s="12"/>
      <c r="H10" s="16">
        <f t="shared" si="1"/>
        <v>0</v>
      </c>
      <c r="I10" s="12"/>
      <c r="J10" s="12"/>
      <c r="K10" s="12"/>
      <c r="L10" s="12"/>
      <c r="M10" s="12"/>
      <c r="N10" s="12"/>
    </row>
    <row r="11" spans="1:14" ht="16.5" customHeight="1">
      <c r="A11" s="31">
        <v>7</v>
      </c>
      <c r="B11" s="32" t="s">
        <v>60</v>
      </c>
      <c r="C11" s="12">
        <v>8</v>
      </c>
      <c r="D11" s="12"/>
      <c r="E11" s="16">
        <f t="shared" si="0"/>
        <v>-8</v>
      </c>
      <c r="F11" s="12"/>
      <c r="G11" s="12"/>
      <c r="H11" s="16">
        <f t="shared" si="1"/>
        <v>0</v>
      </c>
      <c r="I11" s="12"/>
      <c r="J11" s="12"/>
      <c r="K11" s="12"/>
      <c r="L11" s="12"/>
      <c r="M11" s="12"/>
      <c r="N11" s="12"/>
    </row>
    <row r="12" spans="1:14" ht="16.5" customHeight="1">
      <c r="A12" s="31">
        <v>8</v>
      </c>
      <c r="B12" s="32" t="s">
        <v>87</v>
      </c>
      <c r="C12" s="12"/>
      <c r="D12" s="12">
        <v>16</v>
      </c>
      <c r="E12" s="16">
        <f t="shared" si="0"/>
        <v>16</v>
      </c>
      <c r="F12" s="12"/>
      <c r="G12" s="12">
        <v>4</v>
      </c>
      <c r="H12" s="16"/>
      <c r="I12" s="12"/>
      <c r="J12" s="12"/>
      <c r="K12" s="12"/>
      <c r="L12" s="12"/>
      <c r="M12" s="12"/>
      <c r="N12" s="12"/>
    </row>
    <row r="13" spans="1:14" ht="16.5" customHeight="1">
      <c r="A13" s="31">
        <v>9</v>
      </c>
      <c r="B13" s="32" t="s">
        <v>72</v>
      </c>
      <c r="C13" s="12">
        <v>20</v>
      </c>
      <c r="D13" s="12">
        <v>61</v>
      </c>
      <c r="E13" s="16">
        <f t="shared" si="0"/>
        <v>41</v>
      </c>
      <c r="F13" s="12">
        <v>3</v>
      </c>
      <c r="G13" s="12">
        <v>20</v>
      </c>
      <c r="H13" s="16">
        <f t="shared" si="1"/>
        <v>17</v>
      </c>
      <c r="I13" s="12"/>
      <c r="J13" s="12"/>
      <c r="K13" s="12"/>
      <c r="L13" s="12"/>
      <c r="M13" s="12"/>
      <c r="N13" s="12"/>
    </row>
    <row r="14" spans="1:14" ht="16.5" customHeight="1">
      <c r="A14" s="31">
        <v>10</v>
      </c>
      <c r="B14" s="32" t="s">
        <v>61</v>
      </c>
      <c r="C14" s="12">
        <v>15</v>
      </c>
      <c r="D14" s="12">
        <v>11</v>
      </c>
      <c r="E14" s="16">
        <f t="shared" si="0"/>
        <v>-4</v>
      </c>
      <c r="F14" s="12">
        <v>5</v>
      </c>
      <c r="G14" s="12"/>
      <c r="H14" s="16">
        <f t="shared" si="1"/>
        <v>-5</v>
      </c>
      <c r="I14" s="12"/>
      <c r="J14" s="12"/>
      <c r="K14" s="12"/>
      <c r="L14" s="12"/>
      <c r="M14" s="12"/>
      <c r="N14" s="12"/>
    </row>
    <row r="15" spans="1:14" ht="16.5" customHeight="1">
      <c r="A15" s="31">
        <v>11</v>
      </c>
      <c r="B15" s="32" t="s">
        <v>62</v>
      </c>
      <c r="C15" s="12">
        <v>1</v>
      </c>
      <c r="D15" s="12">
        <v>5</v>
      </c>
      <c r="E15" s="16">
        <f t="shared" si="0"/>
        <v>4</v>
      </c>
      <c r="F15" s="12"/>
      <c r="G15" s="12"/>
      <c r="H15" s="16">
        <f t="shared" si="1"/>
        <v>0</v>
      </c>
      <c r="I15" s="12"/>
      <c r="J15" s="12"/>
      <c r="K15" s="12"/>
      <c r="L15" s="12"/>
      <c r="M15" s="12"/>
      <c r="N15" s="12"/>
    </row>
    <row r="16" spans="1:14" ht="16.5" customHeight="1">
      <c r="A16" s="31">
        <v>12</v>
      </c>
      <c r="B16" s="32" t="s">
        <v>63</v>
      </c>
      <c r="C16" s="16"/>
      <c r="D16" s="16"/>
      <c r="E16" s="16"/>
      <c r="F16" s="16"/>
      <c r="G16" s="16"/>
      <c r="H16" s="16"/>
      <c r="I16" s="12">
        <v>360</v>
      </c>
      <c r="J16" s="12">
        <v>312</v>
      </c>
      <c r="K16" s="12">
        <f>J16-I16</f>
        <v>-48</v>
      </c>
      <c r="L16" s="12">
        <v>120</v>
      </c>
      <c r="M16" s="12">
        <v>147</v>
      </c>
      <c r="N16" s="12">
        <f>M16-L16</f>
        <v>27</v>
      </c>
    </row>
    <row r="17" spans="1:14" ht="60.75" customHeight="1">
      <c r="A17" s="149" t="s">
        <v>100</v>
      </c>
      <c r="B17" s="150"/>
      <c r="C17" s="12">
        <f>SUM(C5:C15)</f>
        <v>209</v>
      </c>
      <c r="D17" s="12">
        <f>SUM(D5:D16)</f>
        <v>261</v>
      </c>
      <c r="E17" s="12">
        <f>D17-C17</f>
        <v>52</v>
      </c>
      <c r="F17" s="12">
        <f>SUM(F5:F16)</f>
        <v>20</v>
      </c>
      <c r="G17" s="12">
        <f>SUM(G5:G18)</f>
        <v>0</v>
      </c>
      <c r="H17" s="12">
        <f>G17-F17</f>
        <v>0</v>
      </c>
      <c r="I17" s="12">
        <f>SUM(I5:I16)</f>
        <v>410</v>
      </c>
      <c r="J17" s="12">
        <f>SUM(J5:J16)</f>
        <v>357</v>
      </c>
      <c r="K17" s="12">
        <f>J17-I17</f>
        <v>-53</v>
      </c>
      <c r="L17" s="12">
        <f>SUM(L5:L16)</f>
        <v>125</v>
      </c>
      <c r="M17" s="12">
        <f>SUM(M5:M16)</f>
        <v>169</v>
      </c>
      <c r="N17" s="12">
        <f>M17-L17</f>
        <v>44</v>
      </c>
    </row>
    <row r="18" spans="1:14" ht="16.5" customHeight="1">
      <c r="A18" s="31">
        <v>1</v>
      </c>
      <c r="B18" s="32" t="s">
        <v>82</v>
      </c>
      <c r="C18" s="12"/>
      <c r="D18" s="16"/>
      <c r="E18" s="12">
        <f>D18-C18</f>
        <v>0</v>
      </c>
      <c r="F18" s="16"/>
      <c r="G18" s="16"/>
      <c r="H18" s="12">
        <f>G18-F18</f>
        <v>0</v>
      </c>
      <c r="I18" s="12">
        <v>7</v>
      </c>
      <c r="J18" s="12"/>
      <c r="K18" s="12">
        <f>J18-I18</f>
        <v>-7</v>
      </c>
      <c r="L18" s="12"/>
      <c r="M18" s="12"/>
      <c r="N18" s="12">
        <f>M18-L18</f>
        <v>0</v>
      </c>
    </row>
    <row r="19" spans="1:14" ht="18.75" customHeight="1">
      <c r="A19" s="149" t="s">
        <v>90</v>
      </c>
      <c r="B19" s="150"/>
      <c r="C19" s="12"/>
      <c r="D19" s="12"/>
      <c r="E19" s="12">
        <f>D19-C19</f>
        <v>0</v>
      </c>
      <c r="F19" s="12"/>
      <c r="G19" s="12"/>
      <c r="H19" s="12">
        <f>G19-F19</f>
        <v>0</v>
      </c>
      <c r="I19" s="12">
        <f>SUM(I18)</f>
        <v>7</v>
      </c>
      <c r="J19" s="12"/>
      <c r="K19" s="12">
        <f>J19-I19</f>
        <v>-7</v>
      </c>
      <c r="L19" s="12"/>
      <c r="M19" s="12"/>
      <c r="N19" s="12">
        <f>M19-L19</f>
        <v>0</v>
      </c>
    </row>
    <row r="20" spans="1:14" ht="39" customHeight="1">
      <c r="A20" s="151" t="s">
        <v>91</v>
      </c>
      <c r="B20" s="152"/>
      <c r="C20" s="12">
        <f>C17+C19</f>
        <v>209</v>
      </c>
      <c r="D20" s="12">
        <f>D17+D19</f>
        <v>261</v>
      </c>
      <c r="E20" s="12">
        <f>D20-C20</f>
        <v>52</v>
      </c>
      <c r="F20" s="12">
        <f>F17+F19</f>
        <v>20</v>
      </c>
      <c r="G20" s="12">
        <f>G17+G19</f>
        <v>0</v>
      </c>
      <c r="H20" s="12">
        <f>G20-F20</f>
        <v>0</v>
      </c>
      <c r="I20" s="12">
        <f>I17+I19</f>
        <v>417</v>
      </c>
      <c r="J20" s="12">
        <f>J17+J19</f>
        <v>357</v>
      </c>
      <c r="K20" s="12">
        <f>J20-I20</f>
        <v>-60</v>
      </c>
      <c r="L20" s="12">
        <f>L17+L19</f>
        <v>125</v>
      </c>
      <c r="M20" s="12">
        <f>M17+M19</f>
        <v>169</v>
      </c>
      <c r="N20" s="12">
        <f>M20-L20</f>
        <v>44</v>
      </c>
    </row>
  </sheetData>
  <sheetProtection/>
  <mergeCells count="5">
    <mergeCell ref="B2:B4"/>
    <mergeCell ref="A2:A4"/>
    <mergeCell ref="A17:B17"/>
    <mergeCell ref="A19:B19"/>
    <mergeCell ref="A20:B20"/>
  </mergeCells>
  <printOptions/>
  <pageMargins left="0.75" right="0.75" top="1" bottom="1" header="0.5" footer="0.5"/>
  <pageSetup horizontalDpi="300" verticalDpi="3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7"/>
  <sheetViews>
    <sheetView view="pageBreakPreview" zoomScale="65" zoomScaleNormal="75" zoomScaleSheetLayoutView="65" zoomScalePageLayoutView="0" workbookViewId="0" topLeftCell="A1">
      <selection activeCell="J15" sqref="J15"/>
    </sheetView>
  </sheetViews>
  <sheetFormatPr defaultColWidth="9.00390625" defaultRowHeight="12.75"/>
  <cols>
    <col min="1" max="1" width="4.25390625" style="0" customWidth="1"/>
    <col min="2" max="2" width="27.25390625" style="0" customWidth="1"/>
    <col min="3" max="3" width="8.875" style="0" customWidth="1"/>
    <col min="5" max="5" width="10.875" style="0" customWidth="1"/>
    <col min="6" max="6" width="9.25390625" style="0" customWidth="1"/>
    <col min="8" max="8" width="9.625" style="0" customWidth="1"/>
    <col min="9" max="9" width="9.375" style="0" customWidth="1"/>
    <col min="10" max="10" width="9.625" style="0" customWidth="1"/>
    <col min="11" max="11" width="10.125" style="0" customWidth="1"/>
    <col min="13" max="13" width="9.375" style="0" customWidth="1"/>
    <col min="14" max="14" width="10.375" style="0" customWidth="1"/>
  </cols>
  <sheetData>
    <row r="1" spans="1:14" ht="15.75">
      <c r="A1" s="186" t="s">
        <v>113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</row>
    <row r="2" spans="1:14" ht="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5">
      <c r="A3" s="146" t="s">
        <v>2</v>
      </c>
      <c r="B3" s="146" t="s">
        <v>3</v>
      </c>
      <c r="C3" s="24" t="s">
        <v>24</v>
      </c>
      <c r="D3" s="25"/>
      <c r="E3" s="27"/>
      <c r="F3" s="5" t="s">
        <v>25</v>
      </c>
      <c r="G3" s="7"/>
      <c r="H3" s="23" t="s">
        <v>27</v>
      </c>
      <c r="I3" s="34" t="s">
        <v>28</v>
      </c>
      <c r="J3" s="21"/>
      <c r="K3" s="23" t="s">
        <v>27</v>
      </c>
      <c r="L3" s="50" t="s">
        <v>30</v>
      </c>
      <c r="M3" s="21"/>
      <c r="N3" s="23" t="s">
        <v>27</v>
      </c>
    </row>
    <row r="4" spans="1:14" ht="15">
      <c r="A4" s="189"/>
      <c r="B4" s="189"/>
      <c r="C4" s="18">
        <v>2011</v>
      </c>
      <c r="D4" s="19">
        <v>2012</v>
      </c>
      <c r="E4" s="19" t="s">
        <v>97</v>
      </c>
      <c r="F4" s="18">
        <v>2011</v>
      </c>
      <c r="G4" s="19">
        <v>2012</v>
      </c>
      <c r="H4" s="44" t="s">
        <v>26</v>
      </c>
      <c r="I4" s="30" t="s">
        <v>29</v>
      </c>
      <c r="J4" s="28"/>
      <c r="K4" s="44" t="s">
        <v>26</v>
      </c>
      <c r="L4" s="52" t="s">
        <v>31</v>
      </c>
      <c r="M4" s="28"/>
      <c r="N4" s="44" t="s">
        <v>26</v>
      </c>
    </row>
    <row r="5" spans="1:14" ht="15">
      <c r="A5" s="189"/>
      <c r="B5" s="189"/>
      <c r="C5" s="40"/>
      <c r="D5" s="11"/>
      <c r="E5" s="11" t="s">
        <v>98</v>
      </c>
      <c r="F5" s="29"/>
      <c r="G5" s="28"/>
      <c r="H5" s="29" t="s">
        <v>99</v>
      </c>
      <c r="I5" s="18">
        <v>2011</v>
      </c>
      <c r="J5" s="19">
        <v>2012</v>
      </c>
      <c r="K5" s="29" t="s">
        <v>99</v>
      </c>
      <c r="L5" s="18">
        <v>2011</v>
      </c>
      <c r="M5" s="19">
        <v>2012</v>
      </c>
      <c r="N5" s="29" t="s">
        <v>99</v>
      </c>
    </row>
    <row r="6" spans="1:14" ht="16.5" customHeight="1">
      <c r="A6" s="31">
        <v>1</v>
      </c>
      <c r="B6" s="31" t="s">
        <v>55</v>
      </c>
      <c r="C6" s="36">
        <v>52</v>
      </c>
      <c r="D6" s="36">
        <v>19</v>
      </c>
      <c r="E6" s="36">
        <f aca="true" t="shared" si="0" ref="E6:E17">D6*100/C6</f>
        <v>36.53846153846154</v>
      </c>
      <c r="F6" s="36">
        <v>52</v>
      </c>
      <c r="G6" s="36">
        <v>19</v>
      </c>
      <c r="H6" s="36">
        <f aca="true" t="shared" si="1" ref="H6:H17">G6-F6</f>
        <v>-33</v>
      </c>
      <c r="I6" s="36">
        <f>F6*100/180</f>
        <v>28.88888888888889</v>
      </c>
      <c r="J6" s="36">
        <f>G6*100/180</f>
        <v>10.555555555555555</v>
      </c>
      <c r="K6" s="36">
        <f aca="true" t="shared" si="2" ref="K6:K17">J6-I6</f>
        <v>-18.333333333333336</v>
      </c>
      <c r="L6" s="36">
        <f>(C6-F6)*100/180</f>
        <v>0</v>
      </c>
      <c r="M6" s="36">
        <f>(D6-G6)*100/180</f>
        <v>0</v>
      </c>
      <c r="N6" s="36">
        <f>M6-L6</f>
        <v>0</v>
      </c>
    </row>
    <row r="7" spans="1:14" ht="16.5" customHeight="1">
      <c r="A7" s="31">
        <v>2</v>
      </c>
      <c r="B7" s="31" t="s">
        <v>56</v>
      </c>
      <c r="C7" s="36">
        <v>16</v>
      </c>
      <c r="D7" s="36">
        <v>17</v>
      </c>
      <c r="E7" s="36">
        <f t="shared" si="0"/>
        <v>106.25</v>
      </c>
      <c r="F7" s="36">
        <v>15</v>
      </c>
      <c r="G7" s="36">
        <v>17</v>
      </c>
      <c r="H7" s="36">
        <f t="shared" si="1"/>
        <v>2</v>
      </c>
      <c r="I7" s="36">
        <f>F7*100/105</f>
        <v>14.285714285714286</v>
      </c>
      <c r="J7" s="36">
        <f>G7*100/105</f>
        <v>16.19047619047619</v>
      </c>
      <c r="K7" s="36">
        <f>J7-I7</f>
        <v>1.9047619047619033</v>
      </c>
      <c r="L7" s="36">
        <f>(C7-F7)*100/105</f>
        <v>0.9523809523809523</v>
      </c>
      <c r="M7" s="36">
        <f>(D7-G7)*100/105</f>
        <v>0</v>
      </c>
      <c r="N7" s="36">
        <f>M7-L7</f>
        <v>-0.9523809523809523</v>
      </c>
    </row>
    <row r="8" spans="1:14" ht="16.5" customHeight="1">
      <c r="A8" s="31">
        <v>3</v>
      </c>
      <c r="B8" s="31" t="s">
        <v>57</v>
      </c>
      <c r="C8" s="36">
        <v>20</v>
      </c>
      <c r="D8" s="36">
        <v>14</v>
      </c>
      <c r="E8" s="36">
        <f t="shared" si="0"/>
        <v>70</v>
      </c>
      <c r="F8" s="36">
        <v>20</v>
      </c>
      <c r="G8" s="36">
        <v>14</v>
      </c>
      <c r="H8" s="36">
        <f t="shared" si="1"/>
        <v>-6</v>
      </c>
      <c r="I8" s="36">
        <f>F8*100/60</f>
        <v>33.333333333333336</v>
      </c>
      <c r="J8" s="36">
        <f>G8*100/60</f>
        <v>23.333333333333332</v>
      </c>
      <c r="K8" s="36">
        <f>J8-I8</f>
        <v>-10.000000000000004</v>
      </c>
      <c r="L8" s="36">
        <f>(C8-F8)*100/60</f>
        <v>0</v>
      </c>
      <c r="M8" s="36">
        <f>(D8-G8)*100/60</f>
        <v>0</v>
      </c>
      <c r="N8" s="36">
        <f>M8-L8</f>
        <v>0</v>
      </c>
    </row>
    <row r="9" spans="1:14" ht="16.5" customHeight="1">
      <c r="A9" s="31">
        <v>4</v>
      </c>
      <c r="B9" s="22" t="s">
        <v>58</v>
      </c>
      <c r="C9" s="36">
        <v>30</v>
      </c>
      <c r="D9" s="36">
        <v>46</v>
      </c>
      <c r="E9" s="36">
        <f t="shared" si="0"/>
        <v>153.33333333333334</v>
      </c>
      <c r="F9" s="36">
        <v>30</v>
      </c>
      <c r="G9" s="36">
        <v>36</v>
      </c>
      <c r="H9" s="36">
        <f t="shared" si="1"/>
        <v>6</v>
      </c>
      <c r="I9" s="36">
        <f>F9*100/308</f>
        <v>9.74025974025974</v>
      </c>
      <c r="J9" s="36">
        <f>G9*100/308</f>
        <v>11.688311688311689</v>
      </c>
      <c r="K9" s="36">
        <f t="shared" si="2"/>
        <v>1.9480519480519494</v>
      </c>
      <c r="L9" s="36">
        <f>(C9-F9)*100/308</f>
        <v>0</v>
      </c>
      <c r="M9" s="36">
        <f>(D9-G9)*100/308</f>
        <v>3.2467532467532467</v>
      </c>
      <c r="N9" s="36">
        <f aca="true" t="shared" si="3" ref="N9:N17">M9-L9</f>
        <v>3.2467532467532467</v>
      </c>
    </row>
    <row r="10" spans="1:14" ht="16.5" customHeight="1">
      <c r="A10" s="31">
        <v>5</v>
      </c>
      <c r="B10" s="31" t="s">
        <v>59</v>
      </c>
      <c r="C10" s="36">
        <v>35</v>
      </c>
      <c r="D10" s="36">
        <v>40</v>
      </c>
      <c r="E10" s="36">
        <f t="shared" si="0"/>
        <v>114.28571428571429</v>
      </c>
      <c r="F10" s="36">
        <v>35</v>
      </c>
      <c r="G10" s="36">
        <v>30</v>
      </c>
      <c r="H10" s="36">
        <f t="shared" si="1"/>
        <v>-5</v>
      </c>
      <c r="I10" s="36">
        <f>F10*100/280</f>
        <v>12.5</v>
      </c>
      <c r="J10" s="36">
        <f>G10*100/280</f>
        <v>10.714285714285714</v>
      </c>
      <c r="K10" s="36">
        <f t="shared" si="2"/>
        <v>-1.7857142857142865</v>
      </c>
      <c r="L10" s="36">
        <f>(C10-F10)*100/280</f>
        <v>0</v>
      </c>
      <c r="M10" s="36">
        <f>(D10-G10)*100/280</f>
        <v>3.5714285714285716</v>
      </c>
      <c r="N10" s="36">
        <f t="shared" si="3"/>
        <v>3.5714285714285716</v>
      </c>
    </row>
    <row r="11" spans="1:14" ht="16.5" customHeight="1">
      <c r="A11" s="31">
        <v>6</v>
      </c>
      <c r="B11" s="32" t="s">
        <v>73</v>
      </c>
      <c r="C11" s="89">
        <v>19</v>
      </c>
      <c r="D11" s="89">
        <v>24</v>
      </c>
      <c r="E11" s="36">
        <f t="shared" si="0"/>
        <v>126.3157894736842</v>
      </c>
      <c r="F11" s="89">
        <v>19</v>
      </c>
      <c r="G11" s="89">
        <v>23</v>
      </c>
      <c r="H11" s="36">
        <f t="shared" si="1"/>
        <v>4</v>
      </c>
      <c r="I11" s="89">
        <f>F11*100/85</f>
        <v>22.352941176470587</v>
      </c>
      <c r="J11" s="89">
        <f>G11*100/85</f>
        <v>27.058823529411764</v>
      </c>
      <c r="K11" s="36">
        <f t="shared" si="2"/>
        <v>4.7058823529411775</v>
      </c>
      <c r="L11" s="36">
        <f>(C11-F11)*100/85</f>
        <v>0</v>
      </c>
      <c r="M11" s="36">
        <f>(D11-G11)*100/85</f>
        <v>1.1764705882352942</v>
      </c>
      <c r="N11" s="89">
        <f t="shared" si="3"/>
        <v>1.1764705882352942</v>
      </c>
    </row>
    <row r="12" spans="1:14" ht="16.5" customHeight="1">
      <c r="A12" s="31">
        <v>7</v>
      </c>
      <c r="B12" s="32" t="s">
        <v>60</v>
      </c>
      <c r="C12" s="89">
        <v>24</v>
      </c>
      <c r="D12" s="89"/>
      <c r="E12" s="36">
        <f t="shared" si="0"/>
        <v>0</v>
      </c>
      <c r="F12" s="89">
        <v>22</v>
      </c>
      <c r="G12" s="89"/>
      <c r="H12" s="36">
        <f t="shared" si="1"/>
        <v>-22</v>
      </c>
      <c r="I12" s="89">
        <f>F12*100/60</f>
        <v>36.666666666666664</v>
      </c>
      <c r="J12" s="89">
        <f>G12*100/60</f>
        <v>0</v>
      </c>
      <c r="K12" s="36">
        <f t="shared" si="2"/>
        <v>-36.666666666666664</v>
      </c>
      <c r="L12" s="36">
        <f>(C12-F12)*100/60</f>
        <v>3.3333333333333335</v>
      </c>
      <c r="M12" s="36">
        <f>(D12-G12)*100/60</f>
        <v>0</v>
      </c>
      <c r="N12" s="89">
        <f t="shared" si="3"/>
        <v>-3.3333333333333335</v>
      </c>
    </row>
    <row r="13" spans="1:14" ht="16.5" customHeight="1">
      <c r="A13" s="31">
        <v>8</v>
      </c>
      <c r="B13" s="32" t="s">
        <v>87</v>
      </c>
      <c r="C13" s="119"/>
      <c r="D13" s="89">
        <v>50</v>
      </c>
      <c r="E13" s="36">
        <f>D13*100/C14</f>
        <v>138.88888888888889</v>
      </c>
      <c r="F13" s="89"/>
      <c r="G13" s="89">
        <v>45</v>
      </c>
      <c r="H13" s="36">
        <f t="shared" si="1"/>
        <v>45</v>
      </c>
      <c r="I13" s="89"/>
      <c r="J13" s="89">
        <f>G13*100/5</f>
        <v>900</v>
      </c>
      <c r="K13" s="36"/>
      <c r="L13" s="36"/>
      <c r="M13" s="36">
        <f>(D13-G13)*100/5</f>
        <v>100</v>
      </c>
      <c r="N13" s="89"/>
    </row>
    <row r="14" spans="1:14" ht="16.5" customHeight="1">
      <c r="A14" s="31">
        <v>9</v>
      </c>
      <c r="B14" s="32" t="s">
        <v>72</v>
      </c>
      <c r="C14" s="89">
        <v>36</v>
      </c>
      <c r="D14" s="89">
        <v>24</v>
      </c>
      <c r="E14" s="36">
        <f>D14*100/C15</f>
        <v>160</v>
      </c>
      <c r="F14" s="89">
        <v>36</v>
      </c>
      <c r="G14" s="89">
        <v>24</v>
      </c>
      <c r="H14" s="36">
        <f t="shared" si="1"/>
        <v>-12</v>
      </c>
      <c r="I14" s="89">
        <f>F14*100/78</f>
        <v>46.15384615384615</v>
      </c>
      <c r="J14" s="89">
        <f>G14*100/78</f>
        <v>30.76923076923077</v>
      </c>
      <c r="K14" s="36">
        <f t="shared" si="2"/>
        <v>-15.384615384615383</v>
      </c>
      <c r="L14" s="36">
        <f>(C14-F14)*100/78</f>
        <v>0</v>
      </c>
      <c r="M14" s="36">
        <f>(D14-G14)*100/78</f>
        <v>0</v>
      </c>
      <c r="N14" s="89">
        <f t="shared" si="3"/>
        <v>0</v>
      </c>
    </row>
    <row r="15" spans="1:14" ht="16.5" customHeight="1">
      <c r="A15" s="31">
        <v>10</v>
      </c>
      <c r="B15" s="32" t="s">
        <v>61</v>
      </c>
      <c r="C15" s="89">
        <v>15</v>
      </c>
      <c r="D15" s="89">
        <v>38</v>
      </c>
      <c r="E15" s="36">
        <f>D15*100/C16</f>
        <v>237.5</v>
      </c>
      <c r="F15" s="89">
        <v>15</v>
      </c>
      <c r="G15" s="89">
        <v>38</v>
      </c>
      <c r="H15" s="36">
        <f t="shared" si="1"/>
        <v>23</v>
      </c>
      <c r="I15" s="89">
        <f>F15*100/100</f>
        <v>15</v>
      </c>
      <c r="J15" s="89">
        <f>G15*100/100</f>
        <v>38</v>
      </c>
      <c r="K15" s="36">
        <f t="shared" si="2"/>
        <v>23</v>
      </c>
      <c r="L15" s="36">
        <f>(C15-F15)*100/100</f>
        <v>0</v>
      </c>
      <c r="M15" s="36">
        <f>(D15-G15)*100/100</f>
        <v>0</v>
      </c>
      <c r="N15" s="89">
        <f t="shared" si="3"/>
        <v>0</v>
      </c>
    </row>
    <row r="16" spans="1:14" ht="16.5" customHeight="1">
      <c r="A16" s="31">
        <v>11</v>
      </c>
      <c r="B16" s="32" t="s">
        <v>62</v>
      </c>
      <c r="C16" s="89">
        <v>16</v>
      </c>
      <c r="D16" s="125">
        <v>14</v>
      </c>
      <c r="E16" s="125">
        <f>D16*100/C17</f>
        <v>5.32319391634981</v>
      </c>
      <c r="F16" s="125">
        <v>16</v>
      </c>
      <c r="G16" s="125">
        <v>14</v>
      </c>
      <c r="H16" s="36">
        <f t="shared" si="1"/>
        <v>-2</v>
      </c>
      <c r="I16" s="89">
        <f>F16*100/42</f>
        <v>38.095238095238095</v>
      </c>
      <c r="J16" s="89">
        <f>G16*100/42</f>
        <v>33.333333333333336</v>
      </c>
      <c r="K16" s="36">
        <f t="shared" si="2"/>
        <v>-4.761904761904759</v>
      </c>
      <c r="L16" s="36">
        <f>(C16-F16)*100/42</f>
        <v>0</v>
      </c>
      <c r="M16" s="36">
        <f>(D16-G16)*100/42</f>
        <v>0</v>
      </c>
      <c r="N16" s="89">
        <f t="shared" si="3"/>
        <v>0</v>
      </c>
    </row>
    <row r="17" spans="1:14" ht="61.5" customHeight="1">
      <c r="A17" s="187" t="s">
        <v>96</v>
      </c>
      <c r="B17" s="188"/>
      <c r="C17" s="36">
        <f>SUM(C6:C16)</f>
        <v>263</v>
      </c>
      <c r="D17" s="121">
        <f>SUM(D6:D16)</f>
        <v>286</v>
      </c>
      <c r="E17" s="125">
        <f t="shared" si="0"/>
        <v>108.74524714828897</v>
      </c>
      <c r="F17" s="121">
        <f>SUM(F6:F16)</f>
        <v>260</v>
      </c>
      <c r="G17" s="121">
        <f>SUM(G6:G16)</f>
        <v>260</v>
      </c>
      <c r="H17" s="36">
        <f t="shared" si="1"/>
        <v>0</v>
      </c>
      <c r="I17" s="36">
        <f>F17*100/1298</f>
        <v>20.03081664098613</v>
      </c>
      <c r="J17" s="36">
        <f>G17*100/1303</f>
        <v>19.95395241749808</v>
      </c>
      <c r="K17" s="36">
        <f t="shared" si="2"/>
        <v>-0.07686422348805166</v>
      </c>
      <c r="L17" s="36">
        <f>(C17-F17)*100/1298</f>
        <v>0.23112480739599384</v>
      </c>
      <c r="M17" s="36">
        <f>(D17-G17)*100/1303</f>
        <v>1.9953952417498082</v>
      </c>
      <c r="N17" s="36">
        <f t="shared" si="3"/>
        <v>1.7642704343538145</v>
      </c>
    </row>
  </sheetData>
  <sheetProtection/>
  <mergeCells count="4">
    <mergeCell ref="A1:N1"/>
    <mergeCell ref="A17:B17"/>
    <mergeCell ref="B3:B5"/>
    <mergeCell ref="A3:A5"/>
  </mergeCells>
  <printOptions/>
  <pageMargins left="0.75" right="0.75" top="1" bottom="1" header="0.5" footer="0.5"/>
  <pageSetup horizontalDpi="300" verticalDpi="3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="70" zoomScaleNormal="75" zoomScaleSheetLayoutView="70" zoomScalePageLayoutView="0" workbookViewId="0" topLeftCell="A1">
      <selection activeCell="E17" sqref="E17"/>
    </sheetView>
  </sheetViews>
  <sheetFormatPr defaultColWidth="9.00390625" defaultRowHeight="12.75"/>
  <cols>
    <col min="1" max="1" width="3.75390625" style="20" customWidth="1"/>
    <col min="2" max="2" width="29.75390625" style="20" customWidth="1"/>
    <col min="3" max="3" width="12.125" style="20" customWidth="1"/>
    <col min="4" max="4" width="14.625" style="20" customWidth="1"/>
    <col min="5" max="5" width="13.00390625" style="20" customWidth="1"/>
    <col min="6" max="6" width="13.25390625" style="20" customWidth="1"/>
    <col min="7" max="16384" width="9.125" style="20" customWidth="1"/>
  </cols>
  <sheetData>
    <row r="1" spans="1:9" ht="15.75" customHeight="1">
      <c r="A1" s="190" t="s">
        <v>108</v>
      </c>
      <c r="B1" s="190"/>
      <c r="C1" s="190"/>
      <c r="D1" s="190"/>
      <c r="E1" s="190"/>
      <c r="F1" s="190"/>
      <c r="G1" s="76"/>
      <c r="H1" s="76"/>
      <c r="I1" s="76"/>
    </row>
    <row r="2" spans="1:9" ht="15.75">
      <c r="A2" s="191" t="s">
        <v>112</v>
      </c>
      <c r="B2" s="191"/>
      <c r="C2" s="191"/>
      <c r="D2" s="191"/>
      <c r="E2" s="191"/>
      <c r="F2" s="191"/>
      <c r="G2" s="76"/>
      <c r="H2" s="76"/>
      <c r="I2" s="76"/>
    </row>
    <row r="3" spans="1:9" ht="15">
      <c r="A3" s="4" t="s">
        <v>2</v>
      </c>
      <c r="B3" s="4" t="s">
        <v>3</v>
      </c>
      <c r="C3" s="5" t="s">
        <v>42</v>
      </c>
      <c r="D3" s="6"/>
      <c r="E3" s="5" t="s">
        <v>43</v>
      </c>
      <c r="F3" s="7"/>
      <c r="G3" s="76"/>
      <c r="H3" s="76"/>
      <c r="I3" s="76"/>
    </row>
    <row r="4" spans="1:9" ht="15">
      <c r="A4" s="8"/>
      <c r="B4" s="8"/>
      <c r="C4" s="18">
        <v>2010</v>
      </c>
      <c r="D4" s="19">
        <v>2011</v>
      </c>
      <c r="E4" s="18">
        <v>2010</v>
      </c>
      <c r="F4" s="19">
        <v>2011</v>
      </c>
      <c r="G4" s="76"/>
      <c r="H4" s="76"/>
      <c r="I4" s="76"/>
    </row>
    <row r="5" spans="1:9" ht="15">
      <c r="A5" s="3">
        <v>1</v>
      </c>
      <c r="B5" s="22" t="s">
        <v>55</v>
      </c>
      <c r="C5" s="36">
        <f>(молоко!C7*1000)/1875</f>
        <v>34.24</v>
      </c>
      <c r="D5" s="36">
        <f>(молоко!D7*1000)/1875</f>
        <v>28.426666666666666</v>
      </c>
      <c r="E5" s="36">
        <f>(мясо!C6*1000)/1875</f>
        <v>5.28</v>
      </c>
      <c r="F5" s="36">
        <f>(мясо!D6*1000)/1875</f>
        <v>2.7733333333333334</v>
      </c>
      <c r="H5" s="76"/>
      <c r="I5" s="76"/>
    </row>
    <row r="6" spans="1:9" ht="15">
      <c r="A6" s="3">
        <v>2</v>
      </c>
      <c r="B6" s="22" t="s">
        <v>56</v>
      </c>
      <c r="C6" s="36">
        <f>(молоко!C8*1000)/799</f>
        <v>38.798498122653314</v>
      </c>
      <c r="D6" s="36">
        <f>(молоко!D8*1000)/799</f>
        <v>22.919899874843555</v>
      </c>
      <c r="E6" s="36">
        <f>(мясо!C7*1000)/799</f>
        <v>3.504380475594493</v>
      </c>
      <c r="F6" s="36">
        <f>(мясо!D7*1000)/799</f>
        <v>0.31289111389236546</v>
      </c>
      <c r="H6" s="76"/>
      <c r="I6" s="76"/>
    </row>
    <row r="7" spans="1:9" ht="15">
      <c r="A7" s="3">
        <v>3</v>
      </c>
      <c r="B7" s="22" t="s">
        <v>57</v>
      </c>
      <c r="C7" s="36">
        <f>(молоко!C9*1000)/2025</f>
        <v>16.296296296296298</v>
      </c>
      <c r="D7" s="36">
        <f>(молоко!D9*1000)/2025</f>
        <v>14.320987654320987</v>
      </c>
      <c r="E7" s="36">
        <f>(мясо!C8*1000)/2025</f>
        <v>1.0864197530864197</v>
      </c>
      <c r="F7" s="36">
        <f>(мясо!D8*1000)/2025</f>
        <v>0.9382716049382716</v>
      </c>
      <c r="H7" s="76"/>
      <c r="I7" s="76"/>
    </row>
    <row r="8" spans="1:9" ht="15">
      <c r="A8" s="3">
        <v>4</v>
      </c>
      <c r="B8" s="38" t="s">
        <v>58</v>
      </c>
      <c r="C8" s="36">
        <f>(молоко!C10*1000)/2478</f>
        <v>40.79903147699758</v>
      </c>
      <c r="D8" s="36">
        <f>(молоко!D10*1000)/2478</f>
        <v>57.869249394673126</v>
      </c>
      <c r="E8" s="36">
        <f>(мясо!C9*1000)/2478</f>
        <v>11.380145278450364</v>
      </c>
      <c r="F8" s="36">
        <f>(мясо!D9*1000)/2478</f>
        <v>4.075867635189669</v>
      </c>
      <c r="H8" s="76"/>
      <c r="I8" s="76"/>
    </row>
    <row r="9" spans="1:9" ht="15">
      <c r="A9" s="3">
        <v>5</v>
      </c>
      <c r="B9" s="22" t="s">
        <v>59</v>
      </c>
      <c r="C9" s="36">
        <f>(молоко!C11*1000)/2157</f>
        <v>38.015762633286975</v>
      </c>
      <c r="D9" s="36">
        <f>(молоко!D11*1000)/2157</f>
        <v>17.153453871117293</v>
      </c>
      <c r="E9" s="36">
        <f>(мясо!C10*1000)/2157</f>
        <v>4.3115438108484</v>
      </c>
      <c r="F9" s="36">
        <f>(мясо!D10*1000)/2157</f>
        <v>8.576726935558646</v>
      </c>
      <c r="H9" s="76"/>
      <c r="I9" s="76"/>
    </row>
    <row r="10" spans="1:9" ht="15">
      <c r="A10" s="3">
        <v>6</v>
      </c>
      <c r="B10" s="38" t="s">
        <v>73</v>
      </c>
      <c r="C10" s="36">
        <f>(молоко!C12*1000)/859</f>
        <v>68.16065192083818</v>
      </c>
      <c r="D10" s="36">
        <f>(молоко!D12*1000)/859</f>
        <v>68.21885913853318</v>
      </c>
      <c r="E10" s="36">
        <f>(мясо!C11*1000)/859</f>
        <v>2.3282887077997674</v>
      </c>
      <c r="F10" s="36">
        <f>(мясо!D11*1000)/859</f>
        <v>2.4447031431897557</v>
      </c>
      <c r="H10" s="76"/>
      <c r="I10" s="76"/>
    </row>
    <row r="11" spans="1:9" ht="15">
      <c r="A11" s="3">
        <v>7</v>
      </c>
      <c r="B11" s="38" t="s">
        <v>60</v>
      </c>
      <c r="C11" s="36">
        <f>(молоко!C13*1000)/1482</f>
        <v>23.41430499325236</v>
      </c>
      <c r="D11" s="36">
        <f>(молоко!D13*1000)/1482</f>
        <v>0</v>
      </c>
      <c r="E11" s="36">
        <f>(мясо!C12*1000)/1482</f>
        <v>0</v>
      </c>
      <c r="F11" s="36">
        <f>(мясо!D12*1000)/1482</f>
        <v>0</v>
      </c>
      <c r="H11" s="76"/>
      <c r="I11" s="76"/>
    </row>
    <row r="12" spans="1:9" ht="15">
      <c r="A12" s="3">
        <v>8</v>
      </c>
      <c r="B12" s="32" t="s">
        <v>87</v>
      </c>
      <c r="C12" s="36"/>
      <c r="D12" s="36"/>
      <c r="E12" s="36"/>
      <c r="F12" s="36"/>
      <c r="H12" s="76"/>
      <c r="I12" s="76"/>
    </row>
    <row r="13" spans="1:9" ht="15.75" customHeight="1">
      <c r="A13" s="3">
        <v>9</v>
      </c>
      <c r="B13" s="32" t="s">
        <v>72</v>
      </c>
      <c r="C13" s="36">
        <f>(молоко!C15*1000)/1077</f>
        <v>68.56081708449396</v>
      </c>
      <c r="D13" s="36">
        <f>(молоко!D15*1000)/1077</f>
        <v>68.74930362116991</v>
      </c>
      <c r="E13" s="36">
        <f>(мясо!C14*1000)/1077</f>
        <v>2.8783658310120708</v>
      </c>
      <c r="F13" s="36">
        <f>(мясо!D14*1000)/1077</f>
        <v>1.7548746518105849</v>
      </c>
      <c r="H13" s="76"/>
      <c r="I13" s="76"/>
    </row>
    <row r="14" spans="1:9" ht="15">
      <c r="A14" s="3">
        <v>10</v>
      </c>
      <c r="B14" s="38" t="s">
        <v>61</v>
      </c>
      <c r="C14" s="36">
        <f>(молоко!C16*1000)/1084</f>
        <v>20.018450184501845</v>
      </c>
      <c r="D14" s="36">
        <f>(молоко!D16*1000)/1084</f>
        <v>33.11808118081181</v>
      </c>
      <c r="E14" s="36">
        <f>(мясо!C15*1000)/1084</f>
        <v>0.6457564575645757</v>
      </c>
      <c r="F14" s="36">
        <f>(мясо!D15*1000)/1084</f>
        <v>7.9335793357933575</v>
      </c>
      <c r="H14" s="76"/>
      <c r="I14" s="76"/>
    </row>
    <row r="15" spans="1:9" ht="15">
      <c r="A15" s="3">
        <v>11</v>
      </c>
      <c r="B15" s="38" t="s">
        <v>62</v>
      </c>
      <c r="C15" s="36">
        <f>(молоко!C17*1000)/674</f>
        <v>32.640949554896146</v>
      </c>
      <c r="D15" s="36">
        <f>(молоко!D17*1000)/674</f>
        <v>24.480712166172108</v>
      </c>
      <c r="E15" s="36">
        <f>(мясо!C16*1000)/674</f>
        <v>3.4124629080118694</v>
      </c>
      <c r="F15" s="36">
        <f>(мясо!D16*1000)/674</f>
        <v>2.373887240356083</v>
      </c>
      <c r="H15" s="76"/>
      <c r="I15" s="76"/>
    </row>
    <row r="16" spans="1:9" ht="15">
      <c r="A16" s="3">
        <v>12</v>
      </c>
      <c r="B16" s="38" t="s">
        <v>63</v>
      </c>
      <c r="C16" s="36"/>
      <c r="D16" s="36"/>
      <c r="E16" s="36">
        <f>(мясо!C17*1000)/983</f>
        <v>126.14445574771109</v>
      </c>
      <c r="F16" s="36">
        <f>(мясо!D17*1000)/983</f>
        <v>152.5940996948118</v>
      </c>
      <c r="H16" s="76"/>
      <c r="I16" s="76"/>
    </row>
    <row r="17" spans="1:6" ht="63.75" customHeight="1">
      <c r="A17" s="187" t="s">
        <v>96</v>
      </c>
      <c r="B17" s="188"/>
      <c r="C17" s="36">
        <f>(молоко!C18*1000)/22877</f>
        <v>22.821611225248063</v>
      </c>
      <c r="D17" s="36">
        <f>(молоко!D18*1000)/22877</f>
        <v>22.093980854132973</v>
      </c>
      <c r="E17" s="36">
        <f>(мясо!C23*1000)/22877</f>
        <v>8.086724657953402</v>
      </c>
      <c r="F17" s="36">
        <f>(мясо!D23*1000)/22877</f>
        <v>9.088735411111596</v>
      </c>
    </row>
  </sheetData>
  <sheetProtection/>
  <mergeCells count="3">
    <mergeCell ref="A1:F1"/>
    <mergeCell ref="A2:F2"/>
    <mergeCell ref="A17:B17"/>
  </mergeCells>
  <printOptions/>
  <pageMargins left="0.75" right="0.75" top="1" bottom="1" header="0.5" footer="0.5"/>
  <pageSetup horizontalDpi="300" verticalDpi="3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zoomScale="70" zoomScaleNormal="75" zoomScaleSheetLayoutView="70" zoomScalePageLayoutView="0" workbookViewId="0" topLeftCell="A1">
      <selection activeCell="J18" sqref="J18"/>
    </sheetView>
  </sheetViews>
  <sheetFormatPr defaultColWidth="9.00390625" defaultRowHeight="12.75"/>
  <cols>
    <col min="1" max="1" width="3.375" style="0" customWidth="1"/>
    <col min="2" max="2" width="32.25390625" style="0" customWidth="1"/>
    <col min="3" max="3" width="10.375" style="0" customWidth="1"/>
    <col min="4" max="4" width="11.375" style="0" customWidth="1"/>
    <col min="5" max="5" width="14.25390625" style="0" customWidth="1"/>
    <col min="6" max="6" width="13.875" style="0" customWidth="1"/>
    <col min="7" max="7" width="12.25390625" style="0" customWidth="1"/>
    <col min="8" max="8" width="10.375" style="0" customWidth="1"/>
    <col min="9" max="9" width="10.625" style="0" customWidth="1"/>
    <col min="10" max="10" width="14.75390625" style="0" customWidth="1"/>
    <col min="11" max="11" width="13.625" style="0" customWidth="1"/>
    <col min="12" max="12" width="7.75390625" style="0" customWidth="1"/>
    <col min="13" max="13" width="7.875" style="0" customWidth="1"/>
  </cols>
  <sheetData>
    <row r="1" spans="1:11" ht="18">
      <c r="A1" s="20"/>
      <c r="B1" s="14"/>
      <c r="C1" s="43" t="s">
        <v>111</v>
      </c>
      <c r="D1" s="43"/>
      <c r="E1" s="43"/>
      <c r="F1" s="14"/>
      <c r="G1" s="14"/>
      <c r="H1" s="14"/>
      <c r="I1" s="14"/>
      <c r="J1" s="14"/>
      <c r="K1" s="14"/>
    </row>
    <row r="2" spans="1:11" ht="18" customHeight="1">
      <c r="A2" s="20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9.5" customHeight="1">
      <c r="A3" s="141" t="s">
        <v>2</v>
      </c>
      <c r="B3" s="194" t="s">
        <v>3</v>
      </c>
      <c r="C3" s="195" t="s">
        <v>92</v>
      </c>
      <c r="D3" s="196"/>
      <c r="E3" s="197"/>
      <c r="F3" s="54" t="s">
        <v>11</v>
      </c>
      <c r="G3" s="55" t="s">
        <v>14</v>
      </c>
      <c r="H3" s="56" t="s">
        <v>16</v>
      </c>
      <c r="I3" s="57"/>
      <c r="J3" s="53"/>
      <c r="K3" s="53" t="s">
        <v>17</v>
      </c>
    </row>
    <row r="4" spans="1:11" ht="18">
      <c r="A4" s="169"/>
      <c r="B4" s="169"/>
      <c r="C4" s="58">
        <v>2011</v>
      </c>
      <c r="D4" s="54">
        <v>2012</v>
      </c>
      <c r="E4" s="54" t="s">
        <v>97</v>
      </c>
      <c r="F4" s="59" t="s">
        <v>12</v>
      </c>
      <c r="G4" s="60" t="s">
        <v>15</v>
      </c>
      <c r="H4" s="58">
        <v>2011</v>
      </c>
      <c r="I4" s="54">
        <v>2012</v>
      </c>
      <c r="J4" s="54" t="s">
        <v>97</v>
      </c>
      <c r="K4" s="61" t="s">
        <v>18</v>
      </c>
    </row>
    <row r="5" spans="1:11" ht="18">
      <c r="A5" s="142"/>
      <c r="B5" s="142"/>
      <c r="C5" s="62"/>
      <c r="D5" s="63"/>
      <c r="E5" s="63" t="s">
        <v>98</v>
      </c>
      <c r="F5" s="63" t="s">
        <v>13</v>
      </c>
      <c r="G5" s="64"/>
      <c r="H5" s="62"/>
      <c r="I5" s="63"/>
      <c r="J5" s="63" t="s">
        <v>98</v>
      </c>
      <c r="K5" s="65" t="s">
        <v>0</v>
      </c>
    </row>
    <row r="6" spans="1:11" ht="18" customHeight="1">
      <c r="A6" s="198" t="s">
        <v>93</v>
      </c>
      <c r="B6" s="199"/>
      <c r="C6" s="199"/>
      <c r="D6" s="199"/>
      <c r="E6" s="199"/>
      <c r="F6" s="199"/>
      <c r="G6" s="199"/>
      <c r="H6" s="199"/>
      <c r="I6" s="199"/>
      <c r="J6" s="199"/>
      <c r="K6" s="200"/>
    </row>
    <row r="7" spans="1:11" ht="16.5" customHeight="1">
      <c r="A7" s="31">
        <v>1</v>
      </c>
      <c r="B7" s="66" t="s">
        <v>55</v>
      </c>
      <c r="C7" s="12">
        <v>64.2</v>
      </c>
      <c r="D7" s="12">
        <v>53.3</v>
      </c>
      <c r="E7" s="13">
        <f aca="true" t="shared" si="0" ref="E7:E17">D7/C7*100</f>
        <v>83.02180685358255</v>
      </c>
      <c r="F7" s="12">
        <v>45.5</v>
      </c>
      <c r="G7" s="13">
        <f aca="true" t="shared" si="1" ref="G7:G17">F7/D7*100</f>
        <v>85.3658536585366</v>
      </c>
      <c r="H7" s="17">
        <f>C7/'численность 1'!J6*1000</f>
        <v>356.6666666666667</v>
      </c>
      <c r="I7" s="17">
        <f>D7/'численность 1'!K6*1000</f>
        <v>296.1111111111111</v>
      </c>
      <c r="J7" s="13">
        <f aca="true" t="shared" si="2" ref="J7:J20">I7/H7*100</f>
        <v>83.02180685358255</v>
      </c>
      <c r="K7" s="12"/>
    </row>
    <row r="8" spans="1:11" ht="16.5" customHeight="1">
      <c r="A8" s="31">
        <v>2</v>
      </c>
      <c r="B8" s="66" t="s">
        <v>56</v>
      </c>
      <c r="C8" s="12">
        <v>31</v>
      </c>
      <c r="D8" s="12">
        <v>18.313</v>
      </c>
      <c r="E8" s="13">
        <f t="shared" si="0"/>
        <v>59.074193548387086</v>
      </c>
      <c r="F8" s="12">
        <v>16.127</v>
      </c>
      <c r="G8" s="13">
        <f t="shared" si="1"/>
        <v>88.06312455632612</v>
      </c>
      <c r="H8" s="17">
        <f>C8/'численность 1'!J7*1000</f>
        <v>295.23809523809524</v>
      </c>
      <c r="I8" s="13">
        <f>D8/'численность 1'!K7*1000</f>
        <v>174.4095238095238</v>
      </c>
      <c r="J8" s="13">
        <f t="shared" si="2"/>
        <v>59.074193548387086</v>
      </c>
      <c r="K8" s="12"/>
    </row>
    <row r="9" spans="1:11" ht="16.5" customHeight="1">
      <c r="A9" s="31">
        <v>3</v>
      </c>
      <c r="B9" s="66" t="s">
        <v>57</v>
      </c>
      <c r="C9" s="12">
        <v>33</v>
      </c>
      <c r="D9" s="12">
        <v>29</v>
      </c>
      <c r="E9" s="13">
        <f t="shared" si="0"/>
        <v>87.87878787878788</v>
      </c>
      <c r="F9" s="12">
        <v>19</v>
      </c>
      <c r="G9" s="13">
        <f t="shared" si="1"/>
        <v>65.51724137931035</v>
      </c>
      <c r="H9" s="17">
        <f>C9/'численность 1'!J8*1000</f>
        <v>550</v>
      </c>
      <c r="I9" s="13">
        <f>D9/'численность 1'!K8*1000</f>
        <v>483.3333333333333</v>
      </c>
      <c r="J9" s="13">
        <f t="shared" si="2"/>
        <v>87.87878787878788</v>
      </c>
      <c r="K9" s="12"/>
    </row>
    <row r="10" spans="1:11" ht="16.5" customHeight="1">
      <c r="A10" s="31">
        <v>4</v>
      </c>
      <c r="B10" s="66" t="s">
        <v>58</v>
      </c>
      <c r="C10" s="12">
        <v>101.1</v>
      </c>
      <c r="D10" s="12">
        <v>143.4</v>
      </c>
      <c r="E10" s="13">
        <f t="shared" si="0"/>
        <v>141.83976261127597</v>
      </c>
      <c r="F10" s="12">
        <v>131.2</v>
      </c>
      <c r="G10" s="13">
        <f t="shared" si="1"/>
        <v>91.4923291492329</v>
      </c>
      <c r="H10" s="17">
        <f>C10/'численность 1'!J9*1000</f>
        <v>328.24675324675326</v>
      </c>
      <c r="I10" s="13">
        <f>D10/'численность 1'!K9*1000</f>
        <v>465.5844155844156</v>
      </c>
      <c r="J10" s="13">
        <f t="shared" si="2"/>
        <v>141.83976261127594</v>
      </c>
      <c r="K10" s="12"/>
    </row>
    <row r="11" spans="1:11" ht="16.5" customHeight="1">
      <c r="A11" s="31">
        <v>5</v>
      </c>
      <c r="B11" s="67" t="s">
        <v>59</v>
      </c>
      <c r="C11" s="12">
        <v>82</v>
      </c>
      <c r="D11" s="12">
        <v>37</v>
      </c>
      <c r="E11" s="13">
        <f t="shared" si="0"/>
        <v>45.1219512195122</v>
      </c>
      <c r="F11" s="12">
        <v>23.6</v>
      </c>
      <c r="G11" s="13">
        <f t="shared" si="1"/>
        <v>63.78378378378379</v>
      </c>
      <c r="H11" s="17">
        <f>C11/'численность 1'!J10*1000</f>
        <v>292.8571428571429</v>
      </c>
      <c r="I11" s="13">
        <f>D11/'численность 1'!K10*1000</f>
        <v>148</v>
      </c>
      <c r="J11" s="13">
        <f t="shared" si="2"/>
        <v>50.53658536585365</v>
      </c>
      <c r="K11" s="12"/>
    </row>
    <row r="12" spans="1:11" ht="16.5" customHeight="1">
      <c r="A12" s="31">
        <v>6</v>
      </c>
      <c r="B12" s="67" t="s">
        <v>73</v>
      </c>
      <c r="C12" s="16">
        <v>58.55</v>
      </c>
      <c r="D12" s="16">
        <v>58.6</v>
      </c>
      <c r="E12" s="13">
        <f t="shared" si="0"/>
        <v>100.08539709649872</v>
      </c>
      <c r="F12" s="16">
        <v>43.1</v>
      </c>
      <c r="G12" s="17">
        <f t="shared" si="1"/>
        <v>73.54948805460751</v>
      </c>
      <c r="H12" s="17">
        <f>C12/'численность 1'!J11*1000</f>
        <v>688.8235294117648</v>
      </c>
      <c r="I12" s="13">
        <f>D12/'численность 1'!K11*1000</f>
        <v>689.4117647058824</v>
      </c>
      <c r="J12" s="13">
        <f t="shared" si="2"/>
        <v>100.08539709649872</v>
      </c>
      <c r="K12" s="16">
        <v>19.5</v>
      </c>
    </row>
    <row r="13" spans="1:11" ht="16.5" customHeight="1">
      <c r="A13" s="31">
        <v>7</v>
      </c>
      <c r="B13" s="67" t="s">
        <v>60</v>
      </c>
      <c r="C13" s="16">
        <v>34.7</v>
      </c>
      <c r="D13" s="16"/>
      <c r="E13" s="13">
        <f t="shared" si="0"/>
        <v>0</v>
      </c>
      <c r="F13" s="16"/>
      <c r="G13" s="17" t="e">
        <f t="shared" si="1"/>
        <v>#DIV/0!</v>
      </c>
      <c r="H13" s="17">
        <f>C13/'численность 1'!J12*1000</f>
        <v>578.3333333333334</v>
      </c>
      <c r="I13" s="13"/>
      <c r="J13" s="13"/>
      <c r="K13" s="16"/>
    </row>
    <row r="14" spans="1:11" ht="16.5" customHeight="1">
      <c r="A14" s="31">
        <v>8</v>
      </c>
      <c r="B14" s="67" t="s">
        <v>87</v>
      </c>
      <c r="C14" s="16"/>
      <c r="D14" s="16">
        <v>39.388</v>
      </c>
      <c r="E14" s="13"/>
      <c r="F14" s="16">
        <v>29.024</v>
      </c>
      <c r="G14" s="17">
        <f t="shared" si="1"/>
        <v>73.68741748755967</v>
      </c>
      <c r="H14" s="17"/>
      <c r="I14" s="13">
        <f>D14/'численность 1'!K13*1000</f>
        <v>605.9692307692306</v>
      </c>
      <c r="J14" s="13"/>
      <c r="K14" s="16"/>
    </row>
    <row r="15" spans="1:11" ht="16.5" customHeight="1">
      <c r="A15" s="31">
        <v>9</v>
      </c>
      <c r="B15" s="67" t="s">
        <v>72</v>
      </c>
      <c r="C15" s="16">
        <v>73.84</v>
      </c>
      <c r="D15" s="16">
        <v>74.043</v>
      </c>
      <c r="E15" s="17">
        <f t="shared" si="0"/>
        <v>100.2749187432286</v>
      </c>
      <c r="F15" s="16">
        <v>61.5</v>
      </c>
      <c r="G15" s="17">
        <f t="shared" si="1"/>
        <v>83.05984360439204</v>
      </c>
      <c r="H15" s="17">
        <f>C15/'численность 1'!J14*1000</f>
        <v>946.6666666666666</v>
      </c>
      <c r="I15" s="17">
        <f>D15/'численность 1'!K14*1000</f>
        <v>949.2692307692308</v>
      </c>
      <c r="J15" s="13">
        <f t="shared" si="2"/>
        <v>100.2749187432286</v>
      </c>
      <c r="K15" s="16"/>
    </row>
    <row r="16" spans="1:11" ht="16.5" customHeight="1">
      <c r="A16" s="31">
        <v>10</v>
      </c>
      <c r="B16" s="67" t="s">
        <v>61</v>
      </c>
      <c r="C16" s="16">
        <v>21.7</v>
      </c>
      <c r="D16" s="16">
        <v>35.9</v>
      </c>
      <c r="E16" s="13">
        <f t="shared" si="0"/>
        <v>165.4377880184332</v>
      </c>
      <c r="F16" s="16">
        <v>29.2</v>
      </c>
      <c r="G16" s="17">
        <f t="shared" si="1"/>
        <v>81.33704735376045</v>
      </c>
      <c r="H16" s="17">
        <f>C16/'численность 1'!J15*1000</f>
        <v>217</v>
      </c>
      <c r="I16" s="13">
        <f>D16/'численность 1'!K15*1000</f>
        <v>359</v>
      </c>
      <c r="J16" s="13">
        <f t="shared" si="2"/>
        <v>165.4377880184332</v>
      </c>
      <c r="K16" s="16"/>
    </row>
    <row r="17" spans="1:11" ht="16.5" customHeight="1">
      <c r="A17" s="31">
        <v>11</v>
      </c>
      <c r="B17" s="67" t="s">
        <v>62</v>
      </c>
      <c r="C17" s="16">
        <v>22</v>
      </c>
      <c r="D17" s="16">
        <v>16.5</v>
      </c>
      <c r="E17" s="13">
        <f t="shared" si="0"/>
        <v>75</v>
      </c>
      <c r="F17" s="16">
        <v>10.5</v>
      </c>
      <c r="G17" s="17">
        <f t="shared" si="1"/>
        <v>63.63636363636363</v>
      </c>
      <c r="H17" s="17">
        <f>C17/'численность 1'!J16*1000</f>
        <v>523.8095238095239</v>
      </c>
      <c r="I17" s="13">
        <f>D17/'численность 1'!K16*1000</f>
        <v>392.85714285714283</v>
      </c>
      <c r="J17" s="13">
        <f t="shared" si="2"/>
        <v>74.99999999999999</v>
      </c>
      <c r="K17" s="16"/>
    </row>
    <row r="18" spans="1:11" ht="57" customHeight="1">
      <c r="A18" s="149" t="s">
        <v>103</v>
      </c>
      <c r="B18" s="150"/>
      <c r="C18" s="124">
        <f>SUM(C7:C17)</f>
        <v>522.0899999999999</v>
      </c>
      <c r="D18" s="68">
        <f>SUM(D7:D17)</f>
        <v>505.444</v>
      </c>
      <c r="E18" s="13">
        <f>D18/C18*100</f>
        <v>96.81166082476203</v>
      </c>
      <c r="F18" s="68">
        <f>SUM(F7:F17)</f>
        <v>408.751</v>
      </c>
      <c r="G18" s="13">
        <f>F18/D18*100</f>
        <v>80.86969080649882</v>
      </c>
      <c r="H18" s="13">
        <f>C18/'численность 1'!J19*1000</f>
        <v>402.226502311248</v>
      </c>
      <c r="I18" s="13">
        <f>D18/'численность 1'!K19*1000</f>
        <v>397.0494893951296</v>
      </c>
      <c r="J18" s="13">
        <f t="shared" si="2"/>
        <v>98.71291103734575</v>
      </c>
      <c r="K18" s="68">
        <f>SUM(K7:K17)</f>
        <v>19.5</v>
      </c>
    </row>
    <row r="19" spans="1:11" ht="18">
      <c r="A19" s="198" t="s">
        <v>94</v>
      </c>
      <c r="B19" s="199"/>
      <c r="C19" s="199"/>
      <c r="D19" s="199"/>
      <c r="E19" s="199"/>
      <c r="F19" s="199"/>
      <c r="G19" s="199"/>
      <c r="H19" s="199"/>
      <c r="I19" s="199"/>
      <c r="J19" s="199"/>
      <c r="K19" s="200"/>
    </row>
    <row r="20" spans="1:11" ht="17.25" customHeight="1">
      <c r="A20" s="122">
        <v>1</v>
      </c>
      <c r="B20" s="67" t="s">
        <v>72</v>
      </c>
      <c r="C20" s="122">
        <v>1.72</v>
      </c>
      <c r="D20" s="122">
        <v>3.093</v>
      </c>
      <c r="E20" s="13">
        <f>D20/C20*100</f>
        <v>179.82558139534882</v>
      </c>
      <c r="F20" s="122">
        <v>3.093</v>
      </c>
      <c r="G20" s="13">
        <f>F20/D20*100</f>
        <v>100</v>
      </c>
      <c r="H20" s="122">
        <v>34</v>
      </c>
      <c r="I20" s="122">
        <v>62</v>
      </c>
      <c r="J20" s="13">
        <f t="shared" si="2"/>
        <v>182.35294117647058</v>
      </c>
      <c r="K20" s="122"/>
    </row>
    <row r="21" spans="1:11" ht="37.5" customHeight="1">
      <c r="A21" s="192" t="s">
        <v>91</v>
      </c>
      <c r="B21" s="193"/>
      <c r="C21" s="122">
        <f>C18+C20</f>
        <v>523.81</v>
      </c>
      <c r="D21" s="122">
        <f>D18+D20</f>
        <v>508.53700000000003</v>
      </c>
      <c r="E21" s="13">
        <f>D21/C21*100</f>
        <v>97.08424810522901</v>
      </c>
      <c r="F21" s="122">
        <f>F18+F20</f>
        <v>411.844</v>
      </c>
      <c r="G21" s="13">
        <f>F21/D21*100</f>
        <v>80.98604427996389</v>
      </c>
      <c r="H21" s="123" t="s">
        <v>95</v>
      </c>
      <c r="I21" s="123" t="s">
        <v>95</v>
      </c>
      <c r="J21" s="123" t="s">
        <v>95</v>
      </c>
      <c r="K21" s="122">
        <f>K18+K20</f>
        <v>19.5</v>
      </c>
    </row>
  </sheetData>
  <sheetProtection/>
  <mergeCells count="7">
    <mergeCell ref="A21:B21"/>
    <mergeCell ref="A3:A5"/>
    <mergeCell ref="B3:B5"/>
    <mergeCell ref="A18:B18"/>
    <mergeCell ref="C3:E3"/>
    <mergeCell ref="A6:K6"/>
    <mergeCell ref="A19:K19"/>
  </mergeCells>
  <printOptions/>
  <pageMargins left="0.75" right="0.75" top="1" bottom="1" header="0.5" footer="0.5"/>
  <pageSetup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agro5</cp:lastModifiedBy>
  <cp:lastPrinted>2012-01-16T06:31:14Z</cp:lastPrinted>
  <dcterms:created xsi:type="dcterms:W3CDTF">2002-11-05T10:10:22Z</dcterms:created>
  <dcterms:modified xsi:type="dcterms:W3CDTF">2012-03-12T04:55:14Z</dcterms:modified>
  <cp:category/>
  <cp:version/>
  <cp:contentType/>
  <cp:contentStatus/>
</cp:coreProperties>
</file>