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8400" windowHeight="6870" tabRatio="880" activeTab="9"/>
  </bookViews>
  <sheets>
    <sheet name="пало1" sheetId="1" r:id="rId1"/>
    <sheet name="привес" sheetId="2" r:id="rId2"/>
    <sheet name="численность 2" sheetId="3" r:id="rId3"/>
    <sheet name="численность 1" sheetId="4" r:id="rId4"/>
    <sheet name="приплод 2" sheetId="5" r:id="rId5"/>
    <sheet name="случка" sheetId="6" r:id="rId6"/>
    <sheet name="приплод 1" sheetId="7" r:id="rId7"/>
    <sheet name="на 100 га" sheetId="8" r:id="rId8"/>
    <sheet name="молоко" sheetId="9" r:id="rId9"/>
    <sheet name="мясо" sheetId="10" r:id="rId10"/>
  </sheets>
  <definedNames>
    <definedName name="_xlnm.Print_Area" localSheetId="8">'молоко'!$A$1:$K$16</definedName>
    <definedName name="_xlnm.Print_Area" localSheetId="9">'мясо'!$A$1:$K$19</definedName>
    <definedName name="_xlnm.Print_Area" localSheetId="7">'на 100 га'!$A$1:$F$16</definedName>
    <definedName name="_xlnm.Print_Area" localSheetId="0">'пало1'!$A$1:$T$18</definedName>
    <definedName name="_xlnm.Print_Area" localSheetId="1">'привес'!$A$1:$T$20</definedName>
    <definedName name="_xlnm.Print_Area" localSheetId="4">'приплод 2'!$A$1:$P$11</definedName>
    <definedName name="_xlnm.Print_Area" localSheetId="3">'численность 1'!$A$1:$U$19</definedName>
    <definedName name="_xlnm.Print_Area" localSheetId="2">'численность 2'!$A$1:$N$19</definedName>
  </definedNames>
  <calcPr fullCalcOnLoad="1"/>
</workbook>
</file>

<file path=xl/sharedStrings.xml><?xml version="1.0" encoding="utf-8"?>
<sst xmlns="http://schemas.openxmlformats.org/spreadsheetml/2006/main" count="272" uniqueCount="111">
  <si>
    <t>молока</t>
  </si>
  <si>
    <t>всего</t>
  </si>
  <si>
    <t>№</t>
  </si>
  <si>
    <t>Наименование хозяйств</t>
  </si>
  <si>
    <t xml:space="preserve">в % к </t>
  </si>
  <si>
    <t>в т.ч.</t>
  </si>
  <si>
    <t xml:space="preserve"> всего</t>
  </si>
  <si>
    <t>усл.гол.</t>
  </si>
  <si>
    <t xml:space="preserve">          в т.ч. коров</t>
  </si>
  <si>
    <t xml:space="preserve">     свиней</t>
  </si>
  <si>
    <t xml:space="preserve">         лошадей</t>
  </si>
  <si>
    <t>По району</t>
  </si>
  <si>
    <t xml:space="preserve">    ПРОИЗВОДСТВО МЯСА И МОЛОКА НА 100 га с/х угодий</t>
  </si>
  <si>
    <t xml:space="preserve"> производство молока, т</t>
  </si>
  <si>
    <t>в т.ч.отгру-</t>
  </si>
  <si>
    <t>жено мо-</t>
  </si>
  <si>
    <t>лока,т</t>
  </si>
  <si>
    <t>товар-</t>
  </si>
  <si>
    <t>ность,%</t>
  </si>
  <si>
    <t>средний удой от 1 ф.кор.кг</t>
  </si>
  <si>
    <t>куплено у</t>
  </si>
  <si>
    <t>населения</t>
  </si>
  <si>
    <t xml:space="preserve"> производство мяса, т</t>
  </si>
  <si>
    <t>в том числе</t>
  </si>
  <si>
    <t xml:space="preserve">      свиней</t>
  </si>
  <si>
    <t xml:space="preserve">        прочее</t>
  </si>
  <si>
    <t xml:space="preserve">           крс</t>
  </si>
  <si>
    <t xml:space="preserve">   получено телят, гол.</t>
  </si>
  <si>
    <t xml:space="preserve"> в т.ч. от коров</t>
  </si>
  <si>
    <t>ца с</t>
  </si>
  <si>
    <t>разни-</t>
  </si>
  <si>
    <t>получено телят</t>
  </si>
  <si>
    <t>на 100 коров</t>
  </si>
  <si>
    <t>растел нетелей</t>
  </si>
  <si>
    <t xml:space="preserve">            на 100 коров</t>
  </si>
  <si>
    <t>в т.ч.осн.</t>
  </si>
  <si>
    <t>Разница</t>
  </si>
  <si>
    <t xml:space="preserve">      всего КРС, гол</t>
  </si>
  <si>
    <t xml:space="preserve">        в т.ч. телок</t>
  </si>
  <si>
    <t>случ. с/маток и свинок</t>
  </si>
  <si>
    <t xml:space="preserve"> в т.ч. свинок</t>
  </si>
  <si>
    <t>Пало и погибло КРС</t>
  </si>
  <si>
    <t xml:space="preserve">Разница </t>
  </si>
  <si>
    <t xml:space="preserve">    Куплено</t>
  </si>
  <si>
    <t xml:space="preserve">       Продано</t>
  </si>
  <si>
    <t xml:space="preserve">         молока, ц</t>
  </si>
  <si>
    <t xml:space="preserve">       мяса, ц</t>
  </si>
  <si>
    <t>основ.</t>
  </si>
  <si>
    <t>пров.</t>
  </si>
  <si>
    <t xml:space="preserve">                                С/с привес ,г</t>
  </si>
  <si>
    <t xml:space="preserve">       крс</t>
  </si>
  <si>
    <t xml:space="preserve">    свиньи</t>
  </si>
  <si>
    <t xml:space="preserve">          в т.ч. разовых</t>
  </si>
  <si>
    <t>овец и коз</t>
  </si>
  <si>
    <t>Пало и погибло свин.</t>
  </si>
  <si>
    <t xml:space="preserve">               ( таблица 1)</t>
  </si>
  <si>
    <t xml:space="preserve">   ( таблица 2)</t>
  </si>
  <si>
    <t>по Ибресинскому району</t>
  </si>
  <si>
    <t xml:space="preserve">                      по Ибресинкому  району</t>
  </si>
  <si>
    <t xml:space="preserve">           по Ибресинскому району</t>
  </si>
  <si>
    <t>Колхоз им.Ильича</t>
  </si>
  <si>
    <t>Колхоз "Искра"</t>
  </si>
  <si>
    <t>Колхоз "Кр.фронтовик"</t>
  </si>
  <si>
    <t>Колхоз "Кр.партизан"</t>
  </si>
  <si>
    <t>СХПК им.Калинина</t>
  </si>
  <si>
    <t>Колхоз "Трудовик"</t>
  </si>
  <si>
    <t>Колхоз им.Кирова</t>
  </si>
  <si>
    <t>Колхоз "Заря"</t>
  </si>
  <si>
    <t>ОАО "Рассвет"</t>
  </si>
  <si>
    <t>в т.ч. от основных свиноматок</t>
  </si>
  <si>
    <t>осн.</t>
  </si>
  <si>
    <t>Среднегодовое поголовье коров, гол</t>
  </si>
  <si>
    <t>Наличие кормов, ц.к.ед.</t>
  </si>
  <si>
    <t>в т.ч. конц.</t>
  </si>
  <si>
    <t>из них покуп.</t>
  </si>
  <si>
    <t>ООО "Агропромкомплект"</t>
  </si>
  <si>
    <t>Итого по району</t>
  </si>
  <si>
    <t>ООО "А-ф "Путиловка"</t>
  </si>
  <si>
    <t>СПК "Патман"</t>
  </si>
  <si>
    <t xml:space="preserve"> в т.ч.  нетелей</t>
  </si>
  <si>
    <t>Крупного рогатого скота</t>
  </si>
  <si>
    <t xml:space="preserve">    Опоросилось свиноматок, голов</t>
  </si>
  <si>
    <t xml:space="preserve">Получено поросят на 1 свиноматку </t>
  </si>
  <si>
    <t xml:space="preserve">Получено поросят на 100 осн. свиноматок </t>
  </si>
  <si>
    <t>Получено поросят , гол.</t>
  </si>
  <si>
    <t>по Ибресинскому  району</t>
  </si>
  <si>
    <t>лошади</t>
  </si>
  <si>
    <t>овцы и козы</t>
  </si>
  <si>
    <t>КФХ Ярчеев П.И.</t>
  </si>
  <si>
    <t>КРС</t>
  </si>
  <si>
    <t>свиней</t>
  </si>
  <si>
    <t>2011 в %</t>
  </si>
  <si>
    <t>к 2010 г.</t>
  </si>
  <si>
    <t>2010 г.</t>
  </si>
  <si>
    <t>с 2010 г.</t>
  </si>
  <si>
    <t>разница с 2010 г.</t>
  </si>
  <si>
    <t>в % к 2010 г.</t>
  </si>
  <si>
    <t>2011 к 2010 г. %</t>
  </si>
  <si>
    <t xml:space="preserve">КРС </t>
  </si>
  <si>
    <t xml:space="preserve">      ЧИСЛЕННОСТЬ СКОТА по Ибресинскому району на 1.03.2011 г., (голов)</t>
  </si>
  <si>
    <r>
      <t xml:space="preserve">      ЧИСЛЕННОСТЬ СКОТА по </t>
    </r>
    <r>
      <rPr>
        <b/>
        <u val="single"/>
        <sz val="12"/>
        <rFont val="Arial Cyr"/>
        <family val="2"/>
      </rPr>
      <t>Ибресинскому</t>
    </r>
    <r>
      <rPr>
        <b/>
        <sz val="12"/>
        <rFont val="Arial Cyr"/>
        <family val="2"/>
      </rPr>
      <t xml:space="preserve"> району на 1.03.2011 г., (голов)</t>
    </r>
  </si>
  <si>
    <t xml:space="preserve">   Производство мяса за январь-февраль 2011г.</t>
  </si>
  <si>
    <t>по Ибресинскому району за январь-февраль 2011 года (ц)</t>
  </si>
  <si>
    <t>Поступление приплода (телят) за январь-февраль 2011 г.</t>
  </si>
  <si>
    <t>СЛУЧЕНО И ОСЕМЕНЕНО за январь-февраль 2011 г.по Ибресинскому р-ну</t>
  </si>
  <si>
    <t>Поступление приплода (поросят) за январь-февраль 2011 г.</t>
  </si>
  <si>
    <t>Показатели получения привесов за январь-февраль 2011 года</t>
  </si>
  <si>
    <t>ПАЛО И ПОГИБЛО - КУПЛЕНО- ПРОДАНО крс, свиней за январь-февраль 2011г.по Ибресинскому.р-ну</t>
  </si>
  <si>
    <t>Производство молока за  январь-февраль 2011 г. по Ибресинскому району</t>
  </si>
  <si>
    <t xml:space="preserve"> Кормодни</t>
  </si>
  <si>
    <t>Валовый привес ,центнер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</si>
</sst>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00"/>
    <numFmt numFmtId="170" formatCode="0.0000"/>
    <numFmt numFmtId="171" formatCode="0.000"/>
    <numFmt numFmtId="172" formatCode="0.0"/>
    <numFmt numFmtId="173" formatCode="0.0000000"/>
    <numFmt numFmtId="174" formatCode="0.00000000"/>
  </numFmts>
  <fonts count="14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i/>
      <sz val="12"/>
      <name val="Arial Cyr"/>
      <family val="2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16"/>
      <name val="Arial Cyr"/>
      <family val="2"/>
    </font>
    <font>
      <b/>
      <sz val="16"/>
      <name val="Arial Cyr"/>
      <family val="2"/>
    </font>
    <font>
      <i/>
      <sz val="16"/>
      <name val="Arial Cyr"/>
      <family val="2"/>
    </font>
    <font>
      <b/>
      <u val="single"/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44" fontId="0" fillId="0" borderId="0" xfId="16" applyAlignment="1">
      <alignment horizontal="center"/>
    </xf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2" xfId="0" applyFont="1" applyBorder="1" applyAlignment="1">
      <alignment/>
    </xf>
    <xf numFmtId="1" fontId="2" fillId="0" borderId="1" xfId="0" applyNumberFormat="1" applyFont="1" applyBorder="1" applyAlignment="1">
      <alignment horizontal="center"/>
    </xf>
    <xf numFmtId="0" fontId="2" fillId="0" borderId="5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5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3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172" fontId="4" fillId="0" borderId="1" xfId="0" applyNumberFormat="1" applyFont="1" applyBorder="1" applyAlignment="1">
      <alignment horizontal="center"/>
    </xf>
    <xf numFmtId="0" fontId="0" fillId="2" borderId="0" xfId="0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14" fontId="12" fillId="0" borderId="0" xfId="0" applyNumberFormat="1" applyFont="1" applyAlignment="1">
      <alignment/>
    </xf>
    <xf numFmtId="1" fontId="2" fillId="0" borderId="1" xfId="0" applyNumberFormat="1" applyFont="1" applyBorder="1" applyAlignment="1">
      <alignment/>
    </xf>
    <xf numFmtId="1" fontId="2" fillId="0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2" fontId="0" fillId="0" borderId="0" xfId="0" applyNumberFormat="1" applyBorder="1" applyAlignment="1">
      <alignment/>
    </xf>
    <xf numFmtId="0" fontId="2" fillId="0" borderId="2" xfId="0" applyFont="1" applyFill="1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2" fillId="0" borderId="7" xfId="0" applyFont="1" applyBorder="1" applyAlignment="1">
      <alignment/>
    </xf>
    <xf numFmtId="172" fontId="2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4" xfId="0" applyFont="1" applyFill="1" applyBorder="1" applyAlignment="1">
      <alignment horizontal="center"/>
    </xf>
    <xf numFmtId="172" fontId="2" fillId="0" borderId="0" xfId="0" applyNumberFormat="1" applyFont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1" fontId="4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72" fontId="2" fillId="0" borderId="1" xfId="0" applyNumberFormat="1" applyFont="1" applyBorder="1" applyAlignment="1">
      <alignment horizontal="center"/>
    </xf>
    <xf numFmtId="172" fontId="2" fillId="0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0" fillId="0" borderId="7" xfId="0" applyBorder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view="pageBreakPreview" zoomScale="75" zoomScaleSheetLayoutView="7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0" sqref="B10"/>
    </sheetView>
  </sheetViews>
  <sheetFormatPr defaultColWidth="9.00390625" defaultRowHeight="12.75"/>
  <cols>
    <col min="1" max="1" width="4.00390625" style="72" customWidth="1"/>
    <col min="2" max="2" width="28.625" style="72" customWidth="1"/>
    <col min="3" max="4" width="8.75390625" style="72" customWidth="1"/>
    <col min="5" max="5" width="8.875" style="72" customWidth="1"/>
    <col min="6" max="7" width="8.75390625" style="72" customWidth="1"/>
    <col min="8" max="8" width="8.875" style="72" customWidth="1"/>
    <col min="9" max="14" width="8.75390625" style="72" customWidth="1"/>
    <col min="15" max="15" width="8.875" style="72" customWidth="1"/>
    <col min="16" max="18" width="8.75390625" style="72" customWidth="1"/>
    <col min="19" max="19" width="8.875" style="72" customWidth="1"/>
    <col min="20" max="20" width="8.75390625" style="72" customWidth="1"/>
    <col min="21" max="16384" width="9.125" style="72" customWidth="1"/>
  </cols>
  <sheetData>
    <row r="1" spans="3:18" ht="15">
      <c r="C1" s="132" t="s">
        <v>107</v>
      </c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</row>
    <row r="2" spans="3:10" ht="15">
      <c r="C2" s="73"/>
      <c r="D2" s="73"/>
      <c r="E2" s="73"/>
      <c r="F2" s="73"/>
      <c r="G2" s="73"/>
      <c r="H2" s="73"/>
      <c r="I2" s="73"/>
      <c r="J2" s="73"/>
    </row>
    <row r="3" spans="1:20" s="20" customFormat="1" ht="18.75" customHeight="1">
      <c r="A3" s="33" t="s">
        <v>2</v>
      </c>
      <c r="B3" s="23" t="s">
        <v>3</v>
      </c>
      <c r="C3" s="133" t="s">
        <v>41</v>
      </c>
      <c r="D3" s="121"/>
      <c r="E3" s="122"/>
      <c r="F3" s="133" t="s">
        <v>54</v>
      </c>
      <c r="G3" s="121"/>
      <c r="H3" s="122"/>
      <c r="I3" s="133" t="s">
        <v>43</v>
      </c>
      <c r="J3" s="121"/>
      <c r="K3" s="121"/>
      <c r="L3" s="121"/>
      <c r="M3" s="121"/>
      <c r="N3" s="121"/>
      <c r="O3" s="121"/>
      <c r="P3" s="122"/>
      <c r="Q3" s="133" t="s">
        <v>44</v>
      </c>
      <c r="R3" s="121"/>
      <c r="S3" s="121"/>
      <c r="T3" s="122"/>
    </row>
    <row r="4" spans="1:20" s="20" customFormat="1" ht="18.75" customHeight="1">
      <c r="A4" s="38"/>
      <c r="B4" s="32"/>
      <c r="C4" s="128">
        <v>2010</v>
      </c>
      <c r="D4" s="128">
        <v>2011</v>
      </c>
      <c r="E4" s="102" t="s">
        <v>42</v>
      </c>
      <c r="F4" s="128">
        <v>2010</v>
      </c>
      <c r="G4" s="128">
        <v>2011</v>
      </c>
      <c r="H4" s="102" t="s">
        <v>42</v>
      </c>
      <c r="I4" s="130" t="s">
        <v>98</v>
      </c>
      <c r="J4" s="131"/>
      <c r="K4" s="130" t="s">
        <v>90</v>
      </c>
      <c r="L4" s="131"/>
      <c r="M4" s="130" t="s">
        <v>86</v>
      </c>
      <c r="N4" s="131"/>
      <c r="O4" s="130" t="s">
        <v>87</v>
      </c>
      <c r="P4" s="131"/>
      <c r="Q4" s="130" t="s">
        <v>89</v>
      </c>
      <c r="R4" s="131"/>
      <c r="S4" s="130" t="s">
        <v>90</v>
      </c>
      <c r="T4" s="131"/>
    </row>
    <row r="5" spans="1:20" s="20" customFormat="1" ht="18.75" customHeight="1">
      <c r="A5" s="29"/>
      <c r="B5" s="28"/>
      <c r="C5" s="129"/>
      <c r="D5" s="129"/>
      <c r="E5" s="103" t="s">
        <v>94</v>
      </c>
      <c r="F5" s="129"/>
      <c r="G5" s="129"/>
      <c r="H5" s="103" t="s">
        <v>94</v>
      </c>
      <c r="I5" s="104">
        <v>2010</v>
      </c>
      <c r="J5" s="105">
        <v>2011</v>
      </c>
      <c r="K5" s="104">
        <v>2010</v>
      </c>
      <c r="L5" s="105">
        <v>2011</v>
      </c>
      <c r="M5" s="104">
        <v>2010</v>
      </c>
      <c r="N5" s="105">
        <v>2011</v>
      </c>
      <c r="O5" s="104">
        <v>2010</v>
      </c>
      <c r="P5" s="105">
        <v>2011</v>
      </c>
      <c r="Q5" s="104">
        <v>2010</v>
      </c>
      <c r="R5" s="105">
        <v>2011</v>
      </c>
      <c r="S5" s="104">
        <v>2010</v>
      </c>
      <c r="T5" s="105">
        <v>2011</v>
      </c>
    </row>
    <row r="6" spans="1:20" s="20" customFormat="1" ht="15" customHeight="1">
      <c r="A6" s="30">
        <v>1</v>
      </c>
      <c r="B6" s="30" t="s">
        <v>60</v>
      </c>
      <c r="C6" s="113"/>
      <c r="D6" s="3"/>
      <c r="E6" s="11">
        <f aca="true" t="shared" si="0" ref="E6:E15">D6-C6</f>
        <v>0</v>
      </c>
      <c r="F6" s="113"/>
      <c r="G6" s="3"/>
      <c r="H6" s="3"/>
      <c r="I6" s="3"/>
      <c r="J6" s="3"/>
      <c r="K6" s="3"/>
      <c r="L6" s="3"/>
      <c r="M6" s="3"/>
      <c r="N6" s="3"/>
      <c r="O6" s="3"/>
      <c r="P6" s="3"/>
      <c r="Q6" s="113"/>
      <c r="R6" s="3"/>
      <c r="S6" s="3"/>
      <c r="T6" s="3"/>
    </row>
    <row r="7" spans="1:20" s="20" customFormat="1" ht="13.5" customHeight="1">
      <c r="A7" s="30">
        <v>2</v>
      </c>
      <c r="B7" s="30" t="s">
        <v>61</v>
      </c>
      <c r="C7" s="114">
        <v>1</v>
      </c>
      <c r="D7" s="3">
        <v>1</v>
      </c>
      <c r="E7" s="11">
        <f t="shared" si="0"/>
        <v>0</v>
      </c>
      <c r="F7" s="113"/>
      <c r="G7" s="3"/>
      <c r="H7" s="3"/>
      <c r="I7" s="3"/>
      <c r="J7" s="3"/>
      <c r="K7" s="3"/>
      <c r="L7" s="3"/>
      <c r="M7" s="3"/>
      <c r="N7" s="3"/>
      <c r="O7" s="3"/>
      <c r="P7" s="3"/>
      <c r="Q7" s="113">
        <v>14</v>
      </c>
      <c r="R7" s="3">
        <v>4</v>
      </c>
      <c r="S7" s="113"/>
      <c r="T7" s="3"/>
    </row>
    <row r="8" spans="1:20" s="20" customFormat="1" ht="13.5" customHeight="1">
      <c r="A8" s="30">
        <v>3</v>
      </c>
      <c r="B8" s="30" t="s">
        <v>62</v>
      </c>
      <c r="C8" s="114">
        <v>1</v>
      </c>
      <c r="D8" s="3"/>
      <c r="E8" s="11">
        <f t="shared" si="0"/>
        <v>-1</v>
      </c>
      <c r="F8" s="113"/>
      <c r="G8" s="3"/>
      <c r="H8" s="3"/>
      <c r="I8" s="3"/>
      <c r="J8" s="3"/>
      <c r="K8" s="3"/>
      <c r="L8" s="3"/>
      <c r="M8" s="3"/>
      <c r="N8" s="3"/>
      <c r="O8" s="3"/>
      <c r="P8" s="3"/>
      <c r="Q8" s="113">
        <v>1</v>
      </c>
      <c r="R8" s="3">
        <v>7</v>
      </c>
      <c r="S8" s="113"/>
      <c r="T8" s="3"/>
    </row>
    <row r="9" spans="1:20" s="20" customFormat="1" ht="12.75" customHeight="1">
      <c r="A9" s="30">
        <v>4</v>
      </c>
      <c r="B9" s="22" t="s">
        <v>63</v>
      </c>
      <c r="C9" s="114">
        <v>1</v>
      </c>
      <c r="D9" s="3">
        <v>2</v>
      </c>
      <c r="E9" s="11">
        <f t="shared" si="0"/>
        <v>1</v>
      </c>
      <c r="F9" s="113"/>
      <c r="G9" s="3"/>
      <c r="H9" s="3"/>
      <c r="I9" s="3"/>
      <c r="J9" s="3"/>
      <c r="K9" s="3"/>
      <c r="L9" s="3"/>
      <c r="M9" s="3"/>
      <c r="N9" s="3"/>
      <c r="O9" s="3"/>
      <c r="P9" s="3"/>
      <c r="Q9" s="113"/>
      <c r="R9" s="3"/>
      <c r="S9" s="114">
        <v>2</v>
      </c>
      <c r="T9" s="3">
        <v>2</v>
      </c>
    </row>
    <row r="10" spans="1:20" s="20" customFormat="1" ht="13.5" customHeight="1">
      <c r="A10" s="30">
        <v>5</v>
      </c>
      <c r="B10" s="89" t="s">
        <v>64</v>
      </c>
      <c r="C10" s="114"/>
      <c r="D10" s="3"/>
      <c r="E10" s="11">
        <f t="shared" si="0"/>
        <v>0</v>
      </c>
      <c r="F10" s="114">
        <v>53</v>
      </c>
      <c r="G10" s="3">
        <v>14</v>
      </c>
      <c r="H10" s="3">
        <f>G10-F10</f>
        <v>-39</v>
      </c>
      <c r="I10" s="11"/>
      <c r="J10" s="3"/>
      <c r="K10" s="11"/>
      <c r="L10" s="11"/>
      <c r="M10" s="11"/>
      <c r="N10" s="11"/>
      <c r="O10" s="11"/>
      <c r="P10" s="11"/>
      <c r="Q10" s="115">
        <v>1</v>
      </c>
      <c r="R10" s="11"/>
      <c r="S10" s="114">
        <v>17</v>
      </c>
      <c r="T10" s="3">
        <v>10</v>
      </c>
    </row>
    <row r="11" spans="1:20" s="20" customFormat="1" ht="12.75" customHeight="1">
      <c r="A11" s="30">
        <v>6</v>
      </c>
      <c r="B11" s="31" t="s">
        <v>78</v>
      </c>
      <c r="C11" s="114">
        <v>2</v>
      </c>
      <c r="D11" s="3"/>
      <c r="E11" s="11">
        <f t="shared" si="0"/>
        <v>-2</v>
      </c>
      <c r="F11" s="114"/>
      <c r="G11" s="3"/>
      <c r="H11" s="3"/>
      <c r="I11" s="84"/>
      <c r="J11" s="84"/>
      <c r="K11" s="84"/>
      <c r="L11" s="84"/>
      <c r="M11" s="84"/>
      <c r="N11" s="84"/>
      <c r="O11" s="84"/>
      <c r="P11" s="84"/>
      <c r="Q11" s="116"/>
      <c r="R11" s="84"/>
      <c r="S11" s="114"/>
      <c r="T11" s="3"/>
    </row>
    <row r="12" spans="1:20" s="20" customFormat="1" ht="12.75" customHeight="1">
      <c r="A12" s="30">
        <v>7</v>
      </c>
      <c r="B12" s="30" t="s">
        <v>65</v>
      </c>
      <c r="C12" s="114"/>
      <c r="D12" s="3"/>
      <c r="E12" s="11">
        <f t="shared" si="0"/>
        <v>0</v>
      </c>
      <c r="F12" s="114"/>
      <c r="G12" s="3"/>
      <c r="H12" s="3"/>
      <c r="I12" s="3"/>
      <c r="J12" s="3"/>
      <c r="K12" s="3"/>
      <c r="L12" s="3"/>
      <c r="M12" s="3"/>
      <c r="N12" s="3"/>
      <c r="O12" s="3"/>
      <c r="P12" s="3"/>
      <c r="Q12" s="113"/>
      <c r="R12" s="3"/>
      <c r="S12" s="114"/>
      <c r="T12" s="3"/>
    </row>
    <row r="13" spans="1:20" s="20" customFormat="1" ht="13.5" customHeight="1">
      <c r="A13" s="30">
        <v>8</v>
      </c>
      <c r="B13" s="31" t="s">
        <v>77</v>
      </c>
      <c r="C13" s="114"/>
      <c r="D13" s="3"/>
      <c r="E13" s="11">
        <f t="shared" si="0"/>
        <v>0</v>
      </c>
      <c r="F13" s="114"/>
      <c r="G13" s="3"/>
      <c r="H13" s="3"/>
      <c r="I13" s="3"/>
      <c r="J13" s="3"/>
      <c r="K13" s="3"/>
      <c r="L13" s="3"/>
      <c r="M13" s="3"/>
      <c r="N13" s="3"/>
      <c r="O13" s="3"/>
      <c r="P13" s="3"/>
      <c r="Q13" s="113">
        <v>12</v>
      </c>
      <c r="R13" s="3"/>
      <c r="S13" s="114"/>
      <c r="T13" s="3"/>
    </row>
    <row r="14" spans="1:20" s="20" customFormat="1" ht="12.75" customHeight="1">
      <c r="A14" s="30">
        <v>9</v>
      </c>
      <c r="B14" s="30" t="s">
        <v>66</v>
      </c>
      <c r="C14" s="114"/>
      <c r="D14" s="3"/>
      <c r="E14" s="11">
        <f t="shared" si="0"/>
        <v>0</v>
      </c>
      <c r="F14" s="114"/>
      <c r="G14" s="3"/>
      <c r="H14" s="3"/>
      <c r="I14" s="3"/>
      <c r="J14" s="3"/>
      <c r="K14" s="3"/>
      <c r="L14" s="3"/>
      <c r="M14" s="3"/>
      <c r="N14" s="3"/>
      <c r="O14" s="3"/>
      <c r="P14" s="3"/>
      <c r="Q14" s="113"/>
      <c r="R14" s="3"/>
      <c r="S14" s="114"/>
      <c r="T14" s="3"/>
    </row>
    <row r="15" spans="1:20" s="20" customFormat="1" ht="12.75" customHeight="1">
      <c r="A15" s="30">
        <v>10</v>
      </c>
      <c r="B15" s="30" t="s">
        <v>67</v>
      </c>
      <c r="C15" s="114"/>
      <c r="D15" s="3"/>
      <c r="E15" s="11">
        <f t="shared" si="0"/>
        <v>0</v>
      </c>
      <c r="F15" s="114"/>
      <c r="G15" s="3"/>
      <c r="H15" s="3"/>
      <c r="I15" s="3"/>
      <c r="J15" s="3"/>
      <c r="K15" s="3"/>
      <c r="L15" s="3"/>
      <c r="M15" s="3"/>
      <c r="N15" s="3"/>
      <c r="O15" s="3"/>
      <c r="P15" s="3"/>
      <c r="Q15" s="113"/>
      <c r="R15" s="3"/>
      <c r="S15" s="114"/>
      <c r="T15" s="3"/>
    </row>
    <row r="16" spans="1:20" s="20" customFormat="1" ht="12.75" customHeight="1">
      <c r="A16" s="30">
        <v>11</v>
      </c>
      <c r="B16" s="30" t="s">
        <v>68</v>
      </c>
      <c r="C16" s="113"/>
      <c r="D16" s="3"/>
      <c r="E16" s="11"/>
      <c r="F16" s="114">
        <v>163</v>
      </c>
      <c r="G16" s="3">
        <v>143</v>
      </c>
      <c r="H16" s="3">
        <f>G16-F16</f>
        <v>-20</v>
      </c>
      <c r="I16" s="3"/>
      <c r="J16" s="3"/>
      <c r="K16" s="3"/>
      <c r="L16" s="3"/>
      <c r="M16" s="3"/>
      <c r="N16" s="3"/>
      <c r="O16" s="3"/>
      <c r="P16" s="3"/>
      <c r="Q16" s="113"/>
      <c r="R16" s="3"/>
      <c r="S16" s="114">
        <v>25</v>
      </c>
      <c r="T16" s="3">
        <v>3</v>
      </c>
    </row>
    <row r="17" spans="1:20" s="20" customFormat="1" ht="12.75" customHeight="1">
      <c r="A17" s="30">
        <v>12</v>
      </c>
      <c r="B17" s="31" t="s">
        <v>75</v>
      </c>
      <c r="C17" s="113"/>
      <c r="D17" s="3"/>
      <c r="E17" s="11"/>
      <c r="F17" s="3"/>
      <c r="G17" s="3"/>
      <c r="H17" s="3"/>
      <c r="I17" s="3"/>
      <c r="J17" s="3"/>
      <c r="K17" s="3"/>
      <c r="L17" s="3"/>
      <c r="M17" s="3">
        <v>37</v>
      </c>
      <c r="N17" s="3"/>
      <c r="O17" s="3"/>
      <c r="P17" s="3"/>
      <c r="Q17" s="113"/>
      <c r="R17" s="3"/>
      <c r="S17" s="114"/>
      <c r="T17" s="3"/>
    </row>
    <row r="18" spans="1:20" s="20" customFormat="1" ht="13.5" customHeight="1">
      <c r="A18" s="30"/>
      <c r="B18" s="30" t="s">
        <v>11</v>
      </c>
      <c r="C18" s="3">
        <f>SUM(C6:C15)</f>
        <v>5</v>
      </c>
      <c r="D18" s="3">
        <f>SUM(D6:D16)</f>
        <v>3</v>
      </c>
      <c r="E18" s="11">
        <f>D18-C18</f>
        <v>-2</v>
      </c>
      <c r="F18" s="3">
        <f>SUM(F10:F17)</f>
        <v>216</v>
      </c>
      <c r="G18" s="3">
        <f>SUM(G10:G17)</f>
        <v>157</v>
      </c>
      <c r="H18" s="3">
        <f>G18-F18</f>
        <v>-59</v>
      </c>
      <c r="I18" s="3">
        <f>SUM(I6:I16)</f>
        <v>0</v>
      </c>
      <c r="J18" s="3">
        <f>SUM(J6:J16)</f>
        <v>0</v>
      </c>
      <c r="K18" s="3">
        <f>SUM(K6:K16)</f>
        <v>0</v>
      </c>
      <c r="L18" s="3">
        <f>SUM(L6:L17)</f>
        <v>0</v>
      </c>
      <c r="M18" s="3">
        <v>0</v>
      </c>
      <c r="N18" s="3">
        <f>SUM(N17)</f>
        <v>0</v>
      </c>
      <c r="O18" s="3">
        <f>SUM(O6:O16)</f>
        <v>0</v>
      </c>
      <c r="P18" s="3">
        <f>SUM(P6:P16)</f>
        <v>0</v>
      </c>
      <c r="Q18" s="3">
        <f>SUM(Q6:Q16)</f>
        <v>28</v>
      </c>
      <c r="R18" s="3">
        <f>SUM(R6:R16)</f>
        <v>11</v>
      </c>
      <c r="S18" s="3">
        <f>SUM(S9:S16)</f>
        <v>44</v>
      </c>
      <c r="T18" s="3">
        <f>SUM(T6:T16)</f>
        <v>15</v>
      </c>
    </row>
    <row r="19" ht="14.25">
      <c r="B19" s="75"/>
    </row>
  </sheetData>
  <mergeCells count="15">
    <mergeCell ref="C1:R1"/>
    <mergeCell ref="F3:H3"/>
    <mergeCell ref="I4:J4"/>
    <mergeCell ref="C3:E3"/>
    <mergeCell ref="I3:P3"/>
    <mergeCell ref="Q3:T3"/>
    <mergeCell ref="K4:L4"/>
    <mergeCell ref="C4:C5"/>
    <mergeCell ref="D4:D5"/>
    <mergeCell ref="F4:F5"/>
    <mergeCell ref="G4:G5"/>
    <mergeCell ref="M4:N4"/>
    <mergeCell ref="O4:P4"/>
    <mergeCell ref="Q4:R4"/>
    <mergeCell ref="S4:T4"/>
  </mergeCells>
  <printOptions/>
  <pageMargins left="0.75" right="0.75" top="1" bottom="1" header="0.5" footer="0.5"/>
  <pageSetup horizontalDpi="600" verticalDpi="600" orientation="landscape" paperSize="9" scale="69" r:id="rId1"/>
  <colBreaks count="1" manualBreakCount="1">
    <brk id="2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19"/>
  <sheetViews>
    <sheetView tabSelected="1" view="pageBreakPreview" zoomScale="75" zoomScaleNormal="65" zoomScaleSheetLayoutView="75" workbookViewId="0" topLeftCell="A1">
      <selection activeCell="C8" sqref="C8"/>
    </sheetView>
  </sheetViews>
  <sheetFormatPr defaultColWidth="9.00390625" defaultRowHeight="12.75"/>
  <cols>
    <col min="1" max="1" width="3.875" style="0" customWidth="1"/>
    <col min="2" max="2" width="31.25390625" style="0" customWidth="1"/>
    <col min="3" max="3" width="10.375" style="0" customWidth="1"/>
    <col min="4" max="4" width="9.75390625" style="0" customWidth="1"/>
    <col min="5" max="5" width="11.625" style="0" customWidth="1"/>
    <col min="6" max="6" width="10.00390625" style="0" customWidth="1"/>
    <col min="7" max="7" width="10.625" style="0" customWidth="1"/>
    <col min="8" max="8" width="10.875" style="0" customWidth="1"/>
    <col min="9" max="9" width="10.375" style="0" customWidth="1"/>
    <col min="10" max="10" width="9.875" style="0" customWidth="1"/>
    <col min="11" max="11" width="10.875" style="0" customWidth="1"/>
  </cols>
  <sheetData>
    <row r="1" spans="1:13" ht="15.75">
      <c r="A1" s="20"/>
      <c r="B1" s="20"/>
      <c r="C1" s="178" t="s">
        <v>101</v>
      </c>
      <c r="D1" s="178"/>
      <c r="E1" s="178"/>
      <c r="F1" s="178"/>
      <c r="G1" s="178"/>
      <c r="H1" s="178"/>
      <c r="I1" s="20"/>
      <c r="J1" s="20"/>
      <c r="K1" s="20"/>
      <c r="L1" s="20"/>
      <c r="M1" s="20"/>
    </row>
    <row r="2" spans="1:13" ht="15">
      <c r="A2" s="20"/>
      <c r="B2" s="20"/>
      <c r="C2" s="165" t="s">
        <v>59</v>
      </c>
      <c r="D2" s="165"/>
      <c r="E2" s="165"/>
      <c r="F2" s="165"/>
      <c r="G2" s="20"/>
      <c r="H2" s="20"/>
      <c r="I2" s="20"/>
      <c r="J2" s="20"/>
      <c r="K2" s="20"/>
      <c r="L2" s="20"/>
      <c r="M2" s="20"/>
    </row>
    <row r="3" spans="1:13" ht="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15">
      <c r="A4" s="185" t="s">
        <v>2</v>
      </c>
      <c r="B4" s="185" t="s">
        <v>3</v>
      </c>
      <c r="C4" s="24" t="s">
        <v>22</v>
      </c>
      <c r="D4" s="25"/>
      <c r="E4" s="26"/>
      <c r="F4" s="24"/>
      <c r="G4" s="25"/>
      <c r="H4" s="25" t="s">
        <v>23</v>
      </c>
      <c r="I4" s="25"/>
      <c r="J4" s="25"/>
      <c r="K4" s="26"/>
      <c r="L4" s="20"/>
      <c r="M4" s="20"/>
    </row>
    <row r="5" spans="1:13" ht="15">
      <c r="A5" s="186"/>
      <c r="B5" s="186"/>
      <c r="C5" s="18">
        <v>2010</v>
      </c>
      <c r="D5" s="19">
        <v>2011</v>
      </c>
      <c r="E5" s="19" t="s">
        <v>91</v>
      </c>
      <c r="F5" s="24" t="s">
        <v>26</v>
      </c>
      <c r="G5" s="26"/>
      <c r="H5" s="24" t="s">
        <v>24</v>
      </c>
      <c r="I5" s="26"/>
      <c r="J5" s="24" t="s">
        <v>25</v>
      </c>
      <c r="K5" s="26"/>
      <c r="L5" s="20"/>
      <c r="M5" s="20"/>
    </row>
    <row r="6" spans="1:13" ht="15">
      <c r="A6" s="187"/>
      <c r="B6" s="187"/>
      <c r="C6" s="39"/>
      <c r="D6" s="11"/>
      <c r="E6" s="11" t="s">
        <v>92</v>
      </c>
      <c r="F6" s="18">
        <v>2010</v>
      </c>
      <c r="G6" s="19">
        <v>2011</v>
      </c>
      <c r="H6" s="18">
        <v>2010</v>
      </c>
      <c r="I6" s="19">
        <v>2011</v>
      </c>
      <c r="J6" s="18">
        <v>2010</v>
      </c>
      <c r="K6" s="19">
        <v>2011</v>
      </c>
      <c r="L6" s="20"/>
      <c r="M6" s="20"/>
    </row>
    <row r="7" spans="1:13" ht="15">
      <c r="A7" s="30">
        <v>1</v>
      </c>
      <c r="B7" s="30" t="s">
        <v>60</v>
      </c>
      <c r="C7" s="3">
        <v>4.6</v>
      </c>
      <c r="D7" s="3">
        <v>9.9</v>
      </c>
      <c r="E7" s="35">
        <f aca="true" t="shared" si="0" ref="E7:E19">D7*100/C7</f>
        <v>215.21739130434784</v>
      </c>
      <c r="F7" s="3">
        <v>4.3</v>
      </c>
      <c r="G7" s="3">
        <v>9.9</v>
      </c>
      <c r="H7" s="3"/>
      <c r="I7" s="3"/>
      <c r="J7" s="3">
        <v>0.3</v>
      </c>
      <c r="K7" s="3"/>
      <c r="L7" s="94"/>
      <c r="M7" s="20"/>
    </row>
    <row r="8" spans="1:13" ht="15">
      <c r="A8" s="30">
        <v>2</v>
      </c>
      <c r="B8" s="30" t="s">
        <v>61</v>
      </c>
      <c r="C8" s="3">
        <v>1</v>
      </c>
      <c r="D8" s="3">
        <v>2.8</v>
      </c>
      <c r="E8" s="35">
        <f t="shared" si="0"/>
        <v>280</v>
      </c>
      <c r="F8" s="3">
        <v>1</v>
      </c>
      <c r="G8" s="3">
        <v>2.8</v>
      </c>
      <c r="H8" s="3"/>
      <c r="I8" s="3"/>
      <c r="J8" s="3"/>
      <c r="K8" s="3"/>
      <c r="L8" s="94"/>
      <c r="M8" s="20"/>
    </row>
    <row r="9" spans="1:13" ht="15">
      <c r="A9" s="30">
        <v>3</v>
      </c>
      <c r="B9" s="30" t="s">
        <v>62</v>
      </c>
      <c r="C9" s="3">
        <v>0.04</v>
      </c>
      <c r="D9" s="3">
        <v>2.2</v>
      </c>
      <c r="E9" s="35">
        <f t="shared" si="0"/>
        <v>5500.000000000001</v>
      </c>
      <c r="F9" s="3">
        <v>0.04</v>
      </c>
      <c r="G9" s="3">
        <v>2.2</v>
      </c>
      <c r="H9" s="3"/>
      <c r="I9" s="3"/>
      <c r="J9" s="3"/>
      <c r="K9" s="3"/>
      <c r="L9" s="94"/>
      <c r="M9" s="20"/>
    </row>
    <row r="10" spans="1:13" ht="15">
      <c r="A10" s="30">
        <v>4</v>
      </c>
      <c r="B10" s="40" t="s">
        <v>63</v>
      </c>
      <c r="C10" s="3">
        <v>10.5</v>
      </c>
      <c r="D10" s="3">
        <v>28.2</v>
      </c>
      <c r="E10" s="35">
        <f t="shared" si="0"/>
        <v>268.57142857142856</v>
      </c>
      <c r="F10" s="3">
        <v>9.9</v>
      </c>
      <c r="G10" s="3">
        <v>27.5</v>
      </c>
      <c r="H10" s="3">
        <v>0.6</v>
      </c>
      <c r="I10" s="3">
        <v>0.3</v>
      </c>
      <c r="J10" s="3"/>
      <c r="K10" s="3">
        <v>0.4</v>
      </c>
      <c r="L10" s="94"/>
      <c r="M10" s="20"/>
    </row>
    <row r="11" spans="1:13" ht="15">
      <c r="A11" s="30">
        <v>5</v>
      </c>
      <c r="B11" s="30" t="s">
        <v>64</v>
      </c>
      <c r="C11" s="3">
        <v>7.5</v>
      </c>
      <c r="D11" s="3">
        <v>9.3</v>
      </c>
      <c r="E11" s="35">
        <f t="shared" si="0"/>
        <v>124.00000000000001</v>
      </c>
      <c r="F11" s="3">
        <v>4.2</v>
      </c>
      <c r="G11" s="3">
        <v>3.7</v>
      </c>
      <c r="H11" s="3">
        <v>2.9</v>
      </c>
      <c r="I11" s="3">
        <v>3.2</v>
      </c>
      <c r="J11" s="3">
        <v>0.4</v>
      </c>
      <c r="K11" s="3">
        <v>2.4</v>
      </c>
      <c r="L11" s="94"/>
      <c r="M11" s="20"/>
    </row>
    <row r="12" spans="1:13" ht="15">
      <c r="A12" s="30">
        <v>6</v>
      </c>
      <c r="B12" s="31" t="s">
        <v>78</v>
      </c>
      <c r="C12" s="3">
        <v>3</v>
      </c>
      <c r="D12" s="3">
        <v>2</v>
      </c>
      <c r="E12" s="35">
        <f t="shared" si="0"/>
        <v>66.66666666666667</v>
      </c>
      <c r="F12" s="84">
        <v>2.7</v>
      </c>
      <c r="G12" s="84">
        <v>1.7</v>
      </c>
      <c r="H12" s="84"/>
      <c r="I12" s="84"/>
      <c r="J12" s="84">
        <v>0.3</v>
      </c>
      <c r="K12" s="84">
        <v>0.3</v>
      </c>
      <c r="L12" s="94"/>
      <c r="M12" s="20"/>
    </row>
    <row r="13" spans="1:13" ht="15">
      <c r="A13" s="30">
        <v>7</v>
      </c>
      <c r="B13" s="31" t="s">
        <v>65</v>
      </c>
      <c r="C13" s="3"/>
      <c r="D13" s="3"/>
      <c r="E13" s="35"/>
      <c r="F13" s="84"/>
      <c r="G13" s="84"/>
      <c r="H13" s="84"/>
      <c r="I13" s="84"/>
      <c r="J13" s="84"/>
      <c r="K13" s="84"/>
      <c r="L13" s="94"/>
      <c r="M13" s="20"/>
    </row>
    <row r="14" spans="1:13" ht="15">
      <c r="A14" s="30">
        <v>8</v>
      </c>
      <c r="B14" s="31" t="s">
        <v>77</v>
      </c>
      <c r="C14" s="3">
        <v>1.5</v>
      </c>
      <c r="D14" s="3">
        <v>3.1</v>
      </c>
      <c r="E14" s="35">
        <f t="shared" si="0"/>
        <v>206.66666666666666</v>
      </c>
      <c r="F14" s="84">
        <v>1.5</v>
      </c>
      <c r="G14" s="84">
        <v>3.1</v>
      </c>
      <c r="H14" s="84"/>
      <c r="I14" s="84"/>
      <c r="J14" s="84"/>
      <c r="K14" s="84"/>
      <c r="L14" s="94"/>
      <c r="M14" s="20"/>
    </row>
    <row r="15" spans="1:13" ht="15">
      <c r="A15" s="30">
        <v>9</v>
      </c>
      <c r="B15" s="31" t="s">
        <v>66</v>
      </c>
      <c r="C15" s="3">
        <v>2</v>
      </c>
      <c r="D15" s="3">
        <v>0.7</v>
      </c>
      <c r="E15" s="35">
        <f t="shared" si="0"/>
        <v>35</v>
      </c>
      <c r="F15" s="84">
        <v>2</v>
      </c>
      <c r="G15" s="84">
        <v>0.7</v>
      </c>
      <c r="H15" s="84"/>
      <c r="I15" s="84"/>
      <c r="J15" s="84"/>
      <c r="K15" s="84"/>
      <c r="L15" s="94"/>
      <c r="M15" s="20"/>
    </row>
    <row r="16" spans="1:13" ht="15">
      <c r="A16" s="30">
        <v>10</v>
      </c>
      <c r="B16" s="31" t="s">
        <v>67</v>
      </c>
      <c r="C16" s="3">
        <v>0.5</v>
      </c>
      <c r="D16" s="3">
        <v>2.3</v>
      </c>
      <c r="E16" s="35">
        <f t="shared" si="0"/>
        <v>459.99999999999994</v>
      </c>
      <c r="F16" s="84">
        <v>0.5</v>
      </c>
      <c r="G16" s="84">
        <v>2.3</v>
      </c>
      <c r="H16" s="84"/>
      <c r="I16" s="84"/>
      <c r="J16" s="84"/>
      <c r="K16" s="84"/>
      <c r="L16" s="94"/>
      <c r="M16" s="20"/>
    </row>
    <row r="17" spans="1:13" ht="15">
      <c r="A17" s="30">
        <v>11</v>
      </c>
      <c r="B17" s="31" t="s">
        <v>68</v>
      </c>
      <c r="C17" s="3">
        <v>118</v>
      </c>
      <c r="D17" s="3">
        <v>124</v>
      </c>
      <c r="E17" s="35">
        <f t="shared" si="0"/>
        <v>105.08474576271186</v>
      </c>
      <c r="F17" s="84"/>
      <c r="G17" s="84"/>
      <c r="H17" s="84">
        <v>118</v>
      </c>
      <c r="I17" s="84">
        <v>124</v>
      </c>
      <c r="J17" s="84"/>
      <c r="K17" s="84"/>
      <c r="L17" s="94"/>
      <c r="M17" s="20"/>
    </row>
    <row r="18" spans="1:13" ht="15">
      <c r="A18" s="30">
        <v>12</v>
      </c>
      <c r="B18" s="31" t="s">
        <v>75</v>
      </c>
      <c r="C18" s="20"/>
      <c r="D18" s="3">
        <v>0.5</v>
      </c>
      <c r="E18" s="35"/>
      <c r="F18" s="84"/>
      <c r="G18" s="84"/>
      <c r="H18" s="84"/>
      <c r="I18" s="84"/>
      <c r="J18" s="84"/>
      <c r="K18" s="84">
        <v>0.5</v>
      </c>
      <c r="L18" s="94"/>
      <c r="M18" s="20"/>
    </row>
    <row r="19" spans="1:13" ht="15">
      <c r="A19" s="138" t="s">
        <v>11</v>
      </c>
      <c r="B19" s="140"/>
      <c r="C19" s="117">
        <f>SUM(C7:C17)</f>
        <v>148.64</v>
      </c>
      <c r="D19" s="117">
        <f>SUM(D7:D18)</f>
        <v>185</v>
      </c>
      <c r="E19" s="35">
        <f t="shared" si="0"/>
        <v>124.46178686759959</v>
      </c>
      <c r="F19" s="118">
        <f>SUM(F7:F17)</f>
        <v>26.14</v>
      </c>
      <c r="G19" s="117">
        <f>SUM(G7:G17)</f>
        <v>53.900000000000006</v>
      </c>
      <c r="H19" s="117">
        <f>SUM(H7:H18)</f>
        <v>121.5</v>
      </c>
      <c r="I19" s="117">
        <f>SUM(I7:I18)</f>
        <v>127.5</v>
      </c>
      <c r="J19" s="117">
        <f>SUM(J7:J17)</f>
        <v>1</v>
      </c>
      <c r="K19" s="117">
        <f>SUM(K7:K18)</f>
        <v>3.5999999999999996</v>
      </c>
      <c r="L19" s="94"/>
      <c r="M19" s="20"/>
    </row>
  </sheetData>
  <mergeCells count="5">
    <mergeCell ref="C1:H1"/>
    <mergeCell ref="C2:F2"/>
    <mergeCell ref="A19:B19"/>
    <mergeCell ref="A4:A6"/>
    <mergeCell ref="B4:B6"/>
  </mergeCells>
  <printOptions/>
  <pageMargins left="0.75" right="0.75" top="1" bottom="1" header="0.5" footer="0.5"/>
  <pageSetup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0"/>
  <sheetViews>
    <sheetView view="pageBreakPreview" zoomScale="75" zoomScaleNormal="75" zoomScaleSheetLayoutView="75" workbookViewId="0" topLeftCell="A1">
      <pane xSplit="2" topLeftCell="C1" activePane="topRight" state="frozen"/>
      <selection pane="topLeft" activeCell="A1" sqref="A1"/>
      <selection pane="topRight" activeCell="B14" sqref="B14"/>
    </sheetView>
  </sheetViews>
  <sheetFormatPr defaultColWidth="9.00390625" defaultRowHeight="12.75"/>
  <cols>
    <col min="1" max="1" width="4.00390625" style="0" customWidth="1"/>
    <col min="2" max="2" width="25.125" style="0" customWidth="1"/>
    <col min="3" max="4" width="7.125" style="0" customWidth="1"/>
    <col min="5" max="5" width="8.25390625" style="0" customWidth="1"/>
    <col min="6" max="7" width="7.125" style="0" customWidth="1"/>
    <col min="8" max="8" width="6.375" style="0" customWidth="1"/>
    <col min="9" max="10" width="10.25390625" style="0" customWidth="1"/>
    <col min="11" max="11" width="8.25390625" style="0" customWidth="1"/>
    <col min="12" max="12" width="11.125" style="0" customWidth="1"/>
    <col min="13" max="13" width="10.625" style="0" customWidth="1"/>
    <col min="14" max="14" width="7.875" style="0" customWidth="1"/>
    <col min="15" max="15" width="7.00390625" style="0" customWidth="1"/>
    <col min="16" max="16" width="7.125" style="0" customWidth="1"/>
    <col min="17" max="17" width="8.625" style="0" customWidth="1"/>
    <col min="18" max="18" width="6.375" style="0" customWidth="1"/>
    <col min="19" max="19" width="6.25390625" style="0" customWidth="1"/>
    <col min="20" max="20" width="8.75390625" style="0" customWidth="1"/>
  </cols>
  <sheetData>
    <row r="1" spans="2:20" ht="15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2:20" ht="15.75">
      <c r="B2" s="20"/>
      <c r="C2" s="20"/>
      <c r="D2" s="20"/>
      <c r="E2" s="20"/>
      <c r="F2" s="20"/>
      <c r="G2" s="1" t="s">
        <v>106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2:20" ht="15">
      <c r="B3" s="20"/>
      <c r="C3" s="20"/>
      <c r="D3" s="20"/>
      <c r="E3" s="20"/>
      <c r="F3" s="20"/>
      <c r="G3" s="20"/>
      <c r="H3" s="20"/>
      <c r="I3" s="20" t="s">
        <v>57</v>
      </c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0" ht="15">
      <c r="A4" s="135" t="s">
        <v>2</v>
      </c>
      <c r="B4" s="141" t="s">
        <v>3</v>
      </c>
      <c r="C4" s="138" t="s">
        <v>110</v>
      </c>
      <c r="D4" s="139"/>
      <c r="E4" s="139"/>
      <c r="F4" s="139"/>
      <c r="G4" s="139"/>
      <c r="H4" s="140"/>
      <c r="I4" s="133" t="s">
        <v>109</v>
      </c>
      <c r="J4" s="121"/>
      <c r="K4" s="122"/>
      <c r="L4" s="133" t="s">
        <v>49</v>
      </c>
      <c r="M4" s="121"/>
      <c r="N4" s="121"/>
      <c r="O4" s="121"/>
      <c r="P4" s="121"/>
      <c r="Q4" s="121"/>
      <c r="R4" s="121"/>
      <c r="S4" s="121"/>
      <c r="T4" s="122"/>
    </row>
    <row r="5" spans="1:20" ht="15" customHeight="1">
      <c r="A5" s="136"/>
      <c r="B5" s="142"/>
      <c r="C5" s="25" t="s">
        <v>50</v>
      </c>
      <c r="D5" s="100"/>
      <c r="E5" s="127" t="s">
        <v>97</v>
      </c>
      <c r="F5" s="95" t="s">
        <v>51</v>
      </c>
      <c r="G5" s="99"/>
      <c r="H5" s="127" t="s">
        <v>97</v>
      </c>
      <c r="I5" s="134" t="s">
        <v>50</v>
      </c>
      <c r="J5" s="134"/>
      <c r="K5" s="127" t="s">
        <v>97</v>
      </c>
      <c r="L5" s="134" t="s">
        <v>51</v>
      </c>
      <c r="M5" s="134"/>
      <c r="N5" s="127" t="s">
        <v>97</v>
      </c>
      <c r="O5" s="100" t="s">
        <v>50</v>
      </c>
      <c r="P5" s="100"/>
      <c r="Q5" s="127" t="s">
        <v>97</v>
      </c>
      <c r="R5" s="144" t="s">
        <v>51</v>
      </c>
      <c r="S5" s="145"/>
      <c r="T5" s="127" t="s">
        <v>97</v>
      </c>
    </row>
    <row r="6" spans="1:20" ht="15" customHeight="1">
      <c r="A6" s="136"/>
      <c r="B6" s="142"/>
      <c r="C6" s="123">
        <v>2010</v>
      </c>
      <c r="D6" s="125">
        <v>2011</v>
      </c>
      <c r="E6" s="119"/>
      <c r="F6" s="125">
        <v>2010</v>
      </c>
      <c r="G6" s="125">
        <v>2011</v>
      </c>
      <c r="H6" s="119"/>
      <c r="I6" s="125">
        <v>2010</v>
      </c>
      <c r="J6" s="125">
        <v>2011</v>
      </c>
      <c r="K6" s="119"/>
      <c r="L6" s="125">
        <v>2010</v>
      </c>
      <c r="M6" s="125">
        <v>2011</v>
      </c>
      <c r="N6" s="119"/>
      <c r="O6" s="125">
        <v>2010</v>
      </c>
      <c r="P6" s="125">
        <v>2011</v>
      </c>
      <c r="Q6" s="119"/>
      <c r="R6" s="125">
        <v>2010</v>
      </c>
      <c r="S6" s="125">
        <v>2011</v>
      </c>
      <c r="T6" s="119"/>
    </row>
    <row r="7" spans="1:20" ht="15" customHeight="1">
      <c r="A7" s="137"/>
      <c r="B7" s="143"/>
      <c r="C7" s="124"/>
      <c r="D7" s="126"/>
      <c r="E7" s="120"/>
      <c r="F7" s="126"/>
      <c r="G7" s="126"/>
      <c r="H7" s="120"/>
      <c r="I7" s="126"/>
      <c r="J7" s="126"/>
      <c r="K7" s="120"/>
      <c r="L7" s="126"/>
      <c r="M7" s="126"/>
      <c r="N7" s="120"/>
      <c r="O7" s="126"/>
      <c r="P7" s="126"/>
      <c r="Q7" s="120"/>
      <c r="R7" s="126"/>
      <c r="S7" s="126"/>
      <c r="T7" s="120"/>
    </row>
    <row r="8" spans="1:20" ht="15">
      <c r="A8" s="2">
        <v>1</v>
      </c>
      <c r="B8" s="22" t="s">
        <v>60</v>
      </c>
      <c r="C8" s="108">
        <v>40</v>
      </c>
      <c r="D8" s="3">
        <v>51</v>
      </c>
      <c r="E8" s="35">
        <f aca="true" t="shared" si="0" ref="E8:E17">D8/C8*100</f>
        <v>127.49999999999999</v>
      </c>
      <c r="F8" s="108"/>
      <c r="G8" s="3"/>
      <c r="H8" s="35"/>
      <c r="I8" s="108">
        <v>7859</v>
      </c>
      <c r="J8" s="3">
        <v>11351</v>
      </c>
      <c r="K8" s="35">
        <f>J8*100/I8</f>
        <v>144.43313398651227</v>
      </c>
      <c r="L8" s="108"/>
      <c r="M8" s="3"/>
      <c r="N8" s="35"/>
      <c r="O8" s="35">
        <f aca="true" t="shared" si="1" ref="O8:O17">C8/I8*100000</f>
        <v>508.9706069474488</v>
      </c>
      <c r="P8" s="35">
        <f aca="true" t="shared" si="2" ref="P8:P16">D8/J8*100000</f>
        <v>449.2996211787508</v>
      </c>
      <c r="Q8" s="35">
        <f aca="true" t="shared" si="3" ref="Q8:Q17">P8/O8*100</f>
        <v>88.27614307109506</v>
      </c>
      <c r="R8" s="35"/>
      <c r="S8" s="35"/>
      <c r="T8" s="35"/>
    </row>
    <row r="9" spans="1:20" ht="15">
      <c r="A9" s="2">
        <v>2</v>
      </c>
      <c r="B9" s="22" t="s">
        <v>61</v>
      </c>
      <c r="C9" s="108">
        <v>9</v>
      </c>
      <c r="D9" s="3">
        <v>19.59</v>
      </c>
      <c r="E9" s="35">
        <f t="shared" si="0"/>
        <v>217.66666666666669</v>
      </c>
      <c r="F9" s="108"/>
      <c r="G9" s="3"/>
      <c r="H9" s="35"/>
      <c r="I9" s="108">
        <v>5708</v>
      </c>
      <c r="J9" s="3">
        <v>5584</v>
      </c>
      <c r="K9" s="35">
        <f aca="true" t="shared" si="4" ref="K9:K20">J9*100/I9</f>
        <v>97.82761037140855</v>
      </c>
      <c r="L9" s="108"/>
      <c r="M9" s="3"/>
      <c r="N9" s="35"/>
      <c r="O9" s="35">
        <f t="shared" si="1"/>
        <v>157.67344078486335</v>
      </c>
      <c r="P9" s="35">
        <f t="shared" si="2"/>
        <v>350.82378223495704</v>
      </c>
      <c r="Q9" s="35">
        <f t="shared" si="3"/>
        <v>222.5002387774594</v>
      </c>
      <c r="R9" s="35"/>
      <c r="S9" s="35"/>
      <c r="T9" s="35"/>
    </row>
    <row r="10" spans="1:20" ht="15">
      <c r="A10" s="2">
        <v>3</v>
      </c>
      <c r="B10" s="36" t="s">
        <v>62</v>
      </c>
      <c r="C10" s="109">
        <v>9.15</v>
      </c>
      <c r="D10" s="19">
        <v>23</v>
      </c>
      <c r="E10" s="35">
        <f t="shared" si="0"/>
        <v>251.3661202185792</v>
      </c>
      <c r="F10" s="109"/>
      <c r="G10" s="19"/>
      <c r="H10" s="35"/>
      <c r="I10" s="108">
        <v>1686</v>
      </c>
      <c r="J10" s="3">
        <v>2668</v>
      </c>
      <c r="K10" s="35">
        <f t="shared" si="4"/>
        <v>158.2443653618031</v>
      </c>
      <c r="L10" s="109"/>
      <c r="M10" s="19"/>
      <c r="N10" s="83"/>
      <c r="O10" s="35">
        <f t="shared" si="1"/>
        <v>542.7046263345196</v>
      </c>
      <c r="P10" s="35">
        <f t="shared" si="2"/>
        <v>862.0689655172414</v>
      </c>
      <c r="Q10" s="35">
        <f t="shared" si="3"/>
        <v>158.84680610514414</v>
      </c>
      <c r="R10" s="83"/>
      <c r="S10" s="83"/>
      <c r="T10" s="83"/>
    </row>
    <row r="11" spans="1:20" ht="15">
      <c r="A11" s="2">
        <v>4</v>
      </c>
      <c r="B11" s="22" t="s">
        <v>63</v>
      </c>
      <c r="C11" s="108">
        <v>109</v>
      </c>
      <c r="D11" s="3">
        <v>40</v>
      </c>
      <c r="E11" s="35">
        <f t="shared" si="0"/>
        <v>36.69724770642202</v>
      </c>
      <c r="F11" s="108">
        <v>30</v>
      </c>
      <c r="G11" s="3">
        <v>42</v>
      </c>
      <c r="H11" s="35">
        <f>G11/F11*100</f>
        <v>140</v>
      </c>
      <c r="I11" s="108">
        <v>31003</v>
      </c>
      <c r="J11" s="3">
        <v>25703</v>
      </c>
      <c r="K11" s="35">
        <f t="shared" si="4"/>
        <v>82.9048801728865</v>
      </c>
      <c r="L11" s="108">
        <v>7877</v>
      </c>
      <c r="M11" s="3">
        <v>10738</v>
      </c>
      <c r="N11" s="35">
        <f>M11/L11*100</f>
        <v>136.32093436587533</v>
      </c>
      <c r="O11" s="35">
        <f t="shared" si="1"/>
        <v>351.5788794632777</v>
      </c>
      <c r="P11" s="35">
        <f t="shared" si="2"/>
        <v>155.62385713729913</v>
      </c>
      <c r="Q11" s="35">
        <f t="shared" si="3"/>
        <v>44.26427929199711</v>
      </c>
      <c r="R11" s="35">
        <f>F11/L11*100000</f>
        <v>380.85565570648725</v>
      </c>
      <c r="S11" s="35">
        <f>G11/M11*100000</f>
        <v>391.13428943937424</v>
      </c>
      <c r="T11" s="35">
        <f>S11/R11*100</f>
        <v>102.6988265971317</v>
      </c>
    </row>
    <row r="12" spans="1:20" ht="15">
      <c r="A12" s="2">
        <v>5</v>
      </c>
      <c r="B12" s="22" t="s">
        <v>64</v>
      </c>
      <c r="C12" s="110">
        <v>54</v>
      </c>
      <c r="D12" s="84">
        <v>30</v>
      </c>
      <c r="E12" s="85">
        <f t="shared" si="0"/>
        <v>55.55555555555556</v>
      </c>
      <c r="F12" s="110">
        <v>9</v>
      </c>
      <c r="G12" s="84">
        <v>35</v>
      </c>
      <c r="H12" s="35">
        <f>G12/F12*100</f>
        <v>388.88888888888886</v>
      </c>
      <c r="I12" s="108">
        <v>8177</v>
      </c>
      <c r="J12" s="3">
        <v>6000</v>
      </c>
      <c r="K12" s="35">
        <f t="shared" si="4"/>
        <v>73.37654396477926</v>
      </c>
      <c r="L12" s="108">
        <v>3963</v>
      </c>
      <c r="M12" s="3">
        <v>10537</v>
      </c>
      <c r="N12" s="35">
        <f>M12/L12*100</f>
        <v>265.8844309866263</v>
      </c>
      <c r="O12" s="35">
        <f t="shared" si="1"/>
        <v>660.3888956830133</v>
      </c>
      <c r="P12" s="35">
        <f t="shared" si="2"/>
        <v>500</v>
      </c>
      <c r="Q12" s="35">
        <f t="shared" si="3"/>
        <v>75.71296296296298</v>
      </c>
      <c r="R12" s="35">
        <f>F12/L12*100000</f>
        <v>227.1006813020439</v>
      </c>
      <c r="S12" s="35">
        <f>G12/M12*100000</f>
        <v>332.162854702477</v>
      </c>
      <c r="T12" s="35">
        <f>S12/R12*100</f>
        <v>146.26237702065737</v>
      </c>
    </row>
    <row r="13" spans="1:20" ht="15">
      <c r="A13" s="2">
        <v>6</v>
      </c>
      <c r="B13" s="37" t="s">
        <v>78</v>
      </c>
      <c r="C13" s="110">
        <v>16.81</v>
      </c>
      <c r="D13" s="84">
        <v>17.81</v>
      </c>
      <c r="E13" s="85">
        <f t="shared" si="0"/>
        <v>105.94883997620464</v>
      </c>
      <c r="F13" s="110"/>
      <c r="G13" s="84"/>
      <c r="H13" s="85"/>
      <c r="I13" s="110">
        <v>7861</v>
      </c>
      <c r="J13" s="84">
        <v>7563</v>
      </c>
      <c r="K13" s="35">
        <f t="shared" si="4"/>
        <v>96.2091336980028</v>
      </c>
      <c r="L13" s="110"/>
      <c r="M13" s="84"/>
      <c r="N13" s="85"/>
      <c r="O13" s="35">
        <f t="shared" si="1"/>
        <v>213.84047831064746</v>
      </c>
      <c r="P13" s="35">
        <f t="shared" si="2"/>
        <v>235.48856273965356</v>
      </c>
      <c r="Q13" s="35">
        <f t="shared" si="3"/>
        <v>110.12347362857923</v>
      </c>
      <c r="R13" s="35"/>
      <c r="S13" s="35"/>
      <c r="T13" s="85"/>
    </row>
    <row r="14" spans="1:20" ht="15">
      <c r="A14" s="2">
        <v>7</v>
      </c>
      <c r="B14" s="37" t="s">
        <v>65</v>
      </c>
      <c r="C14" s="110">
        <v>14</v>
      </c>
      <c r="D14" s="84">
        <v>13</v>
      </c>
      <c r="E14" s="85">
        <f t="shared" si="0"/>
        <v>92.85714285714286</v>
      </c>
      <c r="F14" s="110"/>
      <c r="G14" s="84"/>
      <c r="H14" s="85"/>
      <c r="I14" s="110">
        <v>4897</v>
      </c>
      <c r="J14" s="84">
        <v>5683</v>
      </c>
      <c r="K14" s="35">
        <f t="shared" si="4"/>
        <v>116.05064325096998</v>
      </c>
      <c r="L14" s="110"/>
      <c r="M14" s="84"/>
      <c r="N14" s="85"/>
      <c r="O14" s="35">
        <f t="shared" si="1"/>
        <v>285.88931999183177</v>
      </c>
      <c r="P14" s="35">
        <f t="shared" si="2"/>
        <v>228.75241949674466</v>
      </c>
      <c r="Q14" s="85">
        <f t="shared" si="3"/>
        <v>80.01432844825418</v>
      </c>
      <c r="R14" s="35"/>
      <c r="S14" s="82"/>
      <c r="T14" s="85"/>
    </row>
    <row r="15" spans="1:20" s="71" customFormat="1" ht="15">
      <c r="A15" s="2">
        <v>8</v>
      </c>
      <c r="B15" s="31" t="s">
        <v>77</v>
      </c>
      <c r="C15" s="111">
        <v>35.21</v>
      </c>
      <c r="D15" s="86">
        <v>24.18</v>
      </c>
      <c r="E15" s="87">
        <f t="shared" si="0"/>
        <v>68.67367225220107</v>
      </c>
      <c r="F15" s="111"/>
      <c r="G15" s="86"/>
      <c r="H15" s="87"/>
      <c r="I15" s="111">
        <v>6460</v>
      </c>
      <c r="J15" s="86">
        <v>5062</v>
      </c>
      <c r="K15" s="35">
        <f t="shared" si="4"/>
        <v>78.35913312693498</v>
      </c>
      <c r="L15" s="111"/>
      <c r="M15" s="86"/>
      <c r="N15" s="87"/>
      <c r="O15" s="35">
        <f t="shared" si="1"/>
        <v>545.046439628483</v>
      </c>
      <c r="P15" s="35">
        <f t="shared" si="2"/>
        <v>477.6768075859344</v>
      </c>
      <c r="Q15" s="87">
        <f t="shared" si="3"/>
        <v>87.63965285444863</v>
      </c>
      <c r="R15" s="35"/>
      <c r="S15" s="35"/>
      <c r="T15" s="35"/>
    </row>
    <row r="16" spans="1:20" ht="15">
      <c r="A16" s="2">
        <v>9</v>
      </c>
      <c r="B16" s="37" t="s">
        <v>66</v>
      </c>
      <c r="C16" s="110">
        <v>33</v>
      </c>
      <c r="D16" s="84">
        <v>15</v>
      </c>
      <c r="E16" s="85">
        <f t="shared" si="0"/>
        <v>45.45454545454545</v>
      </c>
      <c r="F16" s="110"/>
      <c r="G16" s="84"/>
      <c r="H16" s="85"/>
      <c r="I16" s="110">
        <v>4648</v>
      </c>
      <c r="J16" s="84">
        <v>3504</v>
      </c>
      <c r="K16" s="35">
        <f t="shared" si="4"/>
        <v>75.38726333907057</v>
      </c>
      <c r="L16" s="110"/>
      <c r="M16" s="84"/>
      <c r="N16" s="85"/>
      <c r="O16" s="35">
        <f t="shared" si="1"/>
        <v>709.9827882960413</v>
      </c>
      <c r="P16" s="35">
        <f t="shared" si="2"/>
        <v>428.0821917808219</v>
      </c>
      <c r="Q16" s="85">
        <f t="shared" si="3"/>
        <v>60.29472810294728</v>
      </c>
      <c r="R16" s="35"/>
      <c r="S16" s="35"/>
      <c r="T16" s="85"/>
    </row>
    <row r="17" spans="1:20" ht="15">
      <c r="A17" s="2">
        <v>10</v>
      </c>
      <c r="B17" s="37" t="s">
        <v>67</v>
      </c>
      <c r="C17" s="110">
        <v>10</v>
      </c>
      <c r="D17" s="84">
        <v>9.75</v>
      </c>
      <c r="E17" s="85">
        <f t="shared" si="0"/>
        <v>97.5</v>
      </c>
      <c r="F17" s="110"/>
      <c r="G17" s="84"/>
      <c r="H17" s="85"/>
      <c r="I17" s="110">
        <v>1938</v>
      </c>
      <c r="J17" s="84">
        <v>3020</v>
      </c>
      <c r="K17" s="35">
        <f t="shared" si="4"/>
        <v>155.83075335397317</v>
      </c>
      <c r="L17" s="110"/>
      <c r="M17" s="84"/>
      <c r="N17" s="85"/>
      <c r="O17" s="35">
        <f t="shared" si="1"/>
        <v>515.9958720330237</v>
      </c>
      <c r="P17" s="35">
        <f>D17/J17*100000</f>
        <v>322.8476821192053</v>
      </c>
      <c r="Q17" s="85">
        <f t="shared" si="3"/>
        <v>62.56788079470198</v>
      </c>
      <c r="R17" s="35"/>
      <c r="S17" s="35"/>
      <c r="T17" s="85"/>
    </row>
    <row r="18" spans="1:20" ht="15">
      <c r="A18" s="2">
        <v>11</v>
      </c>
      <c r="B18" s="80" t="s">
        <v>68</v>
      </c>
      <c r="C18" s="84"/>
      <c r="D18" s="84"/>
      <c r="E18" s="85"/>
      <c r="F18" s="110">
        <v>1278</v>
      </c>
      <c r="G18" s="84">
        <v>1432</v>
      </c>
      <c r="H18" s="85">
        <f>G18/F18*100</f>
        <v>112.05007824726134</v>
      </c>
      <c r="I18" s="3"/>
      <c r="J18" s="84"/>
      <c r="K18" s="35"/>
      <c r="L18" s="110">
        <v>342380</v>
      </c>
      <c r="M18" s="84">
        <v>374054</v>
      </c>
      <c r="N18" s="85">
        <f>M18/L18*100</f>
        <v>109.2511244815702</v>
      </c>
      <c r="O18" s="35"/>
      <c r="P18" s="35"/>
      <c r="Q18" s="85"/>
      <c r="R18" s="35">
        <f>F18/L18*100000</f>
        <v>373.26946667445526</v>
      </c>
      <c r="S18" s="35">
        <f>G18/M18*100000</f>
        <v>382.8324252648013</v>
      </c>
      <c r="T18" s="85">
        <f>S18/R18*100</f>
        <v>102.56194504081586</v>
      </c>
    </row>
    <row r="19" spans="1:20" ht="15">
      <c r="A19" s="2">
        <v>12</v>
      </c>
      <c r="B19" s="31" t="s">
        <v>88</v>
      </c>
      <c r="C19" s="93"/>
      <c r="D19" s="84"/>
      <c r="E19" s="85"/>
      <c r="F19" s="84"/>
      <c r="G19" s="84"/>
      <c r="H19" s="85"/>
      <c r="I19" s="3"/>
      <c r="J19" s="84"/>
      <c r="K19" s="35"/>
      <c r="L19" s="84"/>
      <c r="M19" s="84">
        <v>5068</v>
      </c>
      <c r="N19" s="85"/>
      <c r="O19" s="35"/>
      <c r="P19" s="35"/>
      <c r="Q19" s="85"/>
      <c r="R19" s="35"/>
      <c r="S19" s="35">
        <f>G19/M19*100000</f>
        <v>0</v>
      </c>
      <c r="T19" s="85"/>
    </row>
    <row r="20" spans="1:20" ht="15">
      <c r="A20" s="81"/>
      <c r="B20" s="26" t="s">
        <v>11</v>
      </c>
      <c r="C20" s="88">
        <f>SUM(C8:C18)</f>
        <v>330.17</v>
      </c>
      <c r="D20" s="3">
        <f>SUM(D8:D18)</f>
        <v>243.33</v>
      </c>
      <c r="E20" s="35">
        <f>D20/C20*100</f>
        <v>73.69839779507527</v>
      </c>
      <c r="F20" s="35">
        <f>SUM(F8:F18)</f>
        <v>1317</v>
      </c>
      <c r="G20" s="3">
        <f>SUM(G8:G19)</f>
        <v>1509</v>
      </c>
      <c r="H20" s="35">
        <f>G20/F20*100</f>
        <v>114.57858769931664</v>
      </c>
      <c r="I20" s="3">
        <f>SUM(I8:I17)</f>
        <v>80237</v>
      </c>
      <c r="J20" s="3">
        <f>SUM(J8:J18)</f>
        <v>76138</v>
      </c>
      <c r="K20" s="35">
        <f t="shared" si="4"/>
        <v>94.89138427408801</v>
      </c>
      <c r="L20" s="3">
        <f>SUM(L8:L18)</f>
        <v>354220</v>
      </c>
      <c r="M20" s="3">
        <f>SUM(M8:M19)</f>
        <v>400397</v>
      </c>
      <c r="N20" s="35">
        <f>M20/L20*100</f>
        <v>113.03624865902546</v>
      </c>
      <c r="O20" s="35">
        <f>C20/I20*100000</f>
        <v>411.4934506524422</v>
      </c>
      <c r="P20" s="35">
        <f>D20/J20*100000</f>
        <v>319.5907431243269</v>
      </c>
      <c r="Q20" s="35">
        <f>P20/O20*100</f>
        <v>77.66605826109765</v>
      </c>
      <c r="R20" s="35">
        <f>F20/L20*100000</f>
        <v>371.8028343967026</v>
      </c>
      <c r="S20" s="35">
        <f>G20/M20*100000</f>
        <v>376.8759506190106</v>
      </c>
      <c r="T20" s="35">
        <f>S20/R20*100</f>
        <v>101.36446410650413</v>
      </c>
    </row>
  </sheetData>
  <mergeCells count="26">
    <mergeCell ref="A4:A7"/>
    <mergeCell ref="L4:T4"/>
    <mergeCell ref="I4:K4"/>
    <mergeCell ref="C4:H4"/>
    <mergeCell ref="B4:B7"/>
    <mergeCell ref="R6:R7"/>
    <mergeCell ref="F6:F7"/>
    <mergeCell ref="T5:T7"/>
    <mergeCell ref="L5:M5"/>
    <mergeCell ref="R5:S5"/>
    <mergeCell ref="S6:S7"/>
    <mergeCell ref="Q5:Q7"/>
    <mergeCell ref="G6:G7"/>
    <mergeCell ref="H5:H7"/>
    <mergeCell ref="N5:N7"/>
    <mergeCell ref="L6:L7"/>
    <mergeCell ref="M6:M7"/>
    <mergeCell ref="O6:O7"/>
    <mergeCell ref="P6:P7"/>
    <mergeCell ref="C6:C7"/>
    <mergeCell ref="D6:D7"/>
    <mergeCell ref="K5:K7"/>
    <mergeCell ref="E5:E7"/>
    <mergeCell ref="I5:J5"/>
    <mergeCell ref="I6:I7"/>
    <mergeCell ref="J6:J7"/>
  </mergeCells>
  <printOptions/>
  <pageMargins left="0.75" right="0.75" top="1" bottom="1" header="0.5" footer="0.5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view="pageBreakPreview" zoomScale="75" zoomScaleNormal="50" zoomScaleSheetLayoutView="75" workbookViewId="0" topLeftCell="A1">
      <selection activeCell="D15" sqref="D15"/>
    </sheetView>
  </sheetViews>
  <sheetFormatPr defaultColWidth="9.00390625" defaultRowHeight="12.75"/>
  <cols>
    <col min="1" max="1" width="3.625" style="0" customWidth="1"/>
    <col min="2" max="2" width="29.625" style="0" customWidth="1"/>
    <col min="3" max="3" width="7.25390625" style="0" customWidth="1"/>
    <col min="4" max="4" width="7.125" style="0" customWidth="1"/>
    <col min="5" max="5" width="8.125" style="0" customWidth="1"/>
    <col min="6" max="6" width="7.125" style="0" customWidth="1"/>
    <col min="7" max="7" width="6.25390625" style="0" customWidth="1"/>
    <col min="8" max="8" width="8.75390625" style="0" customWidth="1"/>
    <col min="9" max="9" width="7.25390625" style="0" customWidth="1"/>
    <col min="10" max="10" width="9.25390625" style="0" customWidth="1"/>
    <col min="11" max="11" width="8.875" style="0" customWidth="1"/>
    <col min="12" max="13" width="8.75390625" style="0" customWidth="1"/>
    <col min="14" max="14" width="9.125" style="74" customWidth="1"/>
  </cols>
  <sheetData>
    <row r="1" ht="15.75">
      <c r="C1" s="1" t="s">
        <v>100</v>
      </c>
    </row>
    <row r="2" spans="1:12" ht="15">
      <c r="A2" s="20"/>
      <c r="B2" s="20"/>
      <c r="C2" s="20"/>
      <c r="D2" s="20"/>
      <c r="E2" s="20"/>
      <c r="F2" s="20"/>
      <c r="G2" s="20"/>
      <c r="H2" s="10" t="s">
        <v>56</v>
      </c>
      <c r="I2" s="20"/>
      <c r="J2" s="20"/>
      <c r="K2" s="20"/>
      <c r="L2" s="20"/>
    </row>
    <row r="3" spans="1:14" ht="15" customHeight="1">
      <c r="A3" s="23" t="s">
        <v>2</v>
      </c>
      <c r="B3" s="23" t="s">
        <v>3</v>
      </c>
      <c r="C3" s="25"/>
      <c r="D3" s="25" t="s">
        <v>53</v>
      </c>
      <c r="E3" s="26"/>
      <c r="F3" s="146" t="s">
        <v>10</v>
      </c>
      <c r="G3" s="147"/>
      <c r="H3" s="148"/>
      <c r="I3" s="25" t="s">
        <v>6</v>
      </c>
      <c r="J3" s="21" t="s">
        <v>7</v>
      </c>
      <c r="K3" s="151" t="s">
        <v>72</v>
      </c>
      <c r="L3" s="152"/>
      <c r="M3" s="153"/>
      <c r="N3" s="149"/>
    </row>
    <row r="4" spans="1:14" ht="15">
      <c r="A4" s="32"/>
      <c r="B4" s="32"/>
      <c r="C4" s="9">
        <v>2010</v>
      </c>
      <c r="D4" s="41">
        <v>2011</v>
      </c>
      <c r="E4" s="19" t="s">
        <v>4</v>
      </c>
      <c r="F4" s="9">
        <v>2010</v>
      </c>
      <c r="G4" s="41">
        <v>2011</v>
      </c>
      <c r="H4" s="19" t="s">
        <v>4</v>
      </c>
      <c r="I4" s="9">
        <v>2010</v>
      </c>
      <c r="J4" s="41">
        <v>2011</v>
      </c>
      <c r="K4" s="154" t="s">
        <v>1</v>
      </c>
      <c r="L4" s="154" t="s">
        <v>73</v>
      </c>
      <c r="M4" s="156" t="s">
        <v>74</v>
      </c>
      <c r="N4" s="150"/>
    </row>
    <row r="5" spans="1:14" ht="15">
      <c r="A5" s="28"/>
      <c r="B5" s="28"/>
      <c r="C5" s="27"/>
      <c r="D5" s="34"/>
      <c r="E5" s="11">
        <v>2010</v>
      </c>
      <c r="F5" s="27"/>
      <c r="G5" s="34"/>
      <c r="H5" s="11">
        <v>2010</v>
      </c>
      <c r="I5" s="34"/>
      <c r="J5" s="28"/>
      <c r="K5" s="155"/>
      <c r="L5" s="155"/>
      <c r="M5" s="156"/>
      <c r="N5" s="150"/>
    </row>
    <row r="6" spans="1:14" ht="15">
      <c r="A6" s="3">
        <v>1</v>
      </c>
      <c r="B6" s="22" t="s">
        <v>60</v>
      </c>
      <c r="C6" s="3"/>
      <c r="D6" s="3"/>
      <c r="E6" s="35"/>
      <c r="F6" s="22">
        <v>26</v>
      </c>
      <c r="G6" s="3">
        <v>27</v>
      </c>
      <c r="H6" s="85">
        <f aca="true" t="shared" si="0" ref="H6:H17">G6*100/F6</f>
        <v>103.84615384615384</v>
      </c>
      <c r="I6" s="35">
        <f>F6+(C6*0.2)+('численность 1'!M6*0.3)+'численность 1'!G6+(('численность 1'!C6-'численность 1'!G6)*0.6)</f>
        <v>283.4</v>
      </c>
      <c r="J6" s="35">
        <f>G6+(D6*0.2)+('численность 1'!N6*0.3)+'численность 1'!H6+(('численность 1'!D6-'численность 1'!H6)*0.6)</f>
        <v>318.6</v>
      </c>
      <c r="K6" s="3">
        <v>1612</v>
      </c>
      <c r="L6" s="3">
        <v>66</v>
      </c>
      <c r="M6" s="35">
        <v>12</v>
      </c>
      <c r="N6" s="79"/>
    </row>
    <row r="7" spans="1:14" ht="15">
      <c r="A7" s="3">
        <v>2</v>
      </c>
      <c r="B7" s="22" t="s">
        <v>61</v>
      </c>
      <c r="C7" s="3"/>
      <c r="D7" s="3"/>
      <c r="E7" s="35"/>
      <c r="F7" s="22">
        <v>7</v>
      </c>
      <c r="G7" s="3">
        <v>5</v>
      </c>
      <c r="H7" s="85">
        <f t="shared" si="0"/>
        <v>71.42857142857143</v>
      </c>
      <c r="I7" s="35">
        <f>F7+(C7*0.2)+('численность 1'!M7*0.3)+'численность 1'!G7+(('численность 1'!C7-'численность 1'!G7)*0.6)</f>
        <v>164.2</v>
      </c>
      <c r="J7" s="35">
        <f>G7+(D7*0.2)+('численность 1'!N7*0.3)+'численность 1'!H7+(('численность 1'!D7-'численность 1'!H7)*0.6)</f>
        <v>175.39999999999998</v>
      </c>
      <c r="K7" s="3">
        <v>642</v>
      </c>
      <c r="L7" s="3">
        <v>174</v>
      </c>
      <c r="M7" s="35">
        <v>168</v>
      </c>
      <c r="N7" s="79"/>
    </row>
    <row r="8" spans="1:14" ht="15">
      <c r="A8" s="3">
        <v>3</v>
      </c>
      <c r="B8" s="22" t="s">
        <v>62</v>
      </c>
      <c r="C8" s="3"/>
      <c r="D8" s="3"/>
      <c r="E8" s="35"/>
      <c r="F8" s="22">
        <v>2</v>
      </c>
      <c r="G8" s="3">
        <v>1</v>
      </c>
      <c r="H8" s="85">
        <f t="shared" si="0"/>
        <v>50</v>
      </c>
      <c r="I8" s="35">
        <f>F8+(C8*0.2)+('численность 1'!M8*0.3)+'численность 1'!G8+(('численность 1'!C8-'численность 1'!G8)*0.6)</f>
        <v>86</v>
      </c>
      <c r="J8" s="35">
        <f>G8+(D8*0.2)+('численность 1'!N8*0.3)+'численность 1'!H8+(('численность 1'!D8-'численность 1'!H8)*0.6)</f>
        <v>97</v>
      </c>
      <c r="K8" s="3">
        <v>721</v>
      </c>
      <c r="L8" s="3">
        <v>241</v>
      </c>
      <c r="M8" s="35"/>
      <c r="N8" s="79"/>
    </row>
    <row r="9" spans="1:14" ht="15">
      <c r="A9" s="3">
        <v>4</v>
      </c>
      <c r="B9" s="22" t="s">
        <v>63</v>
      </c>
      <c r="C9" s="22"/>
      <c r="D9" s="3"/>
      <c r="E9" s="3"/>
      <c r="F9" s="22">
        <v>34</v>
      </c>
      <c r="G9" s="3">
        <v>24</v>
      </c>
      <c r="H9" s="85">
        <f t="shared" si="0"/>
        <v>70.58823529411765</v>
      </c>
      <c r="I9" s="35">
        <f>F9+(C9*0.2)+('численность 1'!M9*0.3)+'численность 1'!G9+(('численность 1'!C9-'численность 1'!G9)*0.6)</f>
        <v>809.9</v>
      </c>
      <c r="J9" s="35">
        <f>G9+(D9*0.2)+('численность 1'!N9*0.3)+'численность 1'!H9+(('численность 1'!D9-'численность 1'!H9)*0.6)</f>
        <v>767.3</v>
      </c>
      <c r="K9" s="84">
        <v>2423</v>
      </c>
      <c r="L9" s="84">
        <v>647</v>
      </c>
      <c r="M9" s="85">
        <v>1223</v>
      </c>
      <c r="N9" s="79"/>
    </row>
    <row r="10" spans="1:14" ht="15">
      <c r="A10" s="3">
        <v>5</v>
      </c>
      <c r="B10" s="22" t="s">
        <v>64</v>
      </c>
      <c r="C10" s="20">
        <v>142</v>
      </c>
      <c r="D10" s="3">
        <v>179</v>
      </c>
      <c r="E10" s="85">
        <f>D10*100/C10</f>
        <v>126.05633802816901</v>
      </c>
      <c r="F10" s="22">
        <v>48</v>
      </c>
      <c r="G10" s="3">
        <v>49</v>
      </c>
      <c r="H10" s="85">
        <f t="shared" si="0"/>
        <v>102.08333333333333</v>
      </c>
      <c r="I10" s="35">
        <f>F10+(C10*0.2)+('численность 1'!M10*0.3)+'численность 1'!G10+(('численность 1'!C10-'численность 1'!G10)*0.6)</f>
        <v>571.8</v>
      </c>
      <c r="J10" s="35">
        <f>G10+(D10*0.2)+('численность 1'!N10*0.3)+'численность 1'!H10+(('численность 1'!D10-'численность 1'!H10)*0.6)</f>
        <v>651.3</v>
      </c>
      <c r="K10" s="3">
        <v>600</v>
      </c>
      <c r="L10" s="3">
        <v>240</v>
      </c>
      <c r="M10" s="35">
        <v>360</v>
      </c>
      <c r="N10" s="79"/>
    </row>
    <row r="11" spans="1:14" ht="15">
      <c r="A11" s="3">
        <v>6</v>
      </c>
      <c r="B11" s="37" t="s">
        <v>78</v>
      </c>
      <c r="C11" s="84"/>
      <c r="D11" s="84"/>
      <c r="E11" s="85"/>
      <c r="F11" s="22">
        <v>15</v>
      </c>
      <c r="G11" s="3">
        <v>11</v>
      </c>
      <c r="H11" s="85">
        <f t="shared" si="0"/>
        <v>73.33333333333333</v>
      </c>
      <c r="I11" s="35">
        <f>F11+(C11*0.2)+('численность 1'!M11*0.3)+'численность 1'!G11+(('численность 1'!C11-'численность 1'!G11)*0.6)</f>
        <v>241</v>
      </c>
      <c r="J11" s="35">
        <f>G11+(D11*0.2)+('численность 1'!N11*0.3)+'численность 1'!H11+(('численность 1'!D11-'численность 1'!H11)*0.6)</f>
        <v>238.2</v>
      </c>
      <c r="K11" s="84">
        <v>3459</v>
      </c>
      <c r="L11" s="84">
        <v>1118</v>
      </c>
      <c r="M11" s="85"/>
      <c r="N11" s="79"/>
    </row>
    <row r="12" spans="1:14" ht="15">
      <c r="A12" s="3">
        <v>7</v>
      </c>
      <c r="B12" s="37" t="s">
        <v>65</v>
      </c>
      <c r="C12" s="84"/>
      <c r="D12" s="84"/>
      <c r="E12" s="85"/>
      <c r="F12" s="37">
        <v>4</v>
      </c>
      <c r="G12" s="84">
        <v>3</v>
      </c>
      <c r="H12" s="85">
        <f t="shared" si="0"/>
        <v>75</v>
      </c>
      <c r="I12" s="35">
        <f>F12+(C12*0.2)+('численность 1'!M12*0.3)+'численность 1'!G12+(('численность 1'!C12-'численность 1'!G12)*0.6)</f>
        <v>109.4</v>
      </c>
      <c r="J12" s="35">
        <f>G12+(D12*0.2)+('численность 1'!N12*0.3)+'численность 1'!H12+(('численность 1'!D12-'численность 1'!H12)*0.6)</f>
        <v>129.6</v>
      </c>
      <c r="K12" s="84">
        <v>470</v>
      </c>
      <c r="L12" s="84">
        <v>440</v>
      </c>
      <c r="M12" s="35"/>
      <c r="N12" s="79"/>
    </row>
    <row r="13" spans="1:14" ht="15">
      <c r="A13" s="3">
        <v>8</v>
      </c>
      <c r="B13" s="31" t="s">
        <v>77</v>
      </c>
      <c r="C13" s="84">
        <v>82</v>
      </c>
      <c r="D13" s="84">
        <v>123</v>
      </c>
      <c r="E13" s="85">
        <f>D13*100/C13</f>
        <v>150</v>
      </c>
      <c r="F13" s="22">
        <v>4</v>
      </c>
      <c r="G13" s="3">
        <v>5</v>
      </c>
      <c r="H13" s="85">
        <f t="shared" si="0"/>
        <v>125</v>
      </c>
      <c r="I13" s="35">
        <f>F13+(C13*0.2)+('численность 1'!M13*0.3)+'численность 1'!G13+(('численность 1'!C13-'численность 1'!G13)*0.6)</f>
        <v>161.4</v>
      </c>
      <c r="J13" s="35">
        <f>G13+(D13*0.2)+('численность 1'!N13*0.3)+'численность 1'!H13+(('численность 1'!D13-'численность 1'!H13)*0.6)</f>
        <v>191</v>
      </c>
      <c r="K13" s="84">
        <v>505</v>
      </c>
      <c r="L13" s="84">
        <v>150</v>
      </c>
      <c r="M13" s="35"/>
      <c r="N13" s="79"/>
    </row>
    <row r="14" spans="1:14" ht="15">
      <c r="A14" s="3">
        <v>9</v>
      </c>
      <c r="B14" s="37" t="s">
        <v>66</v>
      </c>
      <c r="C14" s="84"/>
      <c r="D14" s="84"/>
      <c r="E14" s="85"/>
      <c r="F14" s="22">
        <v>15</v>
      </c>
      <c r="G14" s="3">
        <v>3</v>
      </c>
      <c r="H14" s="85">
        <f t="shared" si="0"/>
        <v>20</v>
      </c>
      <c r="I14" s="35">
        <f>F14+(C14*0.2)+('численность 1'!M14*0.3)+'численность 1'!G14+(('численность 1'!C14-'численность 1'!G14)*0.6)</f>
        <v>181</v>
      </c>
      <c r="J14" s="35">
        <f>G14+(C14*0.2)+('численность 1'!N14*0.3)+'численность 1'!H14+(('численность 1'!D14-'численность 1'!H14)*0.6)</f>
        <v>189.39999999999998</v>
      </c>
      <c r="K14" s="84">
        <v>903</v>
      </c>
      <c r="L14" s="84">
        <v>467</v>
      </c>
      <c r="M14" s="35"/>
      <c r="N14" s="79"/>
    </row>
    <row r="15" spans="1:14" ht="15">
      <c r="A15" s="3">
        <v>10</v>
      </c>
      <c r="B15" s="37" t="s">
        <v>67</v>
      </c>
      <c r="C15" s="84"/>
      <c r="D15" s="84"/>
      <c r="E15" s="85"/>
      <c r="F15" s="22">
        <v>3</v>
      </c>
      <c r="G15" s="3">
        <v>2</v>
      </c>
      <c r="H15" s="85">
        <f t="shared" si="0"/>
        <v>66.66666666666667</v>
      </c>
      <c r="I15" s="35">
        <f>F15+(C15*0.2)+('численность 1'!M15*0.3)+'численность 1'!G15+(('численность 1'!C15-'численность 1'!G15)*0.6)</f>
        <v>69.6</v>
      </c>
      <c r="J15" s="35">
        <f>G15+(C15*0.2)+('численность 1'!N15*0.3)+'численность 1'!H15+(('численность 1'!D15-'численность 1'!H15)*0.6)</f>
        <v>75.8</v>
      </c>
      <c r="K15" s="84">
        <v>410</v>
      </c>
      <c r="L15" s="84">
        <v>14</v>
      </c>
      <c r="M15" s="35"/>
      <c r="N15" s="79"/>
    </row>
    <row r="16" spans="1:14" ht="15">
      <c r="A16" s="3">
        <v>11</v>
      </c>
      <c r="B16" s="37" t="s">
        <v>68</v>
      </c>
      <c r="C16" s="84"/>
      <c r="D16" s="84"/>
      <c r="E16" s="85"/>
      <c r="F16" s="22">
        <v>1</v>
      </c>
      <c r="G16" s="3">
        <v>1</v>
      </c>
      <c r="H16" s="85">
        <f t="shared" si="0"/>
        <v>100</v>
      </c>
      <c r="I16" s="35">
        <f>F16+(C16*0.2)+('численность 1'!M16*0.3)+'численность 1'!G16+(('численность 1'!C16-'численность 1'!G16)*0.6)</f>
        <v>2406.1</v>
      </c>
      <c r="J16" s="35">
        <f>G16+(C16*0.2)+('численность 1'!N16*0.3)+'численность 1'!H16+(('численность 1'!D16-'численность 1'!H16)*0.6)</f>
        <v>2662.2999999999997</v>
      </c>
      <c r="K16" s="84">
        <v>10626</v>
      </c>
      <c r="L16" s="84">
        <v>10626</v>
      </c>
      <c r="M16" s="85">
        <v>10626</v>
      </c>
      <c r="N16" s="79"/>
    </row>
    <row r="17" spans="1:14" ht="15">
      <c r="A17" s="3">
        <v>12</v>
      </c>
      <c r="B17" s="31" t="s">
        <v>75</v>
      </c>
      <c r="C17" s="84"/>
      <c r="D17" s="84"/>
      <c r="E17" s="85"/>
      <c r="F17" s="22">
        <v>40</v>
      </c>
      <c r="G17" s="3">
        <v>108</v>
      </c>
      <c r="H17" s="85">
        <f t="shared" si="0"/>
        <v>270</v>
      </c>
      <c r="I17" s="35">
        <f>F17+(C17*0.2)+('численность 1'!M17*0.3)+'численность 1'!G17+(('численность 1'!C17-'численность 1'!G17)*0.6)</f>
        <v>40</v>
      </c>
      <c r="J17" s="35">
        <f>G17+(C17*0.2)+('численность 1'!N17*0.3)+'численность 1'!H17+(('численность 1'!D17-'численность 1'!H17)*0.6)</f>
        <v>108</v>
      </c>
      <c r="K17" s="84">
        <v>1272</v>
      </c>
      <c r="L17" s="84"/>
      <c r="M17" s="35"/>
      <c r="N17" s="79"/>
    </row>
    <row r="18" spans="1:14" ht="15">
      <c r="A18" s="3">
        <v>13</v>
      </c>
      <c r="B18" s="31" t="s">
        <v>88</v>
      </c>
      <c r="C18" s="84"/>
      <c r="D18" s="84"/>
      <c r="E18" s="85"/>
      <c r="F18" s="3"/>
      <c r="G18" s="3"/>
      <c r="H18" s="85"/>
      <c r="I18" s="35"/>
      <c r="J18" s="35">
        <f>G18+(C18*0.2)+('численность 1'!N18*0.3)+'численность 1'!H18+(('численность 1'!D18-'численность 1'!H18)*0.6)</f>
        <v>30.9</v>
      </c>
      <c r="K18" s="84">
        <v>10</v>
      </c>
      <c r="L18" s="84">
        <v>10</v>
      </c>
      <c r="M18" s="35">
        <v>10</v>
      </c>
      <c r="N18" s="79"/>
    </row>
    <row r="19" spans="1:14" ht="15">
      <c r="A19" s="22"/>
      <c r="B19" s="22" t="s">
        <v>11</v>
      </c>
      <c r="C19" s="3">
        <f>SUM(C6:C16)</f>
        <v>224</v>
      </c>
      <c r="D19" s="3">
        <f>SUM(D6:D16)</f>
        <v>302</v>
      </c>
      <c r="E19" s="35">
        <f>D19/C19*100</f>
        <v>134.82142857142858</v>
      </c>
      <c r="F19" s="3">
        <f>SUM(F6:F17)</f>
        <v>199</v>
      </c>
      <c r="G19" s="3">
        <f>SUM(G6:G17)</f>
        <v>239</v>
      </c>
      <c r="H19" s="85">
        <f>G19*100/F19</f>
        <v>120.10050251256281</v>
      </c>
      <c r="I19" s="35">
        <f>F19+(C19*0.2)+('численность 1'!M19*0.3)+'численность 1'!G19+(('численность 1'!C19-'численность 1'!G19)*0.6)</f>
        <v>5123.8</v>
      </c>
      <c r="J19" s="35">
        <f>G19+(D19*0.2)+('численность 1'!N19*0.3)+'численность 1'!H19+(('численность 1'!D19-'численность 1'!H19)*0.6)</f>
        <v>5634.8</v>
      </c>
      <c r="K19" s="3">
        <f>SUM(K6:K18)</f>
        <v>23653</v>
      </c>
      <c r="L19" s="3">
        <f>SUM(L6:L18)</f>
        <v>14193</v>
      </c>
      <c r="M19" s="35">
        <f>SUM(M6:M18)</f>
        <v>12399</v>
      </c>
      <c r="N19" s="79"/>
    </row>
  </sheetData>
  <mergeCells count="6">
    <mergeCell ref="F3:H3"/>
    <mergeCell ref="N3:N5"/>
    <mergeCell ref="K3:M3"/>
    <mergeCell ref="K4:K5"/>
    <mergeCell ref="L4:L5"/>
    <mergeCell ref="M4:M5"/>
  </mergeCells>
  <printOptions/>
  <pageMargins left="0.75" right="0.75" top="1" bottom="1" header="0.5" footer="0.5"/>
  <pageSetup horizontalDpi="300" verticalDpi="3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9"/>
  <sheetViews>
    <sheetView view="pageBreakPreview" zoomScale="60" zoomScaleNormal="50" workbookViewId="0" topLeftCell="A1">
      <selection activeCell="D7" sqref="D7"/>
    </sheetView>
  </sheetViews>
  <sheetFormatPr defaultColWidth="9.00390625" defaultRowHeight="12.75"/>
  <cols>
    <col min="1" max="1" width="5.25390625" style="0" customWidth="1"/>
    <col min="2" max="2" width="34.125" style="0" customWidth="1"/>
    <col min="3" max="3" width="9.75390625" style="0" customWidth="1"/>
    <col min="4" max="4" width="9.875" style="0" customWidth="1"/>
    <col min="5" max="5" width="10.75390625" style="0" customWidth="1"/>
    <col min="6" max="6" width="11.75390625" style="0" customWidth="1"/>
    <col min="7" max="7" width="9.875" style="0" customWidth="1"/>
    <col min="8" max="8" width="9.75390625" style="0" customWidth="1"/>
    <col min="9" max="9" width="10.75390625" style="0" customWidth="1"/>
    <col min="10" max="10" width="9.75390625" style="0" customWidth="1"/>
    <col min="11" max="11" width="9.875" style="0" customWidth="1"/>
    <col min="12" max="12" width="10.75390625" style="0" customWidth="1"/>
    <col min="13" max="13" width="9.875" style="0" customWidth="1"/>
    <col min="14" max="14" width="9.75390625" style="0" customWidth="1"/>
    <col min="15" max="15" width="10.75390625" style="0" customWidth="1"/>
    <col min="16" max="17" width="9.75390625" style="0" customWidth="1"/>
    <col min="18" max="18" width="10.875" style="0" customWidth="1"/>
    <col min="19" max="20" width="9.75390625" style="0" customWidth="1"/>
    <col min="21" max="21" width="10.625" style="0" customWidth="1"/>
    <col min="22" max="22" width="7.00390625" style="0" customWidth="1"/>
    <col min="23" max="23" width="14.25390625" style="0" customWidth="1"/>
    <col min="24" max="24" width="6.375" style="0" customWidth="1"/>
    <col min="25" max="25" width="6.00390625" style="0" customWidth="1"/>
    <col min="26" max="26" width="6.875" style="0" customWidth="1"/>
    <col min="27" max="27" width="7.375" style="0" customWidth="1"/>
    <col min="28" max="28" width="7.125" style="0" customWidth="1"/>
    <col min="29" max="29" width="10.00390625" style="0" hidden="1" customWidth="1"/>
    <col min="30" max="31" width="8.25390625" style="0" customWidth="1"/>
    <col min="32" max="32" width="8.125" style="0" customWidth="1"/>
    <col min="33" max="33" width="8.625" style="0" customWidth="1"/>
    <col min="34" max="34" width="3.25390625" style="0" customWidth="1"/>
    <col min="35" max="35" width="22.375" style="0" customWidth="1"/>
    <col min="36" max="36" width="7.125" style="0" customWidth="1"/>
    <col min="37" max="38" width="6.625" style="0" customWidth="1"/>
    <col min="39" max="39" width="7.00390625" style="0" customWidth="1"/>
  </cols>
  <sheetData>
    <row r="1" spans="5:18" ht="20.25">
      <c r="E1" s="46" t="s">
        <v>99</v>
      </c>
      <c r="F1" s="46"/>
      <c r="G1" s="46"/>
      <c r="H1" s="45"/>
      <c r="I1" s="45"/>
      <c r="J1" s="45"/>
      <c r="K1" s="45"/>
      <c r="L1" s="45"/>
      <c r="M1" s="45"/>
      <c r="N1" s="45"/>
      <c r="O1" s="45"/>
      <c r="P1" s="14"/>
      <c r="Q1" s="42"/>
      <c r="R1" s="1"/>
    </row>
    <row r="2" spans="5:17" ht="20.25">
      <c r="E2" s="45"/>
      <c r="F2" s="45"/>
      <c r="G2" s="45"/>
      <c r="H2" s="47" t="s">
        <v>55</v>
      </c>
      <c r="I2" s="47"/>
      <c r="J2" s="47"/>
      <c r="K2" s="47"/>
      <c r="L2" s="47"/>
      <c r="M2" s="47"/>
      <c r="N2" s="45"/>
      <c r="O2" s="45"/>
      <c r="P2" s="14"/>
      <c r="Q2" s="14"/>
    </row>
    <row r="3" spans="1:21" s="20" customFormat="1" ht="44.25" customHeight="1">
      <c r="A3" s="23" t="s">
        <v>2</v>
      </c>
      <c r="B3" s="125" t="s">
        <v>3</v>
      </c>
      <c r="C3" s="133" t="s">
        <v>80</v>
      </c>
      <c r="D3" s="159"/>
      <c r="E3" s="160"/>
      <c r="F3" s="127" t="s">
        <v>79</v>
      </c>
      <c r="G3" s="133" t="s">
        <v>8</v>
      </c>
      <c r="H3" s="159"/>
      <c r="I3" s="160"/>
      <c r="J3" s="161" t="s">
        <v>71</v>
      </c>
      <c r="K3" s="162"/>
      <c r="L3" s="163"/>
      <c r="M3" s="133" t="s">
        <v>9</v>
      </c>
      <c r="N3" s="159"/>
      <c r="O3" s="159"/>
      <c r="P3" s="159"/>
      <c r="Q3" s="159"/>
      <c r="R3" s="159"/>
      <c r="S3" s="159"/>
      <c r="T3" s="159"/>
      <c r="U3" s="160"/>
    </row>
    <row r="4" spans="1:21" s="20" customFormat="1" ht="23.25" customHeight="1">
      <c r="A4" s="32"/>
      <c r="B4" s="158"/>
      <c r="C4" s="125">
        <v>2010</v>
      </c>
      <c r="D4" s="125">
        <v>2011</v>
      </c>
      <c r="E4" s="98" t="s">
        <v>4</v>
      </c>
      <c r="F4" s="119"/>
      <c r="G4" s="125">
        <v>2010</v>
      </c>
      <c r="H4" s="125">
        <v>2011</v>
      </c>
      <c r="I4" s="98" t="s">
        <v>4</v>
      </c>
      <c r="J4" s="125">
        <v>2010</v>
      </c>
      <c r="K4" s="125">
        <v>2011</v>
      </c>
      <c r="L4" s="127" t="s">
        <v>96</v>
      </c>
      <c r="M4" s="125">
        <v>2010</v>
      </c>
      <c r="N4" s="125">
        <v>2011</v>
      </c>
      <c r="O4" s="127" t="s">
        <v>96</v>
      </c>
      <c r="P4" s="95" t="s">
        <v>5</v>
      </c>
      <c r="Q4" s="99" t="s">
        <v>70</v>
      </c>
      <c r="R4" s="127" t="s">
        <v>96</v>
      </c>
      <c r="S4" s="95" t="s">
        <v>52</v>
      </c>
      <c r="T4" s="100"/>
      <c r="U4" s="127" t="s">
        <v>96</v>
      </c>
    </row>
    <row r="5" spans="1:21" s="20" customFormat="1" ht="23.25" customHeight="1">
      <c r="A5" s="28"/>
      <c r="B5" s="126"/>
      <c r="C5" s="157"/>
      <c r="D5" s="157"/>
      <c r="E5" s="101">
        <v>2010</v>
      </c>
      <c r="F5" s="120"/>
      <c r="G5" s="157"/>
      <c r="H5" s="157"/>
      <c r="I5" s="101">
        <v>2010</v>
      </c>
      <c r="J5" s="157"/>
      <c r="K5" s="157"/>
      <c r="L5" s="164"/>
      <c r="M5" s="157"/>
      <c r="N5" s="157"/>
      <c r="O5" s="164"/>
      <c r="P5" s="96">
        <v>2010</v>
      </c>
      <c r="Q5" s="96">
        <v>2011</v>
      </c>
      <c r="R5" s="164"/>
      <c r="S5" s="96">
        <v>2010</v>
      </c>
      <c r="T5" s="96">
        <v>2011</v>
      </c>
      <c r="U5" s="164"/>
    </row>
    <row r="6" spans="1:34" s="20" customFormat="1" ht="24.75" customHeight="1">
      <c r="A6" s="3">
        <v>1</v>
      </c>
      <c r="B6" s="22" t="s">
        <v>60</v>
      </c>
      <c r="C6" s="106">
        <v>309</v>
      </c>
      <c r="D6" s="3">
        <v>366</v>
      </c>
      <c r="E6" s="35">
        <f aca="true" t="shared" si="0" ref="E6:E15">D6*100/C6</f>
        <v>118.44660194174757</v>
      </c>
      <c r="F6" s="3">
        <v>8</v>
      </c>
      <c r="G6" s="106">
        <v>180</v>
      </c>
      <c r="H6" s="3">
        <v>180</v>
      </c>
      <c r="I6" s="35">
        <f aca="true" t="shared" si="1" ref="I6:I15">H6*100/G6</f>
        <v>100</v>
      </c>
      <c r="J6" s="106">
        <v>180</v>
      </c>
      <c r="K6" s="91">
        <v>180</v>
      </c>
      <c r="L6" s="35">
        <f aca="true" t="shared" si="2" ref="L6:L19">K6*100/J6</f>
        <v>100</v>
      </c>
      <c r="M6" s="68"/>
      <c r="N6" s="3"/>
      <c r="O6" s="35"/>
      <c r="P6" s="68"/>
      <c r="Q6" s="3"/>
      <c r="R6" s="35"/>
      <c r="S6" s="107"/>
      <c r="T6" s="35"/>
      <c r="U6" s="35"/>
      <c r="AH6" s="82"/>
    </row>
    <row r="7" spans="1:34" s="20" customFormat="1" ht="24.75" customHeight="1">
      <c r="A7" s="3">
        <v>2</v>
      </c>
      <c r="B7" s="22" t="s">
        <v>61</v>
      </c>
      <c r="C7" s="106">
        <v>192</v>
      </c>
      <c r="D7" s="3">
        <v>214</v>
      </c>
      <c r="E7" s="35">
        <f t="shared" si="0"/>
        <v>111.45833333333333</v>
      </c>
      <c r="F7" s="3">
        <v>22</v>
      </c>
      <c r="G7" s="106">
        <v>105</v>
      </c>
      <c r="H7" s="3">
        <v>105</v>
      </c>
      <c r="I7" s="35">
        <f t="shared" si="1"/>
        <v>100</v>
      </c>
      <c r="J7" s="106">
        <v>105</v>
      </c>
      <c r="K7" s="91">
        <v>105</v>
      </c>
      <c r="L7" s="35">
        <f t="shared" si="2"/>
        <v>100</v>
      </c>
      <c r="M7" s="68"/>
      <c r="N7" s="3"/>
      <c r="O7" s="35"/>
      <c r="P7" s="68"/>
      <c r="Q7" s="3"/>
      <c r="R7" s="35"/>
      <c r="S7" s="107"/>
      <c r="T7" s="35"/>
      <c r="U7" s="35"/>
      <c r="AH7" s="82"/>
    </row>
    <row r="8" spans="1:34" s="20" customFormat="1" ht="24.75" customHeight="1">
      <c r="A8" s="3">
        <v>3</v>
      </c>
      <c r="B8" s="22" t="s">
        <v>62</v>
      </c>
      <c r="C8" s="106">
        <v>104</v>
      </c>
      <c r="D8" s="3">
        <v>120</v>
      </c>
      <c r="E8" s="35">
        <f t="shared" si="0"/>
        <v>115.38461538461539</v>
      </c>
      <c r="F8" s="84"/>
      <c r="G8" s="106">
        <v>54</v>
      </c>
      <c r="H8" s="3">
        <v>60</v>
      </c>
      <c r="I8" s="35">
        <f t="shared" si="1"/>
        <v>111.11111111111111</v>
      </c>
      <c r="J8" s="106">
        <v>54</v>
      </c>
      <c r="K8" s="91">
        <v>60</v>
      </c>
      <c r="L8" s="35">
        <f t="shared" si="2"/>
        <v>111.11111111111111</v>
      </c>
      <c r="M8" s="68"/>
      <c r="N8" s="3"/>
      <c r="O8" s="97"/>
      <c r="P8" s="68"/>
      <c r="Q8" s="3"/>
      <c r="R8" s="35"/>
      <c r="S8" s="107"/>
      <c r="T8" s="35"/>
      <c r="U8" s="35"/>
      <c r="AH8" s="82"/>
    </row>
    <row r="9" spans="1:34" s="20" customFormat="1" ht="24.75" customHeight="1">
      <c r="A9" s="3">
        <v>4</v>
      </c>
      <c r="B9" s="22" t="s">
        <v>63</v>
      </c>
      <c r="C9" s="106">
        <v>881</v>
      </c>
      <c r="D9" s="3">
        <v>824</v>
      </c>
      <c r="E9" s="35">
        <f t="shared" si="0"/>
        <v>93.53007945516458</v>
      </c>
      <c r="F9" s="3">
        <v>48</v>
      </c>
      <c r="G9" s="106">
        <v>304</v>
      </c>
      <c r="H9" s="3">
        <v>308</v>
      </c>
      <c r="I9" s="35">
        <f t="shared" si="1"/>
        <v>101.3157894736842</v>
      </c>
      <c r="J9" s="106">
        <v>304</v>
      </c>
      <c r="K9" s="91">
        <v>308</v>
      </c>
      <c r="L9" s="35">
        <f t="shared" si="2"/>
        <v>101.3157894736842</v>
      </c>
      <c r="M9" s="106">
        <v>419</v>
      </c>
      <c r="N9" s="3">
        <v>419</v>
      </c>
      <c r="O9" s="35">
        <f>N9*100/M9</f>
        <v>100</v>
      </c>
      <c r="P9" s="106">
        <v>27</v>
      </c>
      <c r="Q9" s="3">
        <v>20</v>
      </c>
      <c r="R9" s="35">
        <f>Q9*100/P9</f>
        <v>74.07407407407408</v>
      </c>
      <c r="S9" s="106">
        <v>30</v>
      </c>
      <c r="T9" s="3">
        <v>25</v>
      </c>
      <c r="U9" s="35">
        <f>T9*100/S9</f>
        <v>83.33333333333333</v>
      </c>
      <c r="AH9" s="82"/>
    </row>
    <row r="10" spans="1:34" s="20" customFormat="1" ht="24.75" customHeight="1">
      <c r="A10" s="3">
        <v>5</v>
      </c>
      <c r="B10" s="22" t="s">
        <v>64</v>
      </c>
      <c r="C10" s="106">
        <v>502</v>
      </c>
      <c r="D10" s="3">
        <v>538</v>
      </c>
      <c r="E10" s="35">
        <f t="shared" si="0"/>
        <v>107.17131474103586</v>
      </c>
      <c r="F10" s="84">
        <v>6</v>
      </c>
      <c r="G10" s="106">
        <v>250</v>
      </c>
      <c r="H10" s="3">
        <v>280</v>
      </c>
      <c r="I10" s="35">
        <f t="shared" si="1"/>
        <v>112</v>
      </c>
      <c r="J10" s="106">
        <v>250</v>
      </c>
      <c r="K10" s="91">
        <v>280</v>
      </c>
      <c r="L10" s="35">
        <f t="shared" si="2"/>
        <v>112</v>
      </c>
      <c r="M10" s="106">
        <v>314</v>
      </c>
      <c r="N10" s="3">
        <v>439</v>
      </c>
      <c r="O10" s="35">
        <f>N10*100/M10</f>
        <v>139.80891719745222</v>
      </c>
      <c r="P10" s="106">
        <v>80</v>
      </c>
      <c r="Q10" s="3">
        <v>80</v>
      </c>
      <c r="R10" s="35">
        <f>Q10*100/P10</f>
        <v>100</v>
      </c>
      <c r="S10" s="106">
        <v>45</v>
      </c>
      <c r="T10" s="3">
        <v>7</v>
      </c>
      <c r="U10" s="35">
        <f>T10*100/S10</f>
        <v>15.555555555555555</v>
      </c>
      <c r="AH10" s="82"/>
    </row>
    <row r="11" spans="1:34" s="20" customFormat="1" ht="24.75" customHeight="1">
      <c r="A11" s="3">
        <v>6</v>
      </c>
      <c r="B11" s="37" t="s">
        <v>78</v>
      </c>
      <c r="C11" s="106">
        <v>320</v>
      </c>
      <c r="D11" s="3">
        <v>322</v>
      </c>
      <c r="E11" s="35">
        <f t="shared" si="0"/>
        <v>100.625</v>
      </c>
      <c r="F11" s="84">
        <v>26</v>
      </c>
      <c r="G11" s="106">
        <v>85</v>
      </c>
      <c r="H11" s="3">
        <v>85</v>
      </c>
      <c r="I11" s="35">
        <f t="shared" si="1"/>
        <v>100</v>
      </c>
      <c r="J11" s="106">
        <v>85</v>
      </c>
      <c r="K11" s="91">
        <v>85</v>
      </c>
      <c r="L11" s="35">
        <f t="shared" si="2"/>
        <v>100</v>
      </c>
      <c r="M11" s="106"/>
      <c r="N11" s="3"/>
      <c r="O11" s="35"/>
      <c r="P11" s="106"/>
      <c r="Q11" s="3"/>
      <c r="R11" s="35"/>
      <c r="S11" s="106"/>
      <c r="T11" s="3"/>
      <c r="U11" s="35"/>
      <c r="AH11" s="82"/>
    </row>
    <row r="12" spans="1:34" s="20" customFormat="1" ht="24.75" customHeight="1">
      <c r="A12" s="3">
        <v>7</v>
      </c>
      <c r="B12" s="22" t="s">
        <v>65</v>
      </c>
      <c r="C12" s="106">
        <v>141</v>
      </c>
      <c r="D12" s="3">
        <v>171</v>
      </c>
      <c r="E12" s="35">
        <f t="shared" si="0"/>
        <v>121.27659574468085</v>
      </c>
      <c r="F12" s="3">
        <v>16</v>
      </c>
      <c r="G12" s="106">
        <v>52</v>
      </c>
      <c r="H12" s="3">
        <v>60</v>
      </c>
      <c r="I12" s="35">
        <f t="shared" si="1"/>
        <v>115.38461538461539</v>
      </c>
      <c r="J12" s="106">
        <v>52</v>
      </c>
      <c r="K12" s="91">
        <v>60</v>
      </c>
      <c r="L12" s="35">
        <f t="shared" si="2"/>
        <v>115.38461538461539</v>
      </c>
      <c r="M12" s="106"/>
      <c r="N12" s="3"/>
      <c r="O12" s="35"/>
      <c r="P12" s="106"/>
      <c r="Q12" s="3"/>
      <c r="R12" s="35"/>
      <c r="S12" s="106"/>
      <c r="T12" s="3"/>
      <c r="U12" s="35"/>
      <c r="AH12" s="82"/>
    </row>
    <row r="13" spans="1:34" s="20" customFormat="1" ht="24.75" customHeight="1">
      <c r="A13" s="3">
        <v>8</v>
      </c>
      <c r="B13" s="31" t="s">
        <v>77</v>
      </c>
      <c r="C13" s="106">
        <v>195</v>
      </c>
      <c r="D13" s="3">
        <v>217</v>
      </c>
      <c r="E13" s="35">
        <f t="shared" si="0"/>
        <v>111.28205128205128</v>
      </c>
      <c r="F13" s="3">
        <v>22</v>
      </c>
      <c r="G13" s="106">
        <v>60</v>
      </c>
      <c r="H13" s="3">
        <v>78</v>
      </c>
      <c r="I13" s="35">
        <f t="shared" si="1"/>
        <v>130</v>
      </c>
      <c r="J13" s="106">
        <v>60</v>
      </c>
      <c r="K13" s="91">
        <v>78</v>
      </c>
      <c r="L13" s="35">
        <f t="shared" si="2"/>
        <v>130</v>
      </c>
      <c r="M13" s="106"/>
      <c r="N13" s="3"/>
      <c r="O13" s="35"/>
      <c r="P13" s="106"/>
      <c r="Q13" s="3"/>
      <c r="R13" s="35"/>
      <c r="S13" s="106"/>
      <c r="T13" s="3"/>
      <c r="U13" s="35"/>
      <c r="AH13" s="82"/>
    </row>
    <row r="14" spans="1:34" s="20" customFormat="1" ht="24.75" customHeight="1">
      <c r="A14" s="3">
        <v>9</v>
      </c>
      <c r="B14" s="22" t="s">
        <v>66</v>
      </c>
      <c r="C14" s="106">
        <v>210</v>
      </c>
      <c r="D14" s="3">
        <v>244</v>
      </c>
      <c r="E14" s="35">
        <f t="shared" si="0"/>
        <v>116.19047619047619</v>
      </c>
      <c r="F14" s="3">
        <v>16</v>
      </c>
      <c r="G14" s="106">
        <v>100</v>
      </c>
      <c r="H14" s="3">
        <v>100</v>
      </c>
      <c r="I14" s="35">
        <f t="shared" si="1"/>
        <v>100</v>
      </c>
      <c r="J14" s="106">
        <v>100</v>
      </c>
      <c r="K14" s="91">
        <v>100</v>
      </c>
      <c r="L14" s="35">
        <f t="shared" si="2"/>
        <v>100</v>
      </c>
      <c r="M14" s="106"/>
      <c r="N14" s="3"/>
      <c r="O14" s="35"/>
      <c r="P14" s="106"/>
      <c r="Q14" s="3"/>
      <c r="R14" s="35"/>
      <c r="S14" s="106"/>
      <c r="T14" s="3"/>
      <c r="U14" s="35"/>
      <c r="AH14" s="82"/>
    </row>
    <row r="15" spans="1:34" s="20" customFormat="1" ht="24.75" customHeight="1">
      <c r="A15" s="3">
        <v>10</v>
      </c>
      <c r="B15" s="22" t="s">
        <v>67</v>
      </c>
      <c r="C15" s="106">
        <v>83</v>
      </c>
      <c r="D15" s="3">
        <v>95</v>
      </c>
      <c r="E15" s="35">
        <f t="shared" si="0"/>
        <v>114.4578313253012</v>
      </c>
      <c r="F15" s="3">
        <v>9</v>
      </c>
      <c r="G15" s="106">
        <v>42</v>
      </c>
      <c r="H15" s="3">
        <v>42</v>
      </c>
      <c r="I15" s="35">
        <f t="shared" si="1"/>
        <v>100</v>
      </c>
      <c r="J15" s="106">
        <v>42</v>
      </c>
      <c r="K15" s="91">
        <v>42</v>
      </c>
      <c r="L15" s="35">
        <f t="shared" si="2"/>
        <v>100</v>
      </c>
      <c r="M15" s="106"/>
      <c r="N15" s="3"/>
      <c r="O15" s="35"/>
      <c r="P15" s="106"/>
      <c r="Q15" s="3"/>
      <c r="R15" s="35"/>
      <c r="S15" s="106"/>
      <c r="T15" s="3"/>
      <c r="U15" s="35"/>
      <c r="AH15" s="82"/>
    </row>
    <row r="16" spans="1:34" s="20" customFormat="1" ht="24.75" customHeight="1">
      <c r="A16" s="3">
        <v>11</v>
      </c>
      <c r="B16" s="22" t="s">
        <v>68</v>
      </c>
      <c r="C16" s="3"/>
      <c r="D16" s="3"/>
      <c r="E16" s="35"/>
      <c r="F16" s="3"/>
      <c r="G16" s="3"/>
      <c r="H16" s="3"/>
      <c r="I16" s="35"/>
      <c r="J16" s="68"/>
      <c r="K16" s="91"/>
      <c r="L16" s="35"/>
      <c r="M16" s="106">
        <v>8017</v>
      </c>
      <c r="N16" s="3">
        <v>8871</v>
      </c>
      <c r="O16" s="35">
        <f>N16*100/M16</f>
        <v>110.65236372707996</v>
      </c>
      <c r="P16" s="106">
        <v>220</v>
      </c>
      <c r="Q16" s="3">
        <v>240</v>
      </c>
      <c r="R16" s="35">
        <f>Q16*100/P16</f>
        <v>109.0909090909091</v>
      </c>
      <c r="S16" s="106">
        <v>440</v>
      </c>
      <c r="T16" s="3">
        <v>473</v>
      </c>
      <c r="U16" s="35">
        <f>T16*100/S16</f>
        <v>107.5</v>
      </c>
      <c r="AH16" s="82"/>
    </row>
    <row r="17" spans="1:34" s="20" customFormat="1" ht="24.75" customHeight="1">
      <c r="A17" s="3">
        <v>12</v>
      </c>
      <c r="B17" s="31" t="s">
        <v>75</v>
      </c>
      <c r="C17" s="3"/>
      <c r="D17" s="3"/>
      <c r="E17" s="35"/>
      <c r="F17" s="3"/>
      <c r="G17" s="3"/>
      <c r="H17" s="3"/>
      <c r="I17" s="35"/>
      <c r="J17" s="68"/>
      <c r="K17" s="3"/>
      <c r="L17" s="35"/>
      <c r="M17" s="3"/>
      <c r="N17" s="3"/>
      <c r="O17" s="35"/>
      <c r="P17" s="3"/>
      <c r="Q17" s="3"/>
      <c r="R17" s="35"/>
      <c r="S17" s="3"/>
      <c r="T17" s="3"/>
      <c r="U17" s="35"/>
      <c r="AH17" s="82"/>
    </row>
    <row r="18" spans="1:34" s="20" customFormat="1" ht="24.75" customHeight="1">
      <c r="A18" s="3">
        <v>13</v>
      </c>
      <c r="B18" s="31" t="s">
        <v>88</v>
      </c>
      <c r="C18" s="3"/>
      <c r="D18" s="3"/>
      <c r="E18" s="35"/>
      <c r="F18" s="3"/>
      <c r="G18" s="3"/>
      <c r="H18" s="3"/>
      <c r="I18" s="35"/>
      <c r="J18" s="3"/>
      <c r="K18" s="3"/>
      <c r="L18" s="35"/>
      <c r="M18" s="3"/>
      <c r="N18" s="3">
        <v>103</v>
      </c>
      <c r="O18" s="35"/>
      <c r="P18" s="3"/>
      <c r="Q18" s="3">
        <v>10</v>
      </c>
      <c r="R18" s="35"/>
      <c r="S18" s="3"/>
      <c r="T18" s="3">
        <v>2</v>
      </c>
      <c r="U18" s="35"/>
      <c r="AH18" s="82"/>
    </row>
    <row r="19" spans="1:21" s="20" customFormat="1" ht="21.75" customHeight="1">
      <c r="A19" s="22"/>
      <c r="B19" s="22" t="s">
        <v>11</v>
      </c>
      <c r="C19" s="3">
        <f>SUM(C6:C16)</f>
        <v>2937</v>
      </c>
      <c r="D19" s="3">
        <f>SUM(D6:D16)</f>
        <v>3111</v>
      </c>
      <c r="E19" s="35">
        <f>D19*100/C19</f>
        <v>105.9244126659857</v>
      </c>
      <c r="F19" s="3">
        <f>SUM(F6:F16)</f>
        <v>173</v>
      </c>
      <c r="G19" s="3">
        <f>SUM(G6:G16)</f>
        <v>1232</v>
      </c>
      <c r="H19" s="3">
        <f>SUM(H6:H16)</f>
        <v>1298</v>
      </c>
      <c r="I19" s="35">
        <f>H19*100/G19</f>
        <v>105.35714285714286</v>
      </c>
      <c r="J19" s="3">
        <v>1232</v>
      </c>
      <c r="K19" s="35">
        <f>SUM(K6:K18)</f>
        <v>1298</v>
      </c>
      <c r="L19" s="35">
        <f t="shared" si="2"/>
        <v>105.35714285714286</v>
      </c>
      <c r="M19" s="3">
        <f>SUM(M9:M16)</f>
        <v>8750</v>
      </c>
      <c r="N19" s="3">
        <f>SUM(N6:N18)</f>
        <v>9832</v>
      </c>
      <c r="O19" s="35">
        <f>N19*100/M19</f>
        <v>112.36571428571429</v>
      </c>
      <c r="P19" s="3">
        <f>SUM(P6:P16)</f>
        <v>327</v>
      </c>
      <c r="Q19" s="3">
        <f>SUM(Q6:Q18)</f>
        <v>350</v>
      </c>
      <c r="R19" s="35">
        <f>Q19*100/P19</f>
        <v>107.03363914373088</v>
      </c>
      <c r="S19" s="3">
        <f>SUM(S6:S16)</f>
        <v>515</v>
      </c>
      <c r="T19" s="35">
        <f>SUM(T6:T18)</f>
        <v>507</v>
      </c>
      <c r="U19" s="35">
        <f>T19*100/S19</f>
        <v>98.44660194174757</v>
      </c>
    </row>
  </sheetData>
  <mergeCells count="18">
    <mergeCell ref="J3:L3"/>
    <mergeCell ref="J4:J5"/>
    <mergeCell ref="K4:K5"/>
    <mergeCell ref="L4:L5"/>
    <mergeCell ref="M3:U3"/>
    <mergeCell ref="O4:O5"/>
    <mergeCell ref="N4:N5"/>
    <mergeCell ref="R4:R5"/>
    <mergeCell ref="U4:U5"/>
    <mergeCell ref="M4:M5"/>
    <mergeCell ref="B3:B5"/>
    <mergeCell ref="G4:G5"/>
    <mergeCell ref="H4:H5"/>
    <mergeCell ref="D4:D5"/>
    <mergeCell ref="C4:C5"/>
    <mergeCell ref="G3:I3"/>
    <mergeCell ref="F3:F5"/>
    <mergeCell ref="C3:E3"/>
  </mergeCells>
  <printOptions/>
  <pageMargins left="0.75" right="0.75" top="1" bottom="1" header="0.5" footer="0.5"/>
  <pageSetup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1"/>
  <sheetViews>
    <sheetView view="pageBreakPreview" zoomScale="75" zoomScaleNormal="75" zoomScaleSheetLayoutView="75" workbookViewId="0" topLeftCell="A1">
      <selection activeCell="C7" sqref="C7"/>
    </sheetView>
  </sheetViews>
  <sheetFormatPr defaultColWidth="9.00390625" defaultRowHeight="12.75"/>
  <cols>
    <col min="1" max="1" width="4.00390625" style="0" customWidth="1"/>
    <col min="2" max="2" width="32.00390625" style="0" customWidth="1"/>
    <col min="3" max="4" width="9.75390625" style="0" customWidth="1"/>
    <col min="5" max="5" width="11.125" style="0" customWidth="1"/>
    <col min="6" max="8" width="9.75390625" style="0" customWidth="1"/>
    <col min="9" max="9" width="9.625" style="0" customWidth="1"/>
    <col min="10" max="10" width="10.75390625" style="0" customWidth="1"/>
    <col min="11" max="11" width="10.125" style="0" customWidth="1"/>
    <col min="12" max="12" width="12.125" style="0" customWidth="1"/>
    <col min="13" max="13" width="9.375" style="0" customWidth="1"/>
    <col min="14" max="14" width="9.625" style="0" customWidth="1"/>
  </cols>
  <sheetData>
    <row r="2" spans="1:14" ht="15.75">
      <c r="A2" s="20"/>
      <c r="B2" s="20"/>
      <c r="C2" s="20"/>
      <c r="D2" s="1" t="s">
        <v>105</v>
      </c>
      <c r="E2" s="1"/>
      <c r="F2" s="1"/>
      <c r="G2" s="1"/>
      <c r="H2" s="1"/>
      <c r="I2" s="1"/>
      <c r="J2" s="1"/>
      <c r="K2" s="1"/>
      <c r="L2" s="20"/>
      <c r="M2" s="20"/>
      <c r="N2" s="20"/>
    </row>
    <row r="3" spans="1:14" ht="15">
      <c r="A3" s="165" t="s">
        <v>58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</row>
    <row r="4" spans="1:14" ht="12.75">
      <c r="A4" s="125" t="s">
        <v>2</v>
      </c>
      <c r="B4" s="127" t="s">
        <v>3</v>
      </c>
      <c r="C4" s="144" t="s">
        <v>84</v>
      </c>
      <c r="D4" s="174"/>
      <c r="E4" s="171"/>
      <c r="F4" s="166" t="s">
        <v>69</v>
      </c>
      <c r="G4" s="167"/>
      <c r="H4" s="166" t="s">
        <v>83</v>
      </c>
      <c r="I4" s="170"/>
      <c r="J4" s="171"/>
      <c r="K4" s="166" t="s">
        <v>81</v>
      </c>
      <c r="L4" s="167"/>
      <c r="M4" s="166" t="s">
        <v>82</v>
      </c>
      <c r="N4" s="167"/>
    </row>
    <row r="5" spans="1:14" ht="31.5" customHeight="1">
      <c r="A5" s="158"/>
      <c r="B5" s="119"/>
      <c r="C5" s="175"/>
      <c r="D5" s="176"/>
      <c r="E5" s="177"/>
      <c r="F5" s="168"/>
      <c r="G5" s="169"/>
      <c r="H5" s="168"/>
      <c r="I5" s="172"/>
      <c r="J5" s="173"/>
      <c r="K5" s="168"/>
      <c r="L5" s="169"/>
      <c r="M5" s="168"/>
      <c r="N5" s="169"/>
    </row>
    <row r="6" spans="1:14" ht="30">
      <c r="A6" s="126"/>
      <c r="B6" s="120"/>
      <c r="C6" s="3">
        <v>2010</v>
      </c>
      <c r="D6" s="19">
        <v>2011</v>
      </c>
      <c r="E6" s="92" t="s">
        <v>95</v>
      </c>
      <c r="F6" s="3">
        <v>2010</v>
      </c>
      <c r="G6" s="19">
        <v>2011</v>
      </c>
      <c r="H6" s="3">
        <v>2010</v>
      </c>
      <c r="I6" s="19">
        <v>2011</v>
      </c>
      <c r="J6" s="92" t="s">
        <v>95</v>
      </c>
      <c r="K6" s="22" t="s">
        <v>1</v>
      </c>
      <c r="L6" s="24" t="s">
        <v>35</v>
      </c>
      <c r="M6" s="37" t="s">
        <v>47</v>
      </c>
      <c r="N6" s="50" t="s">
        <v>48</v>
      </c>
    </row>
    <row r="7" spans="1:14" ht="16.5" customHeight="1">
      <c r="A7" s="30">
        <v>1</v>
      </c>
      <c r="B7" s="22" t="s">
        <v>63</v>
      </c>
      <c r="C7" s="30">
        <v>45</v>
      </c>
      <c r="D7" s="30"/>
      <c r="E7" s="30">
        <f>D7-C7</f>
        <v>-45</v>
      </c>
      <c r="F7" s="30">
        <v>45</v>
      </c>
      <c r="G7" s="30"/>
      <c r="H7" s="77">
        <f>F7*100/27</f>
        <v>166.66666666666666</v>
      </c>
      <c r="I7" s="77">
        <f>G7*100/20</f>
        <v>0</v>
      </c>
      <c r="J7" s="76">
        <f>I7-H7</f>
        <v>-166.66666666666666</v>
      </c>
      <c r="K7" s="30"/>
      <c r="L7" s="30"/>
      <c r="M7" s="90"/>
      <c r="N7" s="90"/>
    </row>
    <row r="8" spans="1:15" ht="16.5" customHeight="1">
      <c r="A8" s="30">
        <v>2</v>
      </c>
      <c r="B8" s="30" t="s">
        <v>64</v>
      </c>
      <c r="C8" s="30">
        <v>92</v>
      </c>
      <c r="D8" s="30">
        <v>60</v>
      </c>
      <c r="E8" s="30">
        <f>D8-C8</f>
        <v>-32</v>
      </c>
      <c r="F8" s="30">
        <v>92</v>
      </c>
      <c r="G8" s="30">
        <v>60</v>
      </c>
      <c r="H8" s="77">
        <f>F8*100/80</f>
        <v>115</v>
      </c>
      <c r="I8" s="77">
        <f>G8*100/80</f>
        <v>75</v>
      </c>
      <c r="J8" s="76">
        <f>I8-H8</f>
        <v>-40</v>
      </c>
      <c r="K8" s="31">
        <v>10</v>
      </c>
      <c r="L8" s="31">
        <v>10</v>
      </c>
      <c r="M8" s="90">
        <f>G8/L8</f>
        <v>6</v>
      </c>
      <c r="N8" s="90"/>
      <c r="O8" s="15"/>
    </row>
    <row r="9" spans="1:14" ht="16.5" customHeight="1">
      <c r="A9" s="30">
        <v>3</v>
      </c>
      <c r="B9" s="31" t="s">
        <v>68</v>
      </c>
      <c r="C9" s="30">
        <v>1199</v>
      </c>
      <c r="D9" s="30">
        <v>1433</v>
      </c>
      <c r="E9" s="30">
        <f>D9-C9</f>
        <v>234</v>
      </c>
      <c r="F9" s="30">
        <v>792</v>
      </c>
      <c r="G9" s="30">
        <v>892</v>
      </c>
      <c r="H9" s="77">
        <f>F9*100/200</f>
        <v>396</v>
      </c>
      <c r="I9" s="77">
        <f>G9*100/226</f>
        <v>394.69026548672565</v>
      </c>
      <c r="J9" s="76">
        <f>I9-H9</f>
        <v>-1.3097345132743499</v>
      </c>
      <c r="K9" s="31">
        <v>184</v>
      </c>
      <c r="L9" s="31">
        <v>97</v>
      </c>
      <c r="M9" s="90">
        <f>G9/L9</f>
        <v>9.195876288659793</v>
      </c>
      <c r="N9" s="90">
        <f>(D9-G9)/(K9-L9)</f>
        <v>6.218390804597701</v>
      </c>
    </row>
    <row r="10" spans="1:14" ht="16.5" customHeight="1">
      <c r="A10" s="30">
        <v>4</v>
      </c>
      <c r="B10" s="31" t="s">
        <v>88</v>
      </c>
      <c r="C10" s="30"/>
      <c r="D10" s="30">
        <v>8</v>
      </c>
      <c r="E10" s="30"/>
      <c r="F10" s="30"/>
      <c r="G10" s="30">
        <v>8</v>
      </c>
      <c r="H10" s="77"/>
      <c r="I10" s="77">
        <f>G10*100/10</f>
        <v>80</v>
      </c>
      <c r="J10" s="76"/>
      <c r="K10" s="31">
        <v>1</v>
      </c>
      <c r="L10" s="31">
        <v>1</v>
      </c>
      <c r="M10" s="90">
        <f>G10/L10</f>
        <v>8</v>
      </c>
      <c r="N10" s="90"/>
    </row>
    <row r="11" spans="1:14" ht="15" customHeight="1">
      <c r="A11" s="20"/>
      <c r="B11" s="30" t="s">
        <v>11</v>
      </c>
      <c r="C11" s="30">
        <f>SUM(C7:C9)</f>
        <v>1336</v>
      </c>
      <c r="D11" s="30">
        <f>SUM(D7:D10)</f>
        <v>1501</v>
      </c>
      <c r="E11" s="30">
        <f>D11-C11</f>
        <v>165</v>
      </c>
      <c r="F11" s="30">
        <f>SUM(F7:F9)</f>
        <v>929</v>
      </c>
      <c r="G11" s="30">
        <f>SUM(G7:G10)</f>
        <v>960</v>
      </c>
      <c r="H11" s="77">
        <f>F11*100/307</f>
        <v>302.6058631921824</v>
      </c>
      <c r="I11" s="77">
        <f>G11*100/336</f>
        <v>285.7142857142857</v>
      </c>
      <c r="J11" s="76">
        <f>I11-H11</f>
        <v>-16.891577477896703</v>
      </c>
      <c r="K11" s="76">
        <f>SUM(K7:K10)</f>
        <v>195</v>
      </c>
      <c r="L11" s="76">
        <f>SUM(L7:L10)</f>
        <v>108</v>
      </c>
      <c r="M11" s="90">
        <f>G11/L11</f>
        <v>8.88888888888889</v>
      </c>
      <c r="N11" s="90">
        <f>(D11-G11)/(K11-L11)</f>
        <v>6.218390804597701</v>
      </c>
    </row>
  </sheetData>
  <mergeCells count="8">
    <mergeCell ref="A3:N3"/>
    <mergeCell ref="F4:G5"/>
    <mergeCell ref="K4:L5"/>
    <mergeCell ref="M4:N5"/>
    <mergeCell ref="B4:B6"/>
    <mergeCell ref="A4:A6"/>
    <mergeCell ref="H4:J5"/>
    <mergeCell ref="C4:E5"/>
  </mergeCells>
  <printOptions/>
  <pageMargins left="0.75" right="0.75" top="1" bottom="1" header="0.5" footer="0.5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7"/>
  <sheetViews>
    <sheetView view="pageBreakPreview" zoomScale="65" zoomScaleNormal="75" zoomScaleSheetLayoutView="65" workbookViewId="0" topLeftCell="A1">
      <selection activeCell="F7" sqref="F7"/>
    </sheetView>
  </sheetViews>
  <sheetFormatPr defaultColWidth="9.00390625" defaultRowHeight="12.75"/>
  <cols>
    <col min="1" max="1" width="4.125" style="0" customWidth="1"/>
    <col min="2" max="2" width="28.75390625" style="0" customWidth="1"/>
    <col min="3" max="3" width="10.625" style="0" customWidth="1"/>
    <col min="4" max="4" width="10.25390625" style="0" customWidth="1"/>
    <col min="5" max="5" width="12.125" style="0" customWidth="1"/>
    <col min="6" max="6" width="9.00390625" style="0" customWidth="1"/>
    <col min="7" max="7" width="10.125" style="0" customWidth="1"/>
    <col min="8" max="8" width="11.75390625" style="0" customWidth="1"/>
    <col min="9" max="9" width="10.125" style="0" customWidth="1"/>
    <col min="10" max="10" width="9.375" style="0" customWidth="1"/>
    <col min="11" max="11" width="11.375" style="0" customWidth="1"/>
    <col min="12" max="12" width="9.00390625" style="0" customWidth="1"/>
    <col min="13" max="13" width="10.00390625" style="0" customWidth="1"/>
    <col min="14" max="14" width="13.125" style="0" customWidth="1"/>
  </cols>
  <sheetData>
    <row r="1" spans="1:14" ht="15.75">
      <c r="A1" s="20"/>
      <c r="B1" s="20"/>
      <c r="C1" s="1" t="s">
        <v>104</v>
      </c>
      <c r="D1" s="1"/>
      <c r="E1" s="1"/>
      <c r="F1" s="20"/>
      <c r="G1" s="20"/>
      <c r="H1" s="20"/>
      <c r="I1" s="20"/>
      <c r="J1" s="20"/>
      <c r="K1" s="20"/>
      <c r="L1" s="20"/>
      <c r="M1" s="20"/>
      <c r="N1" s="20"/>
    </row>
    <row r="2" spans="1:14" ht="15">
      <c r="A2" s="125" t="s">
        <v>2</v>
      </c>
      <c r="B2" s="125" t="s">
        <v>3</v>
      </c>
      <c r="C2" s="24" t="s">
        <v>37</v>
      </c>
      <c r="D2" s="25"/>
      <c r="E2" s="26"/>
      <c r="F2" s="48" t="s">
        <v>38</v>
      </c>
      <c r="G2" s="25"/>
      <c r="H2" s="26"/>
      <c r="I2" s="24" t="s">
        <v>39</v>
      </c>
      <c r="J2" s="25"/>
      <c r="K2" s="26"/>
      <c r="L2" s="24" t="s">
        <v>40</v>
      </c>
      <c r="M2" s="25"/>
      <c r="N2" s="26"/>
    </row>
    <row r="3" spans="1:14" ht="15">
      <c r="A3" s="158"/>
      <c r="B3" s="158"/>
      <c r="C3" s="18">
        <v>2010</v>
      </c>
      <c r="D3" s="19">
        <v>2011</v>
      </c>
      <c r="E3" s="9" t="s">
        <v>36</v>
      </c>
      <c r="F3" s="18">
        <v>2010</v>
      </c>
      <c r="G3" s="19">
        <v>2011</v>
      </c>
      <c r="H3" s="9" t="s">
        <v>36</v>
      </c>
      <c r="I3" s="18">
        <v>2010</v>
      </c>
      <c r="J3" s="19">
        <v>2011</v>
      </c>
      <c r="K3" s="9" t="s">
        <v>36</v>
      </c>
      <c r="L3" s="18">
        <v>2010</v>
      </c>
      <c r="M3" s="19">
        <v>2011</v>
      </c>
      <c r="N3" s="9" t="s">
        <v>36</v>
      </c>
    </row>
    <row r="4" spans="1:14" ht="15">
      <c r="A4" s="126"/>
      <c r="B4" s="126"/>
      <c r="C4" s="28"/>
      <c r="D4" s="28"/>
      <c r="E4" s="44" t="s">
        <v>94</v>
      </c>
      <c r="F4" s="28"/>
      <c r="G4" s="28"/>
      <c r="H4" s="44" t="s">
        <v>94</v>
      </c>
      <c r="I4" s="28"/>
      <c r="J4" s="28"/>
      <c r="K4" s="44" t="s">
        <v>94</v>
      </c>
      <c r="L4" s="28"/>
      <c r="M4" s="28"/>
      <c r="N4" s="44" t="s">
        <v>94</v>
      </c>
    </row>
    <row r="5" spans="1:14" ht="16.5" customHeight="1">
      <c r="A5" s="30">
        <v>1</v>
      </c>
      <c r="B5" s="30" t="s">
        <v>60</v>
      </c>
      <c r="C5" s="112">
        <v>32</v>
      </c>
      <c r="D5" s="12">
        <v>31</v>
      </c>
      <c r="E5" s="16">
        <f aca="true" t="shared" si="0" ref="E5:E14">D5-C5</f>
        <v>-1</v>
      </c>
      <c r="F5" s="112">
        <v>14</v>
      </c>
      <c r="G5" s="12">
        <v>3</v>
      </c>
      <c r="H5" s="16">
        <f aca="true" t="shared" si="1" ref="H5:H14">G5-F5</f>
        <v>-11</v>
      </c>
      <c r="I5" s="112"/>
      <c r="J5" s="12"/>
      <c r="K5" s="12"/>
      <c r="L5" s="112"/>
      <c r="M5" s="12"/>
      <c r="N5" s="12"/>
    </row>
    <row r="6" spans="1:14" ht="16.5" customHeight="1">
      <c r="A6" s="30">
        <v>2</v>
      </c>
      <c r="B6" s="30" t="s">
        <v>61</v>
      </c>
      <c r="C6" s="112">
        <v>23</v>
      </c>
      <c r="D6" s="12">
        <v>22</v>
      </c>
      <c r="E6" s="16">
        <f t="shared" si="0"/>
        <v>-1</v>
      </c>
      <c r="F6" s="112"/>
      <c r="G6" s="12">
        <v>9</v>
      </c>
      <c r="H6" s="16">
        <f t="shared" si="1"/>
        <v>9</v>
      </c>
      <c r="I6" s="112"/>
      <c r="J6" s="12"/>
      <c r="K6" s="12"/>
      <c r="L6" s="112"/>
      <c r="M6" s="12"/>
      <c r="N6" s="12"/>
    </row>
    <row r="7" spans="1:14" ht="16.5" customHeight="1">
      <c r="A7" s="30">
        <v>3</v>
      </c>
      <c r="B7" s="30" t="s">
        <v>62</v>
      </c>
      <c r="C7" s="112">
        <v>12</v>
      </c>
      <c r="D7" s="12">
        <v>9</v>
      </c>
      <c r="E7" s="16">
        <f t="shared" si="0"/>
        <v>-3</v>
      </c>
      <c r="F7" s="112">
        <v>2</v>
      </c>
      <c r="G7" s="12"/>
      <c r="H7" s="16">
        <f t="shared" si="1"/>
        <v>-2</v>
      </c>
      <c r="I7" s="112"/>
      <c r="J7" s="12"/>
      <c r="K7" s="12"/>
      <c r="L7" s="112"/>
      <c r="M7" s="12"/>
      <c r="N7" s="12"/>
    </row>
    <row r="8" spans="1:14" ht="16.5" customHeight="1">
      <c r="A8" s="30">
        <v>4</v>
      </c>
      <c r="B8" s="22" t="s">
        <v>63</v>
      </c>
      <c r="C8" s="112">
        <v>74</v>
      </c>
      <c r="D8" s="12">
        <v>57</v>
      </c>
      <c r="E8" s="16">
        <f t="shared" si="0"/>
        <v>-17</v>
      </c>
      <c r="F8" s="112"/>
      <c r="G8" s="12"/>
      <c r="H8" s="16">
        <f t="shared" si="1"/>
        <v>0</v>
      </c>
      <c r="I8" s="112">
        <v>10</v>
      </c>
      <c r="J8" s="12">
        <v>20</v>
      </c>
      <c r="K8" s="12">
        <f>J8-I8</f>
        <v>10</v>
      </c>
      <c r="L8" s="112"/>
      <c r="M8" s="12">
        <v>5</v>
      </c>
      <c r="N8" s="12">
        <f>M8-L8</f>
        <v>5</v>
      </c>
    </row>
    <row r="9" spans="1:14" ht="16.5" customHeight="1">
      <c r="A9" s="30">
        <v>5</v>
      </c>
      <c r="B9" s="30" t="s">
        <v>64</v>
      </c>
      <c r="C9" s="112">
        <v>86</v>
      </c>
      <c r="D9" s="12">
        <v>35</v>
      </c>
      <c r="E9" s="16">
        <f t="shared" si="0"/>
        <v>-51</v>
      </c>
      <c r="F9" s="112"/>
      <c r="G9" s="12"/>
      <c r="H9" s="16">
        <f t="shared" si="1"/>
        <v>0</v>
      </c>
      <c r="I9" s="112">
        <v>35</v>
      </c>
      <c r="J9" s="12">
        <v>30</v>
      </c>
      <c r="K9" s="12">
        <f>J9-I9</f>
        <v>-5</v>
      </c>
      <c r="L9" s="112">
        <v>1</v>
      </c>
      <c r="M9" s="12"/>
      <c r="N9" s="12">
        <f>M9-L9</f>
        <v>-1</v>
      </c>
    </row>
    <row r="10" spans="1:14" ht="16.5" customHeight="1">
      <c r="A10" s="30">
        <v>6</v>
      </c>
      <c r="B10" s="31" t="s">
        <v>78</v>
      </c>
      <c r="C10" s="112">
        <v>21</v>
      </c>
      <c r="D10" s="12">
        <v>11</v>
      </c>
      <c r="E10" s="16">
        <f t="shared" si="0"/>
        <v>-10</v>
      </c>
      <c r="F10" s="112">
        <v>4</v>
      </c>
      <c r="G10" s="12"/>
      <c r="H10" s="16">
        <f t="shared" si="1"/>
        <v>-4</v>
      </c>
      <c r="I10" s="112"/>
      <c r="J10" s="12"/>
      <c r="K10" s="12"/>
      <c r="L10" s="112"/>
      <c r="M10" s="12"/>
      <c r="N10" s="12"/>
    </row>
    <row r="11" spans="1:14" ht="16.5" customHeight="1">
      <c r="A11" s="30">
        <v>7</v>
      </c>
      <c r="B11" s="31" t="s">
        <v>65</v>
      </c>
      <c r="C11" s="112">
        <v>10</v>
      </c>
      <c r="D11" s="12">
        <v>8</v>
      </c>
      <c r="E11" s="16">
        <f t="shared" si="0"/>
        <v>-2</v>
      </c>
      <c r="F11" s="112"/>
      <c r="G11" s="12"/>
      <c r="H11" s="16">
        <f t="shared" si="1"/>
        <v>0</v>
      </c>
      <c r="I11" s="112"/>
      <c r="J11" s="12"/>
      <c r="K11" s="12"/>
      <c r="L11" s="112"/>
      <c r="M11" s="12"/>
      <c r="N11" s="12"/>
    </row>
    <row r="12" spans="1:14" ht="16.5" customHeight="1">
      <c r="A12" s="30">
        <v>8</v>
      </c>
      <c r="B12" s="31" t="s">
        <v>77</v>
      </c>
      <c r="C12" s="112">
        <v>41</v>
      </c>
      <c r="D12" s="12">
        <v>20</v>
      </c>
      <c r="E12" s="16">
        <f t="shared" si="0"/>
        <v>-21</v>
      </c>
      <c r="F12" s="112">
        <v>10</v>
      </c>
      <c r="G12" s="12">
        <v>3</v>
      </c>
      <c r="H12" s="16">
        <f t="shared" si="1"/>
        <v>-7</v>
      </c>
      <c r="I12" s="112"/>
      <c r="J12" s="12"/>
      <c r="K12" s="12"/>
      <c r="L12" s="112"/>
      <c r="M12" s="12"/>
      <c r="N12" s="12"/>
    </row>
    <row r="13" spans="1:14" ht="16.5" customHeight="1">
      <c r="A13" s="30">
        <v>9</v>
      </c>
      <c r="B13" s="31" t="s">
        <v>66</v>
      </c>
      <c r="C13" s="112">
        <v>9</v>
      </c>
      <c r="D13" s="12">
        <v>15</v>
      </c>
      <c r="E13" s="16">
        <f t="shared" si="0"/>
        <v>6</v>
      </c>
      <c r="F13" s="112">
        <v>5</v>
      </c>
      <c r="G13" s="12">
        <v>5</v>
      </c>
      <c r="H13" s="16">
        <f t="shared" si="1"/>
        <v>0</v>
      </c>
      <c r="I13" s="112"/>
      <c r="J13" s="12"/>
      <c r="K13" s="12"/>
      <c r="L13" s="112"/>
      <c r="M13" s="12"/>
      <c r="N13" s="12"/>
    </row>
    <row r="14" spans="1:14" ht="16.5" customHeight="1">
      <c r="A14" s="30">
        <v>10</v>
      </c>
      <c r="B14" s="31" t="s">
        <v>67</v>
      </c>
      <c r="C14" s="112">
        <v>20</v>
      </c>
      <c r="D14" s="12">
        <v>1</v>
      </c>
      <c r="E14" s="16">
        <f t="shared" si="0"/>
        <v>-19</v>
      </c>
      <c r="F14" s="112"/>
      <c r="G14" s="12"/>
      <c r="H14" s="16">
        <f t="shared" si="1"/>
        <v>0</v>
      </c>
      <c r="I14" s="112"/>
      <c r="J14" s="12"/>
      <c r="K14" s="12"/>
      <c r="L14" s="112"/>
      <c r="M14" s="12"/>
      <c r="N14" s="12"/>
    </row>
    <row r="15" spans="1:14" ht="16.5" customHeight="1">
      <c r="A15" s="30">
        <v>11</v>
      </c>
      <c r="B15" s="31" t="s">
        <v>68</v>
      </c>
      <c r="C15" s="12"/>
      <c r="D15" s="16"/>
      <c r="E15" s="16"/>
      <c r="F15" s="16"/>
      <c r="G15" s="16"/>
      <c r="H15" s="16"/>
      <c r="I15" s="112">
        <v>380</v>
      </c>
      <c r="J15" s="12">
        <v>433</v>
      </c>
      <c r="K15" s="12">
        <f>J15-I15</f>
        <v>53</v>
      </c>
      <c r="L15" s="112">
        <v>180</v>
      </c>
      <c r="M15" s="12">
        <v>228</v>
      </c>
      <c r="N15" s="12">
        <f>M15-L15</f>
        <v>48</v>
      </c>
    </row>
    <row r="16" spans="1:14" ht="16.5" customHeight="1">
      <c r="A16" s="30">
        <v>12</v>
      </c>
      <c r="B16" s="31" t="s">
        <v>88</v>
      </c>
      <c r="C16" s="12"/>
      <c r="D16" s="16"/>
      <c r="E16" s="16"/>
      <c r="F16" s="16"/>
      <c r="G16" s="16"/>
      <c r="H16" s="16"/>
      <c r="I16" s="12"/>
      <c r="J16" s="12">
        <v>7</v>
      </c>
      <c r="K16" s="12"/>
      <c r="L16" s="12"/>
      <c r="M16" s="12"/>
      <c r="N16" s="12"/>
    </row>
    <row r="17" spans="1:14" ht="21" customHeight="1">
      <c r="A17" s="138" t="s">
        <v>11</v>
      </c>
      <c r="B17" s="140"/>
      <c r="C17" s="12">
        <f>SUM(C5:C14)</f>
        <v>328</v>
      </c>
      <c r="D17" s="12">
        <f>SUM(D5:D16)</f>
        <v>209</v>
      </c>
      <c r="E17" s="12">
        <f>D17-C17</f>
        <v>-119</v>
      </c>
      <c r="F17" s="12">
        <f>SUM(F5:F15)</f>
        <v>35</v>
      </c>
      <c r="G17" s="12">
        <f>SUM(G5:G16)</f>
        <v>20</v>
      </c>
      <c r="H17" s="12">
        <f>G17-F17</f>
        <v>-15</v>
      </c>
      <c r="I17" s="12">
        <f>SUM(I5:I15)</f>
        <v>425</v>
      </c>
      <c r="J17" s="12">
        <f>SUM(J5:J16)</f>
        <v>490</v>
      </c>
      <c r="K17" s="12">
        <f>J17-I17</f>
        <v>65</v>
      </c>
      <c r="L17" s="12">
        <f>SUM(L8:L15)</f>
        <v>181</v>
      </c>
      <c r="M17" s="12">
        <f>SUM(M5:M16)</f>
        <v>233</v>
      </c>
      <c r="N17" s="12">
        <f>M17-L17</f>
        <v>52</v>
      </c>
    </row>
  </sheetData>
  <mergeCells count="3">
    <mergeCell ref="B2:B4"/>
    <mergeCell ref="A2:A4"/>
    <mergeCell ref="A17:B17"/>
  </mergeCells>
  <printOptions/>
  <pageMargins left="0.75" right="0.75" top="1" bottom="1" header="0.5" footer="0.5"/>
  <pageSetup horizontalDpi="300" verticalDpi="3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7"/>
  <sheetViews>
    <sheetView view="pageBreakPreview" zoomScale="65" zoomScaleNormal="75" zoomScaleSheetLayoutView="65" workbookViewId="0" topLeftCell="A1">
      <selection activeCell="F9" sqref="F9"/>
    </sheetView>
  </sheetViews>
  <sheetFormatPr defaultColWidth="9.00390625" defaultRowHeight="12.75"/>
  <cols>
    <col min="1" max="1" width="4.25390625" style="0" customWidth="1"/>
    <col min="2" max="2" width="27.25390625" style="0" customWidth="1"/>
    <col min="3" max="3" width="8.875" style="0" customWidth="1"/>
    <col min="5" max="5" width="10.875" style="0" customWidth="1"/>
    <col min="6" max="6" width="9.25390625" style="0" customWidth="1"/>
    <col min="8" max="8" width="9.625" style="0" customWidth="1"/>
    <col min="9" max="9" width="9.375" style="0" customWidth="1"/>
    <col min="10" max="10" width="9.625" style="0" customWidth="1"/>
    <col min="11" max="11" width="10.125" style="0" customWidth="1"/>
    <col min="13" max="13" width="9.375" style="0" customWidth="1"/>
    <col min="14" max="14" width="10.375" style="0" customWidth="1"/>
  </cols>
  <sheetData>
    <row r="1" spans="1:14" ht="15.75">
      <c r="A1" s="178" t="s">
        <v>103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</row>
    <row r="2" spans="1:14" ht="15">
      <c r="A2" s="165" t="s">
        <v>85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</row>
    <row r="3" spans="1:14" ht="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15">
      <c r="A4" s="134" t="s">
        <v>2</v>
      </c>
      <c r="B4" s="134" t="s">
        <v>3</v>
      </c>
      <c r="C4" s="24" t="s">
        <v>27</v>
      </c>
      <c r="D4" s="25"/>
      <c r="E4" s="26"/>
      <c r="F4" s="5" t="s">
        <v>28</v>
      </c>
      <c r="G4" s="7"/>
      <c r="H4" s="23" t="s">
        <v>30</v>
      </c>
      <c r="I4" s="33" t="s">
        <v>31</v>
      </c>
      <c r="J4" s="21"/>
      <c r="K4" s="23" t="s">
        <v>30</v>
      </c>
      <c r="L4" s="49" t="s">
        <v>33</v>
      </c>
      <c r="M4" s="21"/>
      <c r="N4" s="23" t="s">
        <v>30</v>
      </c>
    </row>
    <row r="5" spans="1:14" ht="15">
      <c r="A5" s="180"/>
      <c r="B5" s="180"/>
      <c r="C5" s="18">
        <v>2010</v>
      </c>
      <c r="D5" s="19">
        <v>2011</v>
      </c>
      <c r="E5" s="19" t="s">
        <v>91</v>
      </c>
      <c r="F5" s="18">
        <v>2010</v>
      </c>
      <c r="G5" s="19">
        <v>2011</v>
      </c>
      <c r="H5" s="43" t="s">
        <v>29</v>
      </c>
      <c r="I5" s="29" t="s">
        <v>32</v>
      </c>
      <c r="J5" s="27"/>
      <c r="K5" s="43" t="s">
        <v>29</v>
      </c>
      <c r="L5" s="51" t="s">
        <v>34</v>
      </c>
      <c r="M5" s="27"/>
      <c r="N5" s="43" t="s">
        <v>29</v>
      </c>
    </row>
    <row r="6" spans="1:14" ht="15">
      <c r="A6" s="180"/>
      <c r="B6" s="180"/>
      <c r="C6" s="39"/>
      <c r="D6" s="11"/>
      <c r="E6" s="11" t="s">
        <v>92</v>
      </c>
      <c r="F6" s="28"/>
      <c r="G6" s="27"/>
      <c r="H6" s="28" t="s">
        <v>93</v>
      </c>
      <c r="I6" s="18">
        <v>2010</v>
      </c>
      <c r="J6" s="19">
        <v>2011</v>
      </c>
      <c r="K6" s="28" t="s">
        <v>93</v>
      </c>
      <c r="L6" s="18">
        <v>2010</v>
      </c>
      <c r="M6" s="19">
        <v>2011</v>
      </c>
      <c r="N6" s="28" t="s">
        <v>93</v>
      </c>
    </row>
    <row r="7" spans="1:14" ht="16.5" customHeight="1">
      <c r="A7" s="30">
        <v>1</v>
      </c>
      <c r="B7" s="30" t="s">
        <v>60</v>
      </c>
      <c r="C7" s="76">
        <v>15</v>
      </c>
      <c r="D7" s="35">
        <v>52</v>
      </c>
      <c r="E7" s="35">
        <f aca="true" t="shared" si="0" ref="E7:E17">D7*100/C7</f>
        <v>346.6666666666667</v>
      </c>
      <c r="F7" s="76">
        <v>15</v>
      </c>
      <c r="G7" s="35">
        <v>52</v>
      </c>
      <c r="H7" s="35">
        <f aca="true" t="shared" si="1" ref="H7:H17">G7-F7</f>
        <v>37</v>
      </c>
      <c r="I7" s="35">
        <f>F7*100/180</f>
        <v>8.333333333333334</v>
      </c>
      <c r="J7" s="35">
        <f>G7*100/180</f>
        <v>28.88888888888889</v>
      </c>
      <c r="K7" s="35">
        <f aca="true" t="shared" si="2" ref="K7:K17">J7-I7</f>
        <v>20.555555555555557</v>
      </c>
      <c r="L7" s="35">
        <f>(C7-F7)*100/180</f>
        <v>0</v>
      </c>
      <c r="M7" s="35">
        <f>(D7-G7)*100/180</f>
        <v>0</v>
      </c>
      <c r="N7" s="35">
        <f>M7-L7</f>
        <v>0</v>
      </c>
    </row>
    <row r="8" spans="1:14" ht="16.5" customHeight="1">
      <c r="A8" s="30">
        <v>2</v>
      </c>
      <c r="B8" s="30" t="s">
        <v>61</v>
      </c>
      <c r="C8" s="76">
        <v>18</v>
      </c>
      <c r="D8" s="35">
        <v>16</v>
      </c>
      <c r="E8" s="35">
        <f t="shared" si="0"/>
        <v>88.88888888888889</v>
      </c>
      <c r="F8" s="76">
        <v>18</v>
      </c>
      <c r="G8" s="35">
        <v>15</v>
      </c>
      <c r="H8" s="35">
        <f t="shared" si="1"/>
        <v>-3</v>
      </c>
      <c r="I8" s="35">
        <f>F8*100/105</f>
        <v>17.142857142857142</v>
      </c>
      <c r="J8" s="35">
        <f>G8*100/105</f>
        <v>14.285714285714286</v>
      </c>
      <c r="K8" s="35">
        <f>J8-I8</f>
        <v>-2.857142857142856</v>
      </c>
      <c r="L8" s="35">
        <f>(C8-F8)*100/105</f>
        <v>0</v>
      </c>
      <c r="M8" s="35">
        <f>(D8-G8)*100/105</f>
        <v>0.9523809523809523</v>
      </c>
      <c r="N8" s="35">
        <f>M8-L8</f>
        <v>0.9523809523809523</v>
      </c>
    </row>
    <row r="9" spans="1:14" ht="16.5" customHeight="1">
      <c r="A9" s="30">
        <v>3</v>
      </c>
      <c r="B9" s="30" t="s">
        <v>62</v>
      </c>
      <c r="C9" s="76">
        <v>12</v>
      </c>
      <c r="D9" s="35">
        <v>20</v>
      </c>
      <c r="E9" s="35">
        <f t="shared" si="0"/>
        <v>166.66666666666666</v>
      </c>
      <c r="F9" s="76">
        <v>12</v>
      </c>
      <c r="G9" s="35">
        <v>20</v>
      </c>
      <c r="H9" s="35">
        <f t="shared" si="1"/>
        <v>8</v>
      </c>
      <c r="I9" s="35">
        <f>F9*100/54</f>
        <v>22.22222222222222</v>
      </c>
      <c r="J9" s="35">
        <f>G9*100/60</f>
        <v>33.333333333333336</v>
      </c>
      <c r="K9" s="35">
        <f>J9-I9</f>
        <v>11.111111111111114</v>
      </c>
      <c r="L9" s="35">
        <f>(C9-F9)*100/54</f>
        <v>0</v>
      </c>
      <c r="M9" s="35">
        <f>(D9-G9)*100/60</f>
        <v>0</v>
      </c>
      <c r="N9" s="35">
        <f>M9-L9</f>
        <v>0</v>
      </c>
    </row>
    <row r="10" spans="1:14" ht="16.5" customHeight="1">
      <c r="A10" s="30">
        <v>4</v>
      </c>
      <c r="B10" s="22" t="s">
        <v>63</v>
      </c>
      <c r="C10" s="76">
        <v>12</v>
      </c>
      <c r="D10" s="35">
        <v>30</v>
      </c>
      <c r="E10" s="35">
        <f t="shared" si="0"/>
        <v>250</v>
      </c>
      <c r="F10" s="76">
        <v>12</v>
      </c>
      <c r="G10" s="35">
        <v>30</v>
      </c>
      <c r="H10" s="35">
        <f t="shared" si="1"/>
        <v>18</v>
      </c>
      <c r="I10" s="35">
        <f>F10*100/304</f>
        <v>3.9473684210526314</v>
      </c>
      <c r="J10" s="35">
        <f>G10*100/308</f>
        <v>9.74025974025974</v>
      </c>
      <c r="K10" s="35">
        <f t="shared" si="2"/>
        <v>5.792891319207108</v>
      </c>
      <c r="L10" s="35">
        <f>(C10-F10)*100/304</f>
        <v>0</v>
      </c>
      <c r="M10" s="35">
        <f>(D10-G10)*100/308</f>
        <v>0</v>
      </c>
      <c r="N10" s="35">
        <f aca="true" t="shared" si="3" ref="N10:N17">M10-L10</f>
        <v>0</v>
      </c>
    </row>
    <row r="11" spans="1:14" ht="16.5" customHeight="1">
      <c r="A11" s="30">
        <v>5</v>
      </c>
      <c r="B11" s="30" t="s">
        <v>64</v>
      </c>
      <c r="C11" s="76">
        <v>33</v>
      </c>
      <c r="D11" s="35">
        <v>35</v>
      </c>
      <c r="E11" s="35">
        <f t="shared" si="0"/>
        <v>106.06060606060606</v>
      </c>
      <c r="F11" s="76">
        <v>26</v>
      </c>
      <c r="G11" s="35">
        <v>35</v>
      </c>
      <c r="H11" s="35">
        <f t="shared" si="1"/>
        <v>9</v>
      </c>
      <c r="I11" s="35">
        <f>F11*100/250</f>
        <v>10.4</v>
      </c>
      <c r="J11" s="35">
        <f>G11*100/280</f>
        <v>12.5</v>
      </c>
      <c r="K11" s="35">
        <f t="shared" si="2"/>
        <v>2.0999999999999996</v>
      </c>
      <c r="L11" s="35">
        <f>(C11-F11)*100/250</f>
        <v>2.8</v>
      </c>
      <c r="M11" s="35">
        <f>(D11-G11)*100/280</f>
        <v>0</v>
      </c>
      <c r="N11" s="35">
        <f t="shared" si="3"/>
        <v>-2.8</v>
      </c>
    </row>
    <row r="12" spans="1:14" ht="16.5" customHeight="1">
      <c r="A12" s="30">
        <v>6</v>
      </c>
      <c r="B12" s="31" t="s">
        <v>78</v>
      </c>
      <c r="C12" s="77">
        <v>27</v>
      </c>
      <c r="D12" s="85">
        <v>19</v>
      </c>
      <c r="E12" s="35">
        <f t="shared" si="0"/>
        <v>70.37037037037037</v>
      </c>
      <c r="F12" s="77">
        <v>27</v>
      </c>
      <c r="G12" s="85">
        <v>19</v>
      </c>
      <c r="H12" s="35">
        <f t="shared" si="1"/>
        <v>-8</v>
      </c>
      <c r="I12" s="85">
        <f>F12*100/85</f>
        <v>31.764705882352942</v>
      </c>
      <c r="J12" s="85">
        <f>G12*100/85</f>
        <v>22.352941176470587</v>
      </c>
      <c r="K12" s="35">
        <f t="shared" si="2"/>
        <v>-9.411764705882355</v>
      </c>
      <c r="L12" s="35">
        <f>(C12-F12)*100/85</f>
        <v>0</v>
      </c>
      <c r="M12" s="35">
        <f>(D12-G12)*100/85</f>
        <v>0</v>
      </c>
      <c r="N12" s="85">
        <f t="shared" si="3"/>
        <v>0</v>
      </c>
    </row>
    <row r="13" spans="1:14" ht="16.5" customHeight="1">
      <c r="A13" s="30">
        <v>7</v>
      </c>
      <c r="B13" s="31" t="s">
        <v>65</v>
      </c>
      <c r="C13" s="77">
        <v>10</v>
      </c>
      <c r="D13" s="85">
        <v>24</v>
      </c>
      <c r="E13" s="35">
        <f t="shared" si="0"/>
        <v>240</v>
      </c>
      <c r="F13" s="77">
        <v>10</v>
      </c>
      <c r="G13" s="85">
        <v>22</v>
      </c>
      <c r="H13" s="35">
        <f t="shared" si="1"/>
        <v>12</v>
      </c>
      <c r="I13" s="85">
        <f>F13*100/52</f>
        <v>19.23076923076923</v>
      </c>
      <c r="J13" s="85">
        <f>G13*100/60</f>
        <v>36.666666666666664</v>
      </c>
      <c r="K13" s="35">
        <f t="shared" si="2"/>
        <v>17.435897435897434</v>
      </c>
      <c r="L13" s="35">
        <f>(C13-F13)*100/52</f>
        <v>0</v>
      </c>
      <c r="M13" s="35">
        <f>(D13-G13)*100/60</f>
        <v>3.3333333333333335</v>
      </c>
      <c r="N13" s="85">
        <f t="shared" si="3"/>
        <v>3.3333333333333335</v>
      </c>
    </row>
    <row r="14" spans="1:14" ht="16.5" customHeight="1">
      <c r="A14" s="30">
        <v>8</v>
      </c>
      <c r="B14" s="31" t="s">
        <v>77</v>
      </c>
      <c r="C14" s="77">
        <v>36</v>
      </c>
      <c r="D14" s="85">
        <v>36</v>
      </c>
      <c r="E14" s="35">
        <f t="shared" si="0"/>
        <v>100</v>
      </c>
      <c r="F14" s="77">
        <v>36</v>
      </c>
      <c r="G14" s="85">
        <v>36</v>
      </c>
      <c r="H14" s="35">
        <f t="shared" si="1"/>
        <v>0</v>
      </c>
      <c r="I14" s="85">
        <f>F14*100/60</f>
        <v>60</v>
      </c>
      <c r="J14" s="85">
        <f>G14*100/78</f>
        <v>46.15384615384615</v>
      </c>
      <c r="K14" s="35">
        <f t="shared" si="2"/>
        <v>-13.846153846153847</v>
      </c>
      <c r="L14" s="35">
        <f>(C14-F14)*100/60</f>
        <v>0</v>
      </c>
      <c r="M14" s="35">
        <f>(D14-G14)*100/78</f>
        <v>0</v>
      </c>
      <c r="N14" s="85">
        <f t="shared" si="3"/>
        <v>0</v>
      </c>
    </row>
    <row r="15" spans="1:14" ht="16.5" customHeight="1">
      <c r="A15" s="30">
        <v>9</v>
      </c>
      <c r="B15" s="31" t="s">
        <v>66</v>
      </c>
      <c r="C15" s="77">
        <v>12</v>
      </c>
      <c r="D15" s="85">
        <v>15</v>
      </c>
      <c r="E15" s="35">
        <f t="shared" si="0"/>
        <v>125</v>
      </c>
      <c r="F15" s="77">
        <v>12</v>
      </c>
      <c r="G15" s="85">
        <v>15</v>
      </c>
      <c r="H15" s="35">
        <f t="shared" si="1"/>
        <v>3</v>
      </c>
      <c r="I15" s="85">
        <f>F15*100/100</f>
        <v>12</v>
      </c>
      <c r="J15" s="85">
        <f>G15*100/100</f>
        <v>15</v>
      </c>
      <c r="K15" s="35">
        <f t="shared" si="2"/>
        <v>3</v>
      </c>
      <c r="L15" s="35">
        <f>(C15-F15)*100/100</f>
        <v>0</v>
      </c>
      <c r="M15" s="35">
        <f>(D15-G15)*100/100</f>
        <v>0</v>
      </c>
      <c r="N15" s="85">
        <f t="shared" si="3"/>
        <v>0</v>
      </c>
    </row>
    <row r="16" spans="1:14" ht="16.5" customHeight="1">
      <c r="A16" s="30">
        <v>10</v>
      </c>
      <c r="B16" s="31" t="s">
        <v>67</v>
      </c>
      <c r="C16" s="77">
        <v>22</v>
      </c>
      <c r="D16" s="85">
        <v>16</v>
      </c>
      <c r="E16" s="35">
        <f t="shared" si="0"/>
        <v>72.72727272727273</v>
      </c>
      <c r="F16" s="77">
        <v>22</v>
      </c>
      <c r="G16" s="85">
        <v>16</v>
      </c>
      <c r="H16" s="35">
        <f t="shared" si="1"/>
        <v>-6</v>
      </c>
      <c r="I16" s="85">
        <f>F16*100/42</f>
        <v>52.38095238095238</v>
      </c>
      <c r="J16" s="85">
        <f>G16*100/42</f>
        <v>38.095238095238095</v>
      </c>
      <c r="K16" s="35">
        <f t="shared" si="2"/>
        <v>-14.285714285714285</v>
      </c>
      <c r="L16" s="35">
        <f>(C16-F16)*100/42</f>
        <v>0</v>
      </c>
      <c r="M16" s="35">
        <f>(D16-G16)*100/42</f>
        <v>0</v>
      </c>
      <c r="N16" s="85">
        <f t="shared" si="3"/>
        <v>0</v>
      </c>
    </row>
    <row r="17" spans="1:14" ht="16.5" customHeight="1">
      <c r="A17" s="138" t="s">
        <v>76</v>
      </c>
      <c r="B17" s="179"/>
      <c r="C17" s="35">
        <f>SUM(C7:C16)</f>
        <v>197</v>
      </c>
      <c r="D17" s="3">
        <f>SUM(D7:D16)</f>
        <v>263</v>
      </c>
      <c r="E17" s="35">
        <f t="shared" si="0"/>
        <v>133.502538071066</v>
      </c>
      <c r="F17" s="3">
        <f>SUM(F7:F16)</f>
        <v>190</v>
      </c>
      <c r="G17" s="3">
        <f>SUM(G7:G16)</f>
        <v>260</v>
      </c>
      <c r="H17" s="35">
        <f t="shared" si="1"/>
        <v>70</v>
      </c>
      <c r="I17" s="35">
        <f>F17*100/1232</f>
        <v>15.422077922077921</v>
      </c>
      <c r="J17" s="35">
        <f>G17*100/1298</f>
        <v>20.03081664098613</v>
      </c>
      <c r="K17" s="35">
        <f t="shared" si="2"/>
        <v>4.60873871890821</v>
      </c>
      <c r="L17" s="35">
        <f>(C17-F17)*100/1232</f>
        <v>0.5681818181818182</v>
      </c>
      <c r="M17" s="35">
        <f>(D17-G17)*100/1298</f>
        <v>0.23112480739599384</v>
      </c>
      <c r="N17" s="35">
        <f t="shared" si="3"/>
        <v>-0.3370570107858244</v>
      </c>
    </row>
  </sheetData>
  <mergeCells count="5">
    <mergeCell ref="A2:N2"/>
    <mergeCell ref="A1:N1"/>
    <mergeCell ref="A17:B17"/>
    <mergeCell ref="B4:B6"/>
    <mergeCell ref="A4:A6"/>
  </mergeCells>
  <printOptions/>
  <pageMargins left="0.75" right="0.75" top="1" bottom="1" header="0.5" footer="0.5"/>
  <pageSetup horizontalDpi="300" verticalDpi="3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view="pageBreakPreview" zoomScale="70" zoomScaleNormal="75" zoomScaleSheetLayoutView="70" workbookViewId="0" topLeftCell="A1">
      <selection activeCell="C5" sqref="C5"/>
    </sheetView>
  </sheetViews>
  <sheetFormatPr defaultColWidth="9.00390625" defaultRowHeight="12.75"/>
  <cols>
    <col min="1" max="1" width="3.75390625" style="20" customWidth="1"/>
    <col min="2" max="2" width="29.75390625" style="20" customWidth="1"/>
    <col min="3" max="3" width="12.125" style="20" customWidth="1"/>
    <col min="4" max="4" width="14.625" style="20" customWidth="1"/>
    <col min="5" max="5" width="13.00390625" style="20" customWidth="1"/>
    <col min="6" max="6" width="13.25390625" style="20" customWidth="1"/>
    <col min="7" max="16384" width="9.125" style="20" customWidth="1"/>
  </cols>
  <sheetData>
    <row r="1" spans="1:9" ht="15.75" customHeight="1">
      <c r="A1" s="165" t="s">
        <v>12</v>
      </c>
      <c r="B1" s="165"/>
      <c r="C1" s="165"/>
      <c r="D1" s="165"/>
      <c r="E1" s="165"/>
      <c r="F1" s="165"/>
      <c r="G1" s="78"/>
      <c r="H1" s="78"/>
      <c r="I1" s="78"/>
    </row>
    <row r="2" spans="1:9" ht="15.75">
      <c r="A2" s="181" t="s">
        <v>102</v>
      </c>
      <c r="B2" s="181"/>
      <c r="C2" s="181"/>
      <c r="D2" s="181"/>
      <c r="E2" s="181"/>
      <c r="F2" s="181"/>
      <c r="G2" s="78"/>
      <c r="H2" s="78"/>
      <c r="I2" s="78"/>
    </row>
    <row r="3" spans="1:9" ht="15">
      <c r="A3" s="4" t="s">
        <v>2</v>
      </c>
      <c r="B3" s="4" t="s">
        <v>3</v>
      </c>
      <c r="C3" s="5" t="s">
        <v>45</v>
      </c>
      <c r="D3" s="6"/>
      <c r="E3" s="5" t="s">
        <v>46</v>
      </c>
      <c r="F3" s="7"/>
      <c r="G3" s="78"/>
      <c r="H3" s="78"/>
      <c r="I3" s="78"/>
    </row>
    <row r="4" spans="1:9" ht="15">
      <c r="A4" s="8"/>
      <c r="B4" s="8"/>
      <c r="C4" s="18">
        <v>2010</v>
      </c>
      <c r="D4" s="19">
        <v>2011</v>
      </c>
      <c r="E4" s="18">
        <v>2010</v>
      </c>
      <c r="F4" s="19">
        <v>2011</v>
      </c>
      <c r="G4" s="78"/>
      <c r="H4" s="78"/>
      <c r="I4" s="78"/>
    </row>
    <row r="5" spans="1:9" ht="15">
      <c r="A5" s="3">
        <v>1</v>
      </c>
      <c r="B5" s="22" t="s">
        <v>60</v>
      </c>
      <c r="C5" s="35">
        <f>(молоко!C6*1000)/1875</f>
        <v>30.186666666666667</v>
      </c>
      <c r="D5" s="35">
        <f>(молоко!D6*1000)/1875</f>
        <v>34.24</v>
      </c>
      <c r="E5" s="35">
        <f>(мясо!C7*1000)/1875</f>
        <v>2.453333333333333</v>
      </c>
      <c r="F5" s="35">
        <f>(мясо!D7*1000)/1875</f>
        <v>5.28</v>
      </c>
      <c r="H5" s="78"/>
      <c r="I5" s="78"/>
    </row>
    <row r="6" spans="1:9" ht="15">
      <c r="A6" s="3">
        <v>2</v>
      </c>
      <c r="B6" s="22" t="s">
        <v>61</v>
      </c>
      <c r="C6" s="35">
        <f>(молоко!C7*1000)/799</f>
        <v>50.06257822277847</v>
      </c>
      <c r="D6" s="35">
        <f>(молоко!D7*1000)/799</f>
        <v>38.798498122653314</v>
      </c>
      <c r="E6" s="35">
        <f>(мясо!C7*1000)/799</f>
        <v>5.7571964956195245</v>
      </c>
      <c r="F6" s="35">
        <f>(мясо!D8*1000)/799</f>
        <v>3.504380475594493</v>
      </c>
      <c r="H6" s="78"/>
      <c r="I6" s="78"/>
    </row>
    <row r="7" spans="1:9" ht="15">
      <c r="A7" s="3">
        <v>3</v>
      </c>
      <c r="B7" s="22" t="s">
        <v>62</v>
      </c>
      <c r="C7" s="35">
        <f>(молоко!C8*1000)/2025</f>
        <v>13.08641975308642</v>
      </c>
      <c r="D7" s="35">
        <f>(молоко!D8*1000)/2025</f>
        <v>16.296296296296298</v>
      </c>
      <c r="E7" s="35">
        <f>(мясо!C8*1000)/2025</f>
        <v>0.49382716049382713</v>
      </c>
      <c r="F7" s="35">
        <f>(мясо!D9*1000)/2025</f>
        <v>1.0864197530864197</v>
      </c>
      <c r="H7" s="78"/>
      <c r="I7" s="78"/>
    </row>
    <row r="8" spans="1:9" ht="15">
      <c r="A8" s="3">
        <v>4</v>
      </c>
      <c r="B8" s="37" t="s">
        <v>63</v>
      </c>
      <c r="C8" s="35">
        <f>(молоко!C9*1000)/2478</f>
        <v>56.093623890234056</v>
      </c>
      <c r="D8" s="35">
        <f>(молоко!D9*1000)/2478</f>
        <v>40.79903147699758</v>
      </c>
      <c r="E8" s="35">
        <f>(мясо!C9*1000)/2478</f>
        <v>0.016142050040355124</v>
      </c>
      <c r="F8" s="35">
        <f>(мясо!D10*1000)/2478</f>
        <v>11.380145278450364</v>
      </c>
      <c r="H8" s="78"/>
      <c r="I8" s="78"/>
    </row>
    <row r="9" spans="1:9" ht="15">
      <c r="A9" s="3">
        <v>5</v>
      </c>
      <c r="B9" s="22" t="s">
        <v>64</v>
      </c>
      <c r="C9" s="35">
        <f>(молоко!C10*1000)/2157</f>
        <v>50.53314789058878</v>
      </c>
      <c r="D9" s="35">
        <f>(молоко!D10*1000)/2157</f>
        <v>38.015762633286975</v>
      </c>
      <c r="E9" s="35">
        <f>(мясо!C10*1000)/2157</f>
        <v>4.867872044506258</v>
      </c>
      <c r="F9" s="35">
        <f>(мясо!D11*1000)/2157</f>
        <v>4.3115438108484</v>
      </c>
      <c r="H9" s="78"/>
      <c r="I9" s="78"/>
    </row>
    <row r="10" spans="1:9" ht="15">
      <c r="A10" s="3">
        <v>6</v>
      </c>
      <c r="B10" s="37" t="s">
        <v>78</v>
      </c>
      <c r="C10" s="35">
        <f>(молоко!C11*1000)/859</f>
        <v>72.52619324796275</v>
      </c>
      <c r="D10" s="35">
        <f>(молоко!D11*1000)/859</f>
        <v>68.16065192083818</v>
      </c>
      <c r="E10" s="35">
        <f>(мясо!C11*1000)/859</f>
        <v>8.731082654249127</v>
      </c>
      <c r="F10" s="35">
        <f>(мясо!D12*1000)/859</f>
        <v>2.3282887077997674</v>
      </c>
      <c r="H10" s="78"/>
      <c r="I10" s="78"/>
    </row>
    <row r="11" spans="1:9" ht="15">
      <c r="A11" s="3">
        <v>7</v>
      </c>
      <c r="B11" s="37" t="s">
        <v>65</v>
      </c>
      <c r="C11" s="35">
        <f>(молоко!C12*1000)/1482</f>
        <v>17.611336032388664</v>
      </c>
      <c r="D11" s="35">
        <f>(молоко!D12*1000)/1482</f>
        <v>23.41430499325236</v>
      </c>
      <c r="E11" s="35">
        <f>(мясо!C12*1000)/1482</f>
        <v>2.0242914979757085</v>
      </c>
      <c r="F11" s="35">
        <f>(мясо!D13*1000)/1482</f>
        <v>0</v>
      </c>
      <c r="H11" s="78"/>
      <c r="I11" s="78"/>
    </row>
    <row r="12" spans="1:9" ht="15.75" customHeight="1">
      <c r="A12" s="3">
        <v>8</v>
      </c>
      <c r="B12" s="31" t="s">
        <v>77</v>
      </c>
      <c r="C12" s="35">
        <f>(молоко!C13*1000)/1077</f>
        <v>47.353760445682454</v>
      </c>
      <c r="D12" s="35">
        <f>(молоко!D13*1000)/1077</f>
        <v>68.56081708449396</v>
      </c>
      <c r="E12" s="35">
        <f>(мясо!C13*1000)/1077</f>
        <v>0</v>
      </c>
      <c r="F12" s="35">
        <f>(мясо!D14*1000)/1077</f>
        <v>2.8783658310120708</v>
      </c>
      <c r="H12" s="78"/>
      <c r="I12" s="78"/>
    </row>
    <row r="13" spans="1:9" ht="15">
      <c r="A13" s="3">
        <v>9</v>
      </c>
      <c r="B13" s="37" t="s">
        <v>66</v>
      </c>
      <c r="C13" s="35">
        <f>(молоко!C14*1000)/1084</f>
        <v>19.92619926199262</v>
      </c>
      <c r="D13" s="35">
        <f>(молоко!D14*1000)/1084</f>
        <v>20.018450184501845</v>
      </c>
      <c r="E13" s="35">
        <f>(мясо!C14*1000)/1084</f>
        <v>1.3837638376383763</v>
      </c>
      <c r="F13" s="35">
        <f>(мясо!D15*1000)/1084</f>
        <v>0.6457564575645757</v>
      </c>
      <c r="H13" s="78"/>
      <c r="I13" s="78"/>
    </row>
    <row r="14" spans="1:9" ht="15">
      <c r="A14" s="3">
        <v>10</v>
      </c>
      <c r="B14" s="37" t="s">
        <v>67</v>
      </c>
      <c r="C14" s="35">
        <f>(молоко!C15*1000)/674</f>
        <v>38.27893175074184</v>
      </c>
      <c r="D14" s="35">
        <f>(молоко!D15*1000)/674</f>
        <v>32.640949554896146</v>
      </c>
      <c r="E14" s="35">
        <f>(мясо!C15*1000)/674</f>
        <v>2.9673590504451037</v>
      </c>
      <c r="F14" s="35">
        <f>(мясо!D16*1000)/674</f>
        <v>3.4124629080118694</v>
      </c>
      <c r="H14" s="78"/>
      <c r="I14" s="78"/>
    </row>
    <row r="15" spans="1:9" ht="15">
      <c r="A15" s="3">
        <v>11</v>
      </c>
      <c r="B15" s="37" t="s">
        <v>68</v>
      </c>
      <c r="C15" s="35"/>
      <c r="D15" s="35"/>
      <c r="E15" s="35">
        <f>(мясо!C16*1000)/983</f>
        <v>0.508646998982706</v>
      </c>
      <c r="F15" s="35">
        <f>(мясо!D17*1000)/983</f>
        <v>126.14445574771109</v>
      </c>
      <c r="H15" s="78"/>
      <c r="I15" s="78"/>
    </row>
    <row r="16" spans="1:6" ht="15">
      <c r="A16" s="138" t="s">
        <v>11</v>
      </c>
      <c r="B16" s="140"/>
      <c r="C16" s="35">
        <f>(молоко!C16*1000)/22877</f>
        <v>24.386938846876777</v>
      </c>
      <c r="D16" s="35">
        <f>(молоко!D16*1000)/22877</f>
        <v>22.821611225248063</v>
      </c>
      <c r="E16" s="35">
        <f>(мясо!C19*1000)/22877</f>
        <v>6.497355422476724</v>
      </c>
      <c r="F16" s="35">
        <f>(мясо!D19*1000)/22877</f>
        <v>8.086724657953402</v>
      </c>
    </row>
  </sheetData>
  <mergeCells count="3">
    <mergeCell ref="A1:F1"/>
    <mergeCell ref="A2:F2"/>
    <mergeCell ref="A16:B16"/>
  </mergeCells>
  <printOptions/>
  <pageMargins left="0.75" right="0.75" top="1" bottom="1" header="0.5" footer="0.5"/>
  <pageSetup horizontalDpi="300" verticalDpi="3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="70" zoomScaleNormal="75" zoomScaleSheetLayoutView="70" workbookViewId="0" topLeftCell="A1">
      <selection activeCell="C6" sqref="C6"/>
    </sheetView>
  </sheetViews>
  <sheetFormatPr defaultColWidth="9.00390625" defaultRowHeight="12.75"/>
  <cols>
    <col min="1" max="1" width="3.375" style="0" customWidth="1"/>
    <col min="2" max="2" width="32.25390625" style="0" customWidth="1"/>
    <col min="3" max="3" width="10.375" style="0" customWidth="1"/>
    <col min="4" max="4" width="11.375" style="0" customWidth="1"/>
    <col min="5" max="5" width="14.25390625" style="0" customWidth="1"/>
    <col min="6" max="6" width="13.875" style="0" customWidth="1"/>
    <col min="7" max="7" width="12.25390625" style="0" customWidth="1"/>
    <col min="8" max="8" width="10.375" style="0" customWidth="1"/>
    <col min="9" max="9" width="10.625" style="0" customWidth="1"/>
    <col min="10" max="10" width="14.75390625" style="0" customWidth="1"/>
    <col min="11" max="11" width="13.625" style="0" customWidth="1"/>
    <col min="12" max="12" width="7.75390625" style="0" customWidth="1"/>
    <col min="13" max="13" width="7.875" style="0" customWidth="1"/>
  </cols>
  <sheetData>
    <row r="1" spans="1:11" ht="18">
      <c r="A1" s="20"/>
      <c r="B1" s="14"/>
      <c r="C1" s="182" t="s">
        <v>108</v>
      </c>
      <c r="D1" s="182"/>
      <c r="E1" s="182"/>
      <c r="F1" s="182"/>
      <c r="G1" s="182"/>
      <c r="H1" s="182"/>
      <c r="I1" s="182"/>
      <c r="J1" s="182"/>
      <c r="K1" s="182"/>
    </row>
    <row r="2" spans="1:11" ht="18">
      <c r="A2" s="20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8">
      <c r="A3" s="125" t="s">
        <v>2</v>
      </c>
      <c r="B3" s="183" t="s">
        <v>3</v>
      </c>
      <c r="C3" s="53" t="s">
        <v>13</v>
      </c>
      <c r="D3" s="54"/>
      <c r="E3" s="55"/>
      <c r="F3" s="56" t="s">
        <v>14</v>
      </c>
      <c r="G3" s="57" t="s">
        <v>17</v>
      </c>
      <c r="H3" s="58" t="s">
        <v>19</v>
      </c>
      <c r="I3" s="59"/>
      <c r="J3" s="52"/>
      <c r="K3" s="52" t="s">
        <v>20</v>
      </c>
    </row>
    <row r="4" spans="1:11" ht="18">
      <c r="A4" s="158"/>
      <c r="B4" s="158"/>
      <c r="C4" s="60">
        <v>2010</v>
      </c>
      <c r="D4" s="56">
        <v>2011</v>
      </c>
      <c r="E4" s="56" t="s">
        <v>91</v>
      </c>
      <c r="F4" s="61" t="s">
        <v>15</v>
      </c>
      <c r="G4" s="62" t="s">
        <v>18</v>
      </c>
      <c r="H4" s="60">
        <v>2010</v>
      </c>
      <c r="I4" s="56">
        <v>2011</v>
      </c>
      <c r="J4" s="56" t="s">
        <v>91</v>
      </c>
      <c r="K4" s="63" t="s">
        <v>21</v>
      </c>
    </row>
    <row r="5" spans="1:11" ht="18">
      <c r="A5" s="126"/>
      <c r="B5" s="126"/>
      <c r="C5" s="64"/>
      <c r="D5" s="65"/>
      <c r="E5" s="65" t="s">
        <v>92</v>
      </c>
      <c r="F5" s="65" t="s">
        <v>16</v>
      </c>
      <c r="G5" s="66"/>
      <c r="H5" s="64"/>
      <c r="I5" s="65"/>
      <c r="J5" s="65" t="s">
        <v>92</v>
      </c>
      <c r="K5" s="67" t="s">
        <v>0</v>
      </c>
    </row>
    <row r="6" spans="1:11" ht="16.5" customHeight="1">
      <c r="A6" s="30">
        <v>1</v>
      </c>
      <c r="B6" s="68" t="s">
        <v>60</v>
      </c>
      <c r="C6" s="12">
        <v>56.6</v>
      </c>
      <c r="D6" s="12">
        <v>64.2</v>
      </c>
      <c r="E6" s="13">
        <f aca="true" t="shared" si="0" ref="E6:E15">D6/C6*100</f>
        <v>113.42756183745584</v>
      </c>
      <c r="F6" s="12">
        <v>46.3</v>
      </c>
      <c r="G6" s="13">
        <f aca="true" t="shared" si="1" ref="G6:G15">F6/D6*100</f>
        <v>72.11838006230529</v>
      </c>
      <c r="H6" s="17">
        <f>C6/'численность 1'!J6*1000</f>
        <v>314.44444444444446</v>
      </c>
      <c r="I6" s="17">
        <f>D6/'численность 1'!K6*1000</f>
        <v>356.6666666666667</v>
      </c>
      <c r="J6" s="13">
        <f aca="true" t="shared" si="2" ref="J6:J16">I6/H6*100</f>
        <v>113.42756183745584</v>
      </c>
      <c r="K6" s="12">
        <v>78.1</v>
      </c>
    </row>
    <row r="7" spans="1:11" ht="16.5" customHeight="1">
      <c r="A7" s="30">
        <v>2</v>
      </c>
      <c r="B7" s="68" t="s">
        <v>61</v>
      </c>
      <c r="C7" s="12">
        <v>40</v>
      </c>
      <c r="D7" s="12">
        <v>31</v>
      </c>
      <c r="E7" s="13">
        <f t="shared" si="0"/>
        <v>77.5</v>
      </c>
      <c r="F7" s="12">
        <v>24</v>
      </c>
      <c r="G7" s="13">
        <f t="shared" si="1"/>
        <v>77.41935483870968</v>
      </c>
      <c r="H7" s="17">
        <f>C7/'численность 1'!J7*1000</f>
        <v>380.9523809523809</v>
      </c>
      <c r="I7" s="13">
        <f>D7/'численность 1'!K7*1000</f>
        <v>295.23809523809524</v>
      </c>
      <c r="J7" s="13">
        <f t="shared" si="2"/>
        <v>77.50000000000001</v>
      </c>
      <c r="K7" s="12"/>
    </row>
    <row r="8" spans="1:11" ht="16.5" customHeight="1">
      <c r="A8" s="30">
        <v>3</v>
      </c>
      <c r="B8" s="68" t="s">
        <v>62</v>
      </c>
      <c r="C8" s="12">
        <v>26.5</v>
      </c>
      <c r="D8" s="12">
        <v>33</v>
      </c>
      <c r="E8" s="13">
        <f t="shared" si="0"/>
        <v>124.52830188679245</v>
      </c>
      <c r="F8" s="12">
        <v>22</v>
      </c>
      <c r="G8" s="13">
        <f t="shared" si="1"/>
        <v>66.66666666666666</v>
      </c>
      <c r="H8" s="17">
        <f>C8/'численность 1'!J8*1000</f>
        <v>490.74074074074076</v>
      </c>
      <c r="I8" s="13">
        <f>D8/'численность 1'!K8*1000</f>
        <v>550</v>
      </c>
      <c r="J8" s="13">
        <f t="shared" si="2"/>
        <v>112.0754716981132</v>
      </c>
      <c r="K8" s="12"/>
    </row>
    <row r="9" spans="1:11" ht="16.5" customHeight="1">
      <c r="A9" s="30">
        <v>4</v>
      </c>
      <c r="B9" s="68" t="s">
        <v>63</v>
      </c>
      <c r="C9" s="12">
        <v>139</v>
      </c>
      <c r="D9" s="12">
        <v>101.1</v>
      </c>
      <c r="E9" s="13">
        <f t="shared" si="0"/>
        <v>72.73381294964028</v>
      </c>
      <c r="F9" s="12">
        <v>90</v>
      </c>
      <c r="G9" s="13">
        <f t="shared" si="1"/>
        <v>89.02077151335313</v>
      </c>
      <c r="H9" s="17">
        <f>C9/'численность 1'!J9*1000</f>
        <v>457.2368421052632</v>
      </c>
      <c r="I9" s="13">
        <f>D9/'численность 1'!K9*1000</f>
        <v>328.24675324675326</v>
      </c>
      <c r="J9" s="13">
        <f t="shared" si="2"/>
        <v>71.78921797626833</v>
      </c>
      <c r="K9" s="12"/>
    </row>
    <row r="10" spans="1:11" ht="16.5" customHeight="1">
      <c r="A10" s="30">
        <v>5</v>
      </c>
      <c r="B10" s="69" t="s">
        <v>64</v>
      </c>
      <c r="C10" s="12">
        <v>109</v>
      </c>
      <c r="D10" s="12">
        <v>82</v>
      </c>
      <c r="E10" s="13">
        <f t="shared" si="0"/>
        <v>75.22935779816514</v>
      </c>
      <c r="F10" s="12">
        <v>66</v>
      </c>
      <c r="G10" s="13">
        <f t="shared" si="1"/>
        <v>80.48780487804879</v>
      </c>
      <c r="H10" s="17">
        <f>C10/'численность 1'!J10*1000</f>
        <v>436</v>
      </c>
      <c r="I10" s="13">
        <f>D10/'численность 1'!K10*1000</f>
        <v>292.8571428571429</v>
      </c>
      <c r="J10" s="13">
        <f t="shared" si="2"/>
        <v>67.16906946264746</v>
      </c>
      <c r="K10" s="12"/>
    </row>
    <row r="11" spans="1:11" ht="16.5" customHeight="1">
      <c r="A11" s="30">
        <v>6</v>
      </c>
      <c r="B11" s="69" t="s">
        <v>78</v>
      </c>
      <c r="C11" s="16">
        <v>62.3</v>
      </c>
      <c r="D11" s="16">
        <v>58.55</v>
      </c>
      <c r="E11" s="13">
        <f t="shared" si="0"/>
        <v>93.98073836276083</v>
      </c>
      <c r="F11" s="16">
        <v>42.9</v>
      </c>
      <c r="G11" s="17">
        <f t="shared" si="1"/>
        <v>73.27070879590094</v>
      </c>
      <c r="H11" s="17">
        <f>C11/'численность 1'!J11*1000</f>
        <v>732.9411764705882</v>
      </c>
      <c r="I11" s="13">
        <f>D11/'численность 1'!K11*1000</f>
        <v>688.8235294117648</v>
      </c>
      <c r="J11" s="13">
        <f t="shared" si="2"/>
        <v>93.98073836276085</v>
      </c>
      <c r="K11" s="16">
        <v>12</v>
      </c>
    </row>
    <row r="12" spans="1:11" ht="16.5" customHeight="1">
      <c r="A12" s="30">
        <v>7</v>
      </c>
      <c r="B12" s="69" t="s">
        <v>65</v>
      </c>
      <c r="C12" s="16">
        <v>26.1</v>
      </c>
      <c r="D12" s="16">
        <v>34.7</v>
      </c>
      <c r="E12" s="13">
        <f t="shared" si="0"/>
        <v>132.95019157088123</v>
      </c>
      <c r="F12" s="16">
        <v>30.8</v>
      </c>
      <c r="G12" s="17">
        <f t="shared" si="1"/>
        <v>88.7608069164265</v>
      </c>
      <c r="H12" s="17">
        <f>C12/'численность 1'!J12*1000</f>
        <v>501.9230769230769</v>
      </c>
      <c r="I12" s="13">
        <f>D12/'численность 1'!K12*1000</f>
        <v>578.3333333333334</v>
      </c>
      <c r="J12" s="13">
        <f t="shared" si="2"/>
        <v>115.22349936143041</v>
      </c>
      <c r="K12" s="16"/>
    </row>
    <row r="13" spans="1:11" ht="16.5" customHeight="1">
      <c r="A13" s="30">
        <v>8</v>
      </c>
      <c r="B13" s="69" t="s">
        <v>77</v>
      </c>
      <c r="C13" s="16">
        <v>51</v>
      </c>
      <c r="D13" s="16">
        <v>73.84</v>
      </c>
      <c r="E13" s="13">
        <f t="shared" si="0"/>
        <v>144.78431372549022</v>
      </c>
      <c r="F13" s="16">
        <v>61</v>
      </c>
      <c r="G13" s="17">
        <f t="shared" si="1"/>
        <v>82.61105092091007</v>
      </c>
      <c r="H13" s="17">
        <f>C13/'численность 1'!J13*1000</f>
        <v>850</v>
      </c>
      <c r="I13" s="13">
        <f>D13/'численность 1'!K13*1000</f>
        <v>946.6666666666666</v>
      </c>
      <c r="J13" s="13">
        <f t="shared" si="2"/>
        <v>111.37254901960785</v>
      </c>
      <c r="K13" s="16"/>
    </row>
    <row r="14" spans="1:11" ht="16.5" customHeight="1">
      <c r="A14" s="30">
        <v>9</v>
      </c>
      <c r="B14" s="69" t="s">
        <v>66</v>
      </c>
      <c r="C14" s="16">
        <v>21.6</v>
      </c>
      <c r="D14" s="16">
        <v>21.7</v>
      </c>
      <c r="E14" s="13">
        <f t="shared" si="0"/>
        <v>100.46296296296295</v>
      </c>
      <c r="F14" s="16">
        <v>17.4</v>
      </c>
      <c r="G14" s="17">
        <f t="shared" si="1"/>
        <v>80.18433179723502</v>
      </c>
      <c r="H14" s="17">
        <f>C14/'численность 1'!J14*1000</f>
        <v>216.00000000000003</v>
      </c>
      <c r="I14" s="13">
        <f>D14/'численность 1'!K14*1000</f>
        <v>217</v>
      </c>
      <c r="J14" s="13">
        <f t="shared" si="2"/>
        <v>100.46296296296295</v>
      </c>
      <c r="K14" s="16"/>
    </row>
    <row r="15" spans="1:11" ht="16.5" customHeight="1">
      <c r="A15" s="30">
        <v>10</v>
      </c>
      <c r="B15" s="69" t="s">
        <v>67</v>
      </c>
      <c r="C15" s="16">
        <v>25.8</v>
      </c>
      <c r="D15" s="16">
        <v>22</v>
      </c>
      <c r="E15" s="13">
        <f t="shared" si="0"/>
        <v>85.27131782945736</v>
      </c>
      <c r="F15" s="16">
        <v>10.4</v>
      </c>
      <c r="G15" s="17">
        <f t="shared" si="1"/>
        <v>47.27272727272727</v>
      </c>
      <c r="H15" s="17">
        <f>C15/'численность 1'!J15*1000</f>
        <v>614.2857142857143</v>
      </c>
      <c r="I15" s="13">
        <f>D15/'численность 1'!K15*1000</f>
        <v>523.8095238095239</v>
      </c>
      <c r="J15" s="13">
        <f t="shared" si="2"/>
        <v>85.27131782945736</v>
      </c>
      <c r="K15" s="16"/>
    </row>
    <row r="16" spans="1:11" ht="18">
      <c r="A16" s="184" t="s">
        <v>11</v>
      </c>
      <c r="B16" s="160"/>
      <c r="C16" s="16">
        <f>SUM(C6:C15)</f>
        <v>557.9</v>
      </c>
      <c r="D16" s="70">
        <f>SUM(D6:D15)</f>
        <v>522.0899999999999</v>
      </c>
      <c r="E16" s="13">
        <f>D16/C16*100</f>
        <v>93.58128696899085</v>
      </c>
      <c r="F16" s="70">
        <f>SUM(F6:F15)</f>
        <v>410.79999999999995</v>
      </c>
      <c r="G16" s="13">
        <f>F16/D16*100</f>
        <v>78.68375184355189</v>
      </c>
      <c r="H16" s="13">
        <f>C16/'численность 1'!J19*1000</f>
        <v>452.84090909090907</v>
      </c>
      <c r="I16" s="13">
        <f>D16/'численность 1'!K19*1000</f>
        <v>402.226502311248</v>
      </c>
      <c r="J16" s="13">
        <f t="shared" si="2"/>
        <v>88.82291644514385</v>
      </c>
      <c r="K16" s="70">
        <f>SUM(K6:K15)</f>
        <v>90.1</v>
      </c>
    </row>
  </sheetData>
  <mergeCells count="4">
    <mergeCell ref="C1:K1"/>
    <mergeCell ref="A3:A5"/>
    <mergeCell ref="B3:B5"/>
    <mergeCell ref="A16:B16"/>
  </mergeCells>
  <printOptions/>
  <pageMargins left="0.75" right="0.75" top="1" bottom="1" header="0.5" footer="0.5"/>
  <pageSetup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aris</cp:lastModifiedBy>
  <cp:lastPrinted>2011-01-12T07:14:46Z</cp:lastPrinted>
  <dcterms:created xsi:type="dcterms:W3CDTF">2002-11-05T10:10:22Z</dcterms:created>
  <dcterms:modified xsi:type="dcterms:W3CDTF">2011-03-14T10:27:33Z</dcterms:modified>
  <cp:category/>
  <cp:version/>
  <cp:contentType/>
  <cp:contentStatus/>
</cp:coreProperties>
</file>