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случка" sheetId="5" r:id="rId5"/>
    <sheet name="приплод 2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1">'привес'!$A$1:$T$20</definedName>
    <definedName name="_xlnm.Print_Area" localSheetId="5">'приплод 2'!$A$1:$O$19</definedName>
    <definedName name="_xlnm.Print_Area" localSheetId="3">'численность 1'!$A$1:$U$18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<sst xmlns="http://schemas.openxmlformats.org/spreadsheetml/2006/main" count="293" uniqueCount="117">
  <si>
    <t>молока</t>
  </si>
  <si>
    <t>всего</t>
  </si>
  <si>
    <t>№</t>
  </si>
  <si>
    <t>Наименование хозяйств</t>
  </si>
  <si>
    <t xml:space="preserve"> в т.ч. </t>
  </si>
  <si>
    <t>нетелей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</si>
  <si>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</si>
  <si>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</si>
  <si>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</si>
  <si>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</si>
  <si>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</si>
  <si>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</si>
  <si>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</si>
  <si>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</si>
  <si>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</si>
  <si>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</si>
  <si>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</si>
  <si>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</si>
  <si>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</si>
  <si>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</si>
  <si>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</si>
  <si>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</si>
  <si>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</si>
  <si>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</si>
  <si>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</si>
  <si>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</si>
  <si>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</si>
  <si>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</si>
  <si>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</si>
  <si>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</si>
  <si>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</si>
  <si>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</si>
  <si>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</si>
  <si>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</si>
  <si>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</si>
  <si>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</si>
  <si>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</si>
  <si>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</si>
  <si>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разница</t>
  </si>
  <si>
    <t xml:space="preserve">получ. поросят на </t>
  </si>
  <si>
    <t>100 основн.с/маток</t>
  </si>
  <si>
    <t>в т.ч.осн.</t>
  </si>
  <si>
    <t xml:space="preserve">    Опоросилось</t>
  </si>
  <si>
    <t xml:space="preserve">    с/маток, гол.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</si>
  <si>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</si>
  <si>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</si>
  <si>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</si>
  <si>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</si>
  <si>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</si>
  <si>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</si>
  <si>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</si>
  <si>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</si>
  <si>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 Свиней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</si>
  <si>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</si>
  <si>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</si>
  <si>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</si>
  <si>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</si>
  <si>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</si>
  <si>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</si>
  <si>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</si>
  <si>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</si>
  <si>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</si>
  <si>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</si>
  <si>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</si>
  <si>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</si>
  <si>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</si>
  <si>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</si>
  <si>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</si>
  <si>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</si>
  <si>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         Кр. рогатого скота</t>
  </si>
  <si>
    <t xml:space="preserve">           Свиней</t>
  </si>
  <si>
    <t xml:space="preserve">             КРС</t>
  </si>
  <si>
    <t xml:space="preserve">      на 1 с/м</t>
  </si>
  <si>
    <t xml:space="preserve">Получ.поросят </t>
  </si>
  <si>
    <t>по Ибресинскому району</t>
  </si>
  <si>
    <t xml:space="preserve">                      по Ибресинскому 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</si>
  <si>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</si>
  <si>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</si>
  <si>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</si>
  <si>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</si>
  <si>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</si>
  <si>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</si>
  <si>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</si>
  <si>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</si>
  <si>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</si>
  <si>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</si>
  <si>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</si>
  <si>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</si>
  <si>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</si>
  <si>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</si>
  <si>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</si>
  <si>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</si>
  <si>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</si>
  <si>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</si>
  <si>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</si>
  <si>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</si>
  <si>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</si>
  <si>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</si>
  <si>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</si>
  <si>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</si>
  <si>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</si>
  <si>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</si>
  <si>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</si>
  <si>
    <t>СЛУЧЕНО И ОСЕМЕНЕНО за январь-февраль 2010 г.по Ибресинскому р-ну</t>
  </si>
  <si>
    <t xml:space="preserve">      ЧИСЛЕННОСТЬ СКОТА по Ибресинскому району на 1.03.2010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</si>
  <si>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1.03.2010 г., (голов)</t>
    </r>
  </si>
  <si>
    <t>Показатели получения привесов за январь-февраль 2010 года</t>
  </si>
  <si>
    <t>ПАЛО И ПОГИБЛО - КУПЛЕНО- ПРОДАНО крс, свиней за январь-февраль 2010 г.по Ибресинскому.р-ну</t>
  </si>
  <si>
    <t xml:space="preserve">   Производство мяса за январь-февраль 2010 г.</t>
  </si>
  <si>
    <t xml:space="preserve">            Производство молока за январь-февраль  2010г. по Ибресинскому району</t>
  </si>
  <si>
    <t>по Ибресинскому району за январь-февраль 2010 года (ц)</t>
  </si>
  <si>
    <t>Поступление приплода (телят) за январь-февраль 2010 г.</t>
  </si>
  <si>
    <t>Поступление приплода (поросят) за январь-февраль 2010 г.</t>
  </si>
  <si>
    <t>ООО "Агропромкомплект"</t>
  </si>
  <si>
    <t>Лошади</t>
  </si>
  <si>
    <t>СПК "Патман"</t>
  </si>
  <si>
    <t>ООО "Агрофирма "Путиловка"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</si>
</sst>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172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9" xfId="0" applyFont="1" applyBorder="1" applyAlignment="1">
      <alignment/>
    </xf>
    <xf numFmtId="14" fontId="1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4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1" fontId="2" fillId="0" borderId="5" xfId="0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15" fillId="0" borderId="1" xfId="0" applyFont="1" applyBorder="1" applyAlignment="1">
      <alignment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2" fontId="15" fillId="0" borderId="1" xfId="0" applyNumberFormat="1" applyFont="1" applyBorder="1" applyAlignment="1">
      <alignment/>
    </xf>
    <xf numFmtId="172" fontId="15" fillId="0" borderId="1" xfId="0" applyNumberFormat="1" applyFont="1" applyFill="1" applyBorder="1" applyAlignment="1">
      <alignment horizontal="center"/>
    </xf>
    <xf numFmtId="172" fontId="15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2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90" zoomScaleSheetLayoutView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4.00390625" style="101" customWidth="1"/>
    <col min="2" max="2" width="24.25390625" style="101" customWidth="1"/>
    <col min="3" max="3" width="5.375" style="101" customWidth="1"/>
    <col min="4" max="4" width="5.125" style="101" customWidth="1"/>
    <col min="5" max="5" width="7.00390625" style="101" customWidth="1"/>
    <col min="6" max="7" width="5.875" style="101" customWidth="1"/>
    <col min="8" max="8" width="6.875" style="101" customWidth="1"/>
    <col min="9" max="9" width="6.25390625" style="101" customWidth="1"/>
    <col min="10" max="10" width="5.875" style="101" customWidth="1"/>
    <col min="11" max="11" width="6.375" style="101" customWidth="1"/>
    <col min="12" max="14" width="7.00390625" style="101" customWidth="1"/>
    <col min="15" max="15" width="6.75390625" style="101" customWidth="1"/>
    <col min="16" max="17" width="6.00390625" style="101" customWidth="1"/>
    <col min="18" max="19" width="5.875" style="101" customWidth="1"/>
    <col min="20" max="20" width="5.75390625" style="101" customWidth="1"/>
    <col min="21" max="16384" width="9.125" style="101" customWidth="1"/>
  </cols>
  <sheetData>
    <row r="1" spans="3:18" ht="14.25">
      <c r="C1" s="173" t="s">
        <v>107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4"/>
      <c r="R1" s="174"/>
    </row>
    <row r="2" spans="3:10" ht="15">
      <c r="C2" s="102"/>
      <c r="D2" s="102"/>
      <c r="E2" s="102"/>
      <c r="F2" s="102"/>
      <c r="G2" s="102"/>
      <c r="H2" s="102"/>
      <c r="I2" s="102"/>
      <c r="J2" s="102"/>
    </row>
    <row r="3" spans="1:20" ht="18.75" customHeight="1">
      <c r="A3" s="111" t="s">
        <v>2</v>
      </c>
      <c r="B3" s="108" t="s">
        <v>3</v>
      </c>
      <c r="C3" s="103" t="s">
        <v>49</v>
      </c>
      <c r="D3" s="103"/>
      <c r="E3" s="108"/>
      <c r="F3" s="103" t="s">
        <v>66</v>
      </c>
      <c r="G3" s="103"/>
      <c r="H3" s="108"/>
      <c r="I3" s="114"/>
      <c r="J3" s="115" t="s">
        <v>53</v>
      </c>
      <c r="K3" s="115"/>
      <c r="L3" s="115"/>
      <c r="M3" s="116"/>
      <c r="N3" s="116"/>
      <c r="O3" s="116"/>
      <c r="P3" s="116"/>
      <c r="Q3" s="114"/>
      <c r="R3" s="115" t="s">
        <v>54</v>
      </c>
      <c r="S3" s="115"/>
      <c r="T3" s="117"/>
    </row>
    <row r="4" spans="1:20" ht="18.75" customHeight="1">
      <c r="A4" s="112"/>
      <c r="B4" s="109"/>
      <c r="C4" s="175">
        <v>2009</v>
      </c>
      <c r="D4" s="175">
        <v>2010</v>
      </c>
      <c r="E4" s="108" t="s">
        <v>50</v>
      </c>
      <c r="F4" s="175">
        <v>2009</v>
      </c>
      <c r="G4" s="175">
        <v>2010</v>
      </c>
      <c r="H4" s="108" t="s">
        <v>50</v>
      </c>
      <c r="I4" s="104" t="s">
        <v>51</v>
      </c>
      <c r="J4" s="110"/>
      <c r="K4" s="110" t="s">
        <v>52</v>
      </c>
      <c r="L4" s="113"/>
      <c r="M4" s="177" t="s">
        <v>114</v>
      </c>
      <c r="N4" s="178"/>
      <c r="O4" s="114" t="s">
        <v>65</v>
      </c>
      <c r="P4" s="115"/>
      <c r="Q4" s="114" t="s">
        <v>71</v>
      </c>
      <c r="R4" s="117"/>
      <c r="S4" s="115" t="s">
        <v>70</v>
      </c>
      <c r="T4" s="117"/>
    </row>
    <row r="5" spans="1:20" ht="18.75" customHeight="1">
      <c r="A5" s="113"/>
      <c r="B5" s="110"/>
      <c r="C5" s="176"/>
      <c r="D5" s="176"/>
      <c r="E5" s="110" t="s">
        <v>95</v>
      </c>
      <c r="F5" s="176"/>
      <c r="G5" s="176"/>
      <c r="H5" s="110" t="s">
        <v>95</v>
      </c>
      <c r="I5" s="117">
        <v>2009</v>
      </c>
      <c r="J5" s="103">
        <v>2010</v>
      </c>
      <c r="K5" s="117">
        <v>2009</v>
      </c>
      <c r="L5" s="103">
        <v>2010</v>
      </c>
      <c r="M5" s="117">
        <v>2009</v>
      </c>
      <c r="N5" s="103">
        <v>2010</v>
      </c>
      <c r="O5" s="117">
        <v>2009</v>
      </c>
      <c r="P5" s="103">
        <v>2010</v>
      </c>
      <c r="Q5" s="117">
        <v>2009</v>
      </c>
      <c r="R5" s="103">
        <v>2010</v>
      </c>
      <c r="S5" s="117">
        <v>2009</v>
      </c>
      <c r="T5" s="103">
        <v>2010</v>
      </c>
    </row>
    <row r="6" spans="1:20" ht="13.5" customHeight="1">
      <c r="A6" s="105">
        <v>1</v>
      </c>
      <c r="B6" s="105" t="s">
        <v>78</v>
      </c>
      <c r="C6" s="120"/>
      <c r="D6" s="120"/>
      <c r="E6" s="119">
        <f aca="true" t="shared" si="0" ref="E6:E16">D6-C6</f>
        <v>0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15" customHeight="1">
      <c r="A7" s="105">
        <v>2</v>
      </c>
      <c r="B7" s="105" t="s">
        <v>79</v>
      </c>
      <c r="C7" s="120"/>
      <c r="D7" s="120"/>
      <c r="E7" s="119">
        <f t="shared" si="0"/>
        <v>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0" ht="13.5" customHeight="1">
      <c r="A8" s="105">
        <v>3</v>
      </c>
      <c r="B8" s="105" t="s">
        <v>80</v>
      </c>
      <c r="C8" s="128"/>
      <c r="D8" s="128">
        <v>1</v>
      </c>
      <c r="E8" s="119">
        <f t="shared" si="0"/>
        <v>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>
        <v>14</v>
      </c>
      <c r="S8" s="120"/>
      <c r="T8" s="120"/>
    </row>
    <row r="9" spans="1:20" ht="13.5" customHeight="1">
      <c r="A9" s="105">
        <v>4</v>
      </c>
      <c r="B9" s="105" t="s">
        <v>81</v>
      </c>
      <c r="C9" s="128">
        <v>1</v>
      </c>
      <c r="D9" s="128">
        <v>1</v>
      </c>
      <c r="E9" s="119">
        <f t="shared" si="0"/>
        <v>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>
        <v>8</v>
      </c>
      <c r="R9" s="120">
        <v>1</v>
      </c>
      <c r="S9" s="120"/>
      <c r="T9" s="120"/>
    </row>
    <row r="10" spans="1:20" ht="12.75" customHeight="1">
      <c r="A10" s="105">
        <v>5</v>
      </c>
      <c r="B10" s="103" t="s">
        <v>82</v>
      </c>
      <c r="C10" s="128">
        <v>1</v>
      </c>
      <c r="D10" s="128">
        <v>1</v>
      </c>
      <c r="E10" s="119">
        <f t="shared" si="0"/>
        <v>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8">
        <v>8</v>
      </c>
      <c r="T10" s="128">
        <v>2</v>
      </c>
    </row>
    <row r="11" spans="1:20" ht="13.5" customHeight="1">
      <c r="A11" s="105">
        <v>6</v>
      </c>
      <c r="B11" s="106" t="s">
        <v>83</v>
      </c>
      <c r="C11" s="128"/>
      <c r="D11" s="128"/>
      <c r="E11" s="119">
        <f t="shared" si="0"/>
        <v>0</v>
      </c>
      <c r="F11" s="128">
        <v>5</v>
      </c>
      <c r="G11" s="128">
        <v>53</v>
      </c>
      <c r="H11" s="120">
        <f>G11-F11</f>
        <v>48</v>
      </c>
      <c r="I11" s="119"/>
      <c r="J11" s="120"/>
      <c r="K11" s="119"/>
      <c r="L11" s="119"/>
      <c r="M11" s="119"/>
      <c r="N11" s="119"/>
      <c r="O11" s="119"/>
      <c r="P11" s="119"/>
      <c r="Q11" s="119">
        <v>2</v>
      </c>
      <c r="R11" s="119">
        <v>1</v>
      </c>
      <c r="S11" s="128">
        <v>42</v>
      </c>
      <c r="T11" s="128">
        <v>17</v>
      </c>
    </row>
    <row r="12" spans="1:20" ht="12.75" customHeight="1">
      <c r="A12" s="105">
        <v>7</v>
      </c>
      <c r="B12" s="106" t="s">
        <v>115</v>
      </c>
      <c r="C12" s="128"/>
      <c r="D12" s="128">
        <v>2</v>
      </c>
      <c r="E12" s="119">
        <f t="shared" si="0"/>
        <v>2</v>
      </c>
      <c r="F12" s="128"/>
      <c r="G12" s="128"/>
      <c r="H12" s="120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  <c r="T12" s="128"/>
    </row>
    <row r="13" spans="1:20" ht="12.75" customHeight="1">
      <c r="A13" s="105">
        <v>8</v>
      </c>
      <c r="B13" s="106" t="s">
        <v>84</v>
      </c>
      <c r="C13" s="128"/>
      <c r="D13" s="128"/>
      <c r="E13" s="119">
        <f t="shared" si="0"/>
        <v>0</v>
      </c>
      <c r="F13" s="128"/>
      <c r="G13" s="128"/>
      <c r="H13" s="120"/>
      <c r="I13" s="120"/>
      <c r="J13" s="120"/>
      <c r="K13" s="120"/>
      <c r="L13" s="120"/>
      <c r="M13" s="120"/>
      <c r="N13" s="120"/>
      <c r="O13" s="120"/>
      <c r="P13" s="120"/>
      <c r="Q13" s="120">
        <v>1</v>
      </c>
      <c r="R13" s="120"/>
      <c r="S13" s="128"/>
      <c r="T13" s="128"/>
    </row>
    <row r="14" spans="1:20" ht="13.5" customHeight="1">
      <c r="A14" s="105">
        <v>9</v>
      </c>
      <c r="B14" s="106" t="s">
        <v>116</v>
      </c>
      <c r="C14" s="128">
        <v>3</v>
      </c>
      <c r="D14" s="128"/>
      <c r="E14" s="119">
        <f t="shared" si="0"/>
        <v>-3</v>
      </c>
      <c r="F14" s="128"/>
      <c r="G14" s="128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>
        <v>12</v>
      </c>
      <c r="S14" s="128"/>
      <c r="T14" s="128"/>
    </row>
    <row r="15" spans="1:20" ht="12.75" customHeight="1">
      <c r="A15" s="105">
        <v>10</v>
      </c>
      <c r="B15" s="105" t="s">
        <v>85</v>
      </c>
      <c r="C15" s="128"/>
      <c r="D15" s="128"/>
      <c r="E15" s="119">
        <f t="shared" si="0"/>
        <v>0</v>
      </c>
      <c r="F15" s="128"/>
      <c r="G15" s="128"/>
      <c r="H15" s="120"/>
      <c r="I15" s="120"/>
      <c r="J15" s="120"/>
      <c r="K15" s="120"/>
      <c r="L15" s="120"/>
      <c r="M15" s="120"/>
      <c r="N15" s="120"/>
      <c r="O15" s="120"/>
      <c r="P15" s="120"/>
      <c r="Q15" s="120">
        <v>4</v>
      </c>
      <c r="R15" s="120"/>
      <c r="S15" s="128"/>
      <c r="T15" s="128"/>
    </row>
    <row r="16" spans="1:20" ht="12.75" customHeight="1">
      <c r="A16" s="105">
        <v>11</v>
      </c>
      <c r="B16" s="105" t="s">
        <v>86</v>
      </c>
      <c r="C16" s="128"/>
      <c r="D16" s="128"/>
      <c r="E16" s="119">
        <f t="shared" si="0"/>
        <v>0</v>
      </c>
      <c r="F16" s="128"/>
      <c r="G16" s="128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8"/>
      <c r="T16" s="128"/>
    </row>
    <row r="17" spans="1:20" ht="12.75" customHeight="1">
      <c r="A17" s="105">
        <v>12</v>
      </c>
      <c r="B17" s="105" t="s">
        <v>87</v>
      </c>
      <c r="C17" s="120"/>
      <c r="D17" s="120"/>
      <c r="E17" s="119"/>
      <c r="F17" s="128">
        <v>52</v>
      </c>
      <c r="G17" s="128">
        <v>163</v>
      </c>
      <c r="H17" s="120">
        <f>G17-F17</f>
        <v>111</v>
      </c>
      <c r="I17" s="120"/>
      <c r="J17" s="120"/>
      <c r="K17" s="120">
        <v>7</v>
      </c>
      <c r="L17" s="120"/>
      <c r="M17" s="120"/>
      <c r="N17" s="120"/>
      <c r="O17" s="120"/>
      <c r="P17" s="120"/>
      <c r="Q17" s="120"/>
      <c r="R17" s="120"/>
      <c r="S17" s="128">
        <v>66</v>
      </c>
      <c r="T17" s="128">
        <v>25</v>
      </c>
    </row>
    <row r="18" spans="1:20" ht="12.75" customHeight="1">
      <c r="A18" s="105">
        <v>13</v>
      </c>
      <c r="B18" s="107" t="s">
        <v>113</v>
      </c>
      <c r="C18" s="120"/>
      <c r="D18" s="120"/>
      <c r="E18" s="119"/>
      <c r="F18" s="128"/>
      <c r="G18" s="128"/>
      <c r="H18" s="120"/>
      <c r="I18" s="120"/>
      <c r="J18" s="120"/>
      <c r="K18" s="120"/>
      <c r="L18" s="120"/>
      <c r="M18" s="120"/>
      <c r="N18" s="120">
        <v>37</v>
      </c>
      <c r="O18" s="120"/>
      <c r="P18" s="120"/>
      <c r="Q18" s="120"/>
      <c r="R18" s="120"/>
      <c r="S18" s="128"/>
      <c r="T18" s="128"/>
    </row>
    <row r="19" spans="1:20" ht="13.5" customHeight="1">
      <c r="A19" s="203" t="s">
        <v>13</v>
      </c>
      <c r="B19" s="204"/>
      <c r="C19" s="120">
        <f>SUM(C6:C16)</f>
        <v>5</v>
      </c>
      <c r="D19" s="120">
        <f>SUM(D6:D17)</f>
        <v>5</v>
      </c>
      <c r="E19" s="119">
        <f>D19-C19</f>
        <v>0</v>
      </c>
      <c r="F19" s="126">
        <f>SUM(F6:F17)</f>
        <v>57</v>
      </c>
      <c r="G19" s="120">
        <f>SUM(G11:G17)</f>
        <v>216</v>
      </c>
      <c r="H19" s="120">
        <f>G19-F19</f>
        <v>159</v>
      </c>
      <c r="I19" s="120">
        <f aca="true" t="shared" si="1" ref="I19:T19">SUM(I6:I17)</f>
        <v>0</v>
      </c>
      <c r="J19" s="120">
        <f t="shared" si="1"/>
        <v>0</v>
      </c>
      <c r="K19" s="120">
        <f t="shared" si="1"/>
        <v>7</v>
      </c>
      <c r="L19" s="120">
        <f t="shared" si="1"/>
        <v>0</v>
      </c>
      <c r="M19" s="120"/>
      <c r="N19" s="120">
        <f>SUM(N18)</f>
        <v>37</v>
      </c>
      <c r="O19" s="120">
        <f t="shared" si="1"/>
        <v>0</v>
      </c>
      <c r="P19" s="120">
        <f t="shared" si="1"/>
        <v>0</v>
      </c>
      <c r="Q19" s="120">
        <f t="shared" si="1"/>
        <v>15</v>
      </c>
      <c r="R19" s="120">
        <f t="shared" si="1"/>
        <v>28</v>
      </c>
      <c r="S19" s="120">
        <f>SUM(S6:S17)</f>
        <v>116</v>
      </c>
      <c r="T19" s="120">
        <f t="shared" si="1"/>
        <v>44</v>
      </c>
    </row>
    <row r="20" ht="14.25">
      <c r="B20" s="125"/>
    </row>
  </sheetData>
  <mergeCells count="7">
    <mergeCell ref="A19:B19"/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65" zoomScaleSheetLayoutView="75" workbookViewId="0" topLeftCell="A1">
      <selection activeCell="B34" sqref="B34"/>
    </sheetView>
  </sheetViews>
  <sheetFormatPr defaultColWidth="9.00390625" defaultRowHeight="12.75"/>
  <cols>
    <col min="1" max="1" width="3.875" style="0" customWidth="1"/>
    <col min="2" max="2" width="33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9"/>
      <c r="B1" s="29"/>
      <c r="C1" s="1" t="s">
        <v>108</v>
      </c>
      <c r="D1" s="1"/>
      <c r="E1" s="1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 t="s">
        <v>77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44" t="s">
        <v>2</v>
      </c>
      <c r="B4" s="30" t="s">
        <v>3</v>
      </c>
      <c r="C4" s="33" t="s">
        <v>24</v>
      </c>
      <c r="D4" s="34"/>
      <c r="E4" s="37"/>
      <c r="F4" s="33"/>
      <c r="G4" s="34"/>
      <c r="H4" s="34" t="s">
        <v>25</v>
      </c>
      <c r="I4" s="34"/>
      <c r="J4" s="34"/>
      <c r="K4" s="37"/>
      <c r="L4" s="29"/>
      <c r="M4" s="29"/>
    </row>
    <row r="5" spans="1:13" ht="15">
      <c r="A5" s="50"/>
      <c r="B5" s="36"/>
      <c r="C5" s="27">
        <v>2009</v>
      </c>
      <c r="D5" s="28">
        <v>2010</v>
      </c>
      <c r="E5" s="28" t="s">
        <v>92</v>
      </c>
      <c r="F5" s="33" t="s">
        <v>28</v>
      </c>
      <c r="G5" s="37"/>
      <c r="H5" s="33" t="s">
        <v>26</v>
      </c>
      <c r="I5" s="37"/>
      <c r="J5" s="33" t="s">
        <v>27</v>
      </c>
      <c r="K5" s="37"/>
      <c r="L5" s="29"/>
      <c r="M5" s="29"/>
    </row>
    <row r="6" spans="1:13" ht="15">
      <c r="A6" s="40"/>
      <c r="B6" s="38"/>
      <c r="C6" s="51"/>
      <c r="D6" s="20"/>
      <c r="E6" s="20" t="s">
        <v>93</v>
      </c>
      <c r="F6" s="27">
        <v>2009</v>
      </c>
      <c r="G6" s="28">
        <v>2010</v>
      </c>
      <c r="H6" s="27">
        <v>2009</v>
      </c>
      <c r="I6" s="28">
        <v>2010</v>
      </c>
      <c r="J6" s="27">
        <v>2009</v>
      </c>
      <c r="K6" s="28">
        <v>2010</v>
      </c>
      <c r="L6" s="29"/>
      <c r="M6" s="29"/>
    </row>
    <row r="7" spans="1:13" ht="16.5">
      <c r="A7" s="41">
        <v>1</v>
      </c>
      <c r="B7" s="41" t="s">
        <v>78</v>
      </c>
      <c r="C7" s="159">
        <v>0.22</v>
      </c>
      <c r="D7" s="159"/>
      <c r="E7" s="160">
        <f aca="true" t="shared" si="0" ref="E7:E20">D7*100/C7</f>
        <v>0</v>
      </c>
      <c r="F7" s="161">
        <v>0.22</v>
      </c>
      <c r="G7" s="161"/>
      <c r="H7" s="161"/>
      <c r="I7" s="161"/>
      <c r="J7" s="161"/>
      <c r="K7" s="161"/>
      <c r="L7" s="29"/>
      <c r="M7" s="29"/>
    </row>
    <row r="8" spans="1:13" ht="16.5">
      <c r="A8" s="41">
        <v>2</v>
      </c>
      <c r="B8" s="41" t="s">
        <v>79</v>
      </c>
      <c r="C8" s="159">
        <v>23.8</v>
      </c>
      <c r="D8" s="159">
        <v>4.6</v>
      </c>
      <c r="E8" s="160">
        <f t="shared" si="0"/>
        <v>19.32773109243697</v>
      </c>
      <c r="F8" s="161">
        <v>22.8</v>
      </c>
      <c r="G8" s="161">
        <v>4.3</v>
      </c>
      <c r="H8" s="161"/>
      <c r="I8" s="161"/>
      <c r="J8" s="161">
        <v>1</v>
      </c>
      <c r="K8" s="161">
        <v>0.3</v>
      </c>
      <c r="L8" s="29"/>
      <c r="M8" s="29"/>
    </row>
    <row r="9" spans="1:13" ht="16.5">
      <c r="A9" s="41">
        <v>3</v>
      </c>
      <c r="B9" s="41" t="s">
        <v>80</v>
      </c>
      <c r="C9" s="159">
        <v>6</v>
      </c>
      <c r="D9" s="159">
        <v>1</v>
      </c>
      <c r="E9" s="160">
        <f t="shared" si="0"/>
        <v>16.666666666666668</v>
      </c>
      <c r="F9" s="161">
        <v>6</v>
      </c>
      <c r="G9" s="161">
        <v>1</v>
      </c>
      <c r="H9" s="161"/>
      <c r="I9" s="161"/>
      <c r="J9" s="161"/>
      <c r="K9" s="161"/>
      <c r="L9" s="29"/>
      <c r="M9" s="29"/>
    </row>
    <row r="10" spans="1:13" ht="16.5">
      <c r="A10" s="41">
        <v>4</v>
      </c>
      <c r="B10" s="41" t="s">
        <v>81</v>
      </c>
      <c r="C10" s="159">
        <v>0.9</v>
      </c>
      <c r="D10" s="159">
        <v>0.04</v>
      </c>
      <c r="E10" s="160">
        <f t="shared" si="0"/>
        <v>4.444444444444445</v>
      </c>
      <c r="F10" s="161">
        <v>0.9</v>
      </c>
      <c r="G10" s="161">
        <v>0.04</v>
      </c>
      <c r="H10" s="161"/>
      <c r="I10" s="161"/>
      <c r="J10" s="161"/>
      <c r="K10" s="161"/>
      <c r="L10" s="29"/>
      <c r="M10" s="29"/>
    </row>
    <row r="11" spans="1:13" ht="16.5">
      <c r="A11" s="41">
        <v>5</v>
      </c>
      <c r="B11" s="52" t="s">
        <v>82</v>
      </c>
      <c r="C11" s="159">
        <v>15.2</v>
      </c>
      <c r="D11" s="159">
        <v>10.5</v>
      </c>
      <c r="E11" s="160">
        <f t="shared" si="0"/>
        <v>69.07894736842105</v>
      </c>
      <c r="F11" s="161">
        <v>11.2</v>
      </c>
      <c r="G11" s="161">
        <v>9.9</v>
      </c>
      <c r="H11" s="161"/>
      <c r="I11" s="161">
        <v>0.6</v>
      </c>
      <c r="J11" s="161">
        <v>0.7</v>
      </c>
      <c r="K11" s="161"/>
      <c r="L11" s="29"/>
      <c r="M11" s="29"/>
    </row>
    <row r="12" spans="1:13" ht="16.5">
      <c r="A12" s="41">
        <v>6</v>
      </c>
      <c r="B12" s="41" t="s">
        <v>83</v>
      </c>
      <c r="C12" s="159">
        <v>30.1</v>
      </c>
      <c r="D12" s="159">
        <v>7.5</v>
      </c>
      <c r="E12" s="160">
        <f t="shared" si="0"/>
        <v>24.916943521594682</v>
      </c>
      <c r="F12" s="161">
        <v>20</v>
      </c>
      <c r="G12" s="161">
        <v>4.2</v>
      </c>
      <c r="H12" s="161">
        <v>3.3</v>
      </c>
      <c r="I12" s="161">
        <v>2.9</v>
      </c>
      <c r="J12" s="161">
        <v>2.3</v>
      </c>
      <c r="K12" s="161">
        <v>0.4</v>
      </c>
      <c r="L12" s="29"/>
      <c r="M12" s="29"/>
    </row>
    <row r="13" spans="1:13" ht="16.5">
      <c r="A13" s="41">
        <v>7</v>
      </c>
      <c r="B13" s="42" t="s">
        <v>115</v>
      </c>
      <c r="C13" s="159">
        <v>7.8</v>
      </c>
      <c r="D13" s="159">
        <v>3</v>
      </c>
      <c r="E13" s="160">
        <f t="shared" si="0"/>
        <v>38.46153846153846</v>
      </c>
      <c r="F13" s="162">
        <v>6.9</v>
      </c>
      <c r="G13" s="162">
        <v>2.7</v>
      </c>
      <c r="H13" s="162">
        <v>7.8</v>
      </c>
      <c r="I13" s="162"/>
      <c r="J13" s="162"/>
      <c r="K13" s="162">
        <v>0.3</v>
      </c>
      <c r="L13" s="29"/>
      <c r="M13" s="29"/>
    </row>
    <row r="14" spans="1:13" ht="16.5">
      <c r="A14" s="41">
        <v>8</v>
      </c>
      <c r="B14" s="42" t="s">
        <v>84</v>
      </c>
      <c r="C14" s="159">
        <v>9</v>
      </c>
      <c r="D14" s="159"/>
      <c r="E14" s="160">
        <f t="shared" si="0"/>
        <v>0</v>
      </c>
      <c r="F14" s="162">
        <v>6.7</v>
      </c>
      <c r="G14" s="162"/>
      <c r="H14" s="162">
        <v>1.3</v>
      </c>
      <c r="I14" s="162"/>
      <c r="J14" s="162">
        <v>0.9</v>
      </c>
      <c r="K14" s="162"/>
      <c r="L14" s="29"/>
      <c r="M14" s="29"/>
    </row>
    <row r="15" spans="1:13" ht="16.5">
      <c r="A15" s="41">
        <v>9</v>
      </c>
      <c r="B15" s="42" t="s">
        <v>116</v>
      </c>
      <c r="C15" s="159">
        <v>0.1</v>
      </c>
      <c r="D15" s="159">
        <v>1.5</v>
      </c>
      <c r="E15" s="160">
        <f t="shared" si="0"/>
        <v>1500</v>
      </c>
      <c r="F15" s="162">
        <v>0.1</v>
      </c>
      <c r="G15" s="162">
        <v>1.5</v>
      </c>
      <c r="H15" s="162"/>
      <c r="I15" s="162"/>
      <c r="J15" s="162">
        <v>1</v>
      </c>
      <c r="K15" s="162"/>
      <c r="L15" s="29"/>
      <c r="M15" s="29"/>
    </row>
    <row r="16" spans="1:13" ht="16.5">
      <c r="A16" s="41">
        <v>10</v>
      </c>
      <c r="B16" s="42" t="s">
        <v>85</v>
      </c>
      <c r="C16" s="159">
        <v>5</v>
      </c>
      <c r="D16" s="159">
        <v>2</v>
      </c>
      <c r="E16" s="160">
        <f t="shared" si="0"/>
        <v>40</v>
      </c>
      <c r="F16" s="162">
        <v>3</v>
      </c>
      <c r="G16" s="162">
        <v>2</v>
      </c>
      <c r="H16" s="162"/>
      <c r="I16" s="162"/>
      <c r="J16" s="162"/>
      <c r="K16" s="162"/>
      <c r="L16" s="29"/>
      <c r="M16" s="29"/>
    </row>
    <row r="17" spans="1:13" ht="16.5">
      <c r="A17" s="41">
        <v>11</v>
      </c>
      <c r="B17" s="42" t="s">
        <v>86</v>
      </c>
      <c r="C17" s="159">
        <v>1.3</v>
      </c>
      <c r="D17" s="159">
        <v>0.5</v>
      </c>
      <c r="E17" s="160">
        <f t="shared" si="0"/>
        <v>38.46153846153846</v>
      </c>
      <c r="F17" s="162">
        <v>1.3</v>
      </c>
      <c r="G17" s="162">
        <v>0.5</v>
      </c>
      <c r="H17" s="162"/>
      <c r="I17" s="162"/>
      <c r="J17" s="162">
        <v>2</v>
      </c>
      <c r="K17" s="162"/>
      <c r="L17" s="29"/>
      <c r="M17" s="29"/>
    </row>
    <row r="18" spans="1:13" ht="16.5">
      <c r="A18" s="41">
        <v>12</v>
      </c>
      <c r="B18" s="42" t="s">
        <v>87</v>
      </c>
      <c r="C18" s="159">
        <v>105</v>
      </c>
      <c r="D18" s="159">
        <v>118</v>
      </c>
      <c r="E18" s="160">
        <f t="shared" si="0"/>
        <v>112.38095238095238</v>
      </c>
      <c r="F18" s="162"/>
      <c r="G18" s="162"/>
      <c r="H18" s="162">
        <v>105</v>
      </c>
      <c r="I18" s="162">
        <v>118</v>
      </c>
      <c r="J18" s="162"/>
      <c r="K18" s="162"/>
      <c r="L18" s="29"/>
      <c r="M18" s="29"/>
    </row>
    <row r="19" spans="1:13" ht="16.5">
      <c r="A19" s="41">
        <v>13</v>
      </c>
      <c r="B19" s="42" t="s">
        <v>113</v>
      </c>
      <c r="C19" s="159"/>
      <c r="D19" s="159"/>
      <c r="E19" s="160"/>
      <c r="F19" s="162"/>
      <c r="G19" s="162"/>
      <c r="H19" s="162"/>
      <c r="I19" s="162"/>
      <c r="J19" s="162"/>
      <c r="K19" s="162"/>
      <c r="L19" s="29"/>
      <c r="M19" s="29"/>
    </row>
    <row r="20" spans="1:13" ht="16.5">
      <c r="A20" s="206" t="s">
        <v>13</v>
      </c>
      <c r="B20" s="205"/>
      <c r="C20" s="163">
        <f>SUM(C7:C18)</f>
        <v>204.42</v>
      </c>
      <c r="D20" s="163">
        <f>SUM(D7:D18)</f>
        <v>148.64</v>
      </c>
      <c r="E20" s="160">
        <f t="shared" si="0"/>
        <v>72.71304177673417</v>
      </c>
      <c r="F20" s="164">
        <f aca="true" t="shared" si="1" ref="F20:K20">SUM(F7:F18)</f>
        <v>79.11999999999999</v>
      </c>
      <c r="G20" s="165">
        <f t="shared" si="1"/>
        <v>26.14</v>
      </c>
      <c r="H20" s="165">
        <f t="shared" si="1"/>
        <v>117.4</v>
      </c>
      <c r="I20" s="165">
        <f t="shared" si="1"/>
        <v>121.5</v>
      </c>
      <c r="J20" s="165">
        <f t="shared" si="1"/>
        <v>7.9</v>
      </c>
      <c r="K20" s="165">
        <f t="shared" si="1"/>
        <v>1</v>
      </c>
      <c r="L20" s="29"/>
      <c r="M20" s="29"/>
    </row>
  </sheetData>
  <mergeCells count="1">
    <mergeCell ref="A20:B20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D1" activePane="topRight" state="frozen"/>
      <selection pane="topLeft" activeCell="A1" sqref="A1"/>
      <selection pane="topRight" activeCell="B14" sqref="B14:B16"/>
    </sheetView>
  </sheetViews>
  <sheetFormatPr defaultColWidth="9.00390625" defaultRowHeight="12.75"/>
  <cols>
    <col min="1" max="1" width="4.00390625" style="0" customWidth="1"/>
    <col min="2" max="2" width="32.75390625" style="0" customWidth="1"/>
    <col min="3" max="3" width="7.125" style="0" customWidth="1"/>
    <col min="4" max="4" width="7.00390625" style="0" customWidth="1"/>
    <col min="5" max="5" width="8.375" style="0" customWidth="1"/>
    <col min="6" max="6" width="7.25390625" style="0" customWidth="1"/>
    <col min="7" max="7" width="6.375" style="0" customWidth="1"/>
    <col min="8" max="8" width="8.125" style="0" customWidth="1"/>
    <col min="9" max="9" width="10.25390625" style="0" customWidth="1"/>
    <col min="10" max="10" width="9.875" style="0" customWidth="1"/>
    <col min="11" max="11" width="8.25390625" style="0" customWidth="1"/>
    <col min="12" max="12" width="8.875" style="0" customWidth="1"/>
    <col min="13" max="13" width="9.00390625" style="0" customWidth="1"/>
    <col min="14" max="14" width="8.375" style="0" customWidth="1"/>
    <col min="15" max="15" width="8.125" style="0" customWidth="1"/>
    <col min="16" max="16" width="6.625" style="0" customWidth="1"/>
    <col min="17" max="17" width="8.625" style="0" customWidth="1"/>
    <col min="18" max="19" width="7.00390625" style="0" customWidth="1"/>
    <col min="20" max="20" width="8.625" style="0" customWidth="1"/>
  </cols>
  <sheetData>
    <row r="1" spans="2:20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ht="15">
      <c r="B2" s="29"/>
      <c r="C2" s="29"/>
      <c r="D2" s="29"/>
      <c r="E2" s="29"/>
      <c r="F2" s="29"/>
      <c r="G2" s="29" t="s">
        <v>106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5">
      <c r="B3" s="29"/>
      <c r="C3" s="29"/>
      <c r="D3" s="29"/>
      <c r="E3" s="29"/>
      <c r="F3" s="29"/>
      <c r="G3" s="29"/>
      <c r="H3" s="29"/>
      <c r="I3" s="29" t="s">
        <v>74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154"/>
      <c r="B4" s="32" t="s">
        <v>3</v>
      </c>
      <c r="C4" s="35" t="s">
        <v>89</v>
      </c>
      <c r="D4" s="35"/>
      <c r="E4" s="35"/>
      <c r="F4" s="34"/>
      <c r="G4" s="34"/>
      <c r="H4" s="30"/>
      <c r="I4" s="33" t="s">
        <v>59</v>
      </c>
      <c r="J4" s="34"/>
      <c r="K4" s="35"/>
      <c r="L4" s="34"/>
      <c r="M4" s="34"/>
      <c r="N4" s="30"/>
      <c r="O4" s="33" t="s">
        <v>60</v>
      </c>
      <c r="P4" s="34"/>
      <c r="Q4" s="35"/>
      <c r="R4" s="34"/>
      <c r="S4" s="34"/>
      <c r="T4" s="30"/>
    </row>
    <row r="5" spans="1:20" ht="15" customHeight="1">
      <c r="A5" s="155" t="s">
        <v>2</v>
      </c>
      <c r="B5" s="43"/>
      <c r="C5" s="34" t="s">
        <v>61</v>
      </c>
      <c r="D5" s="34"/>
      <c r="E5" s="181" t="s">
        <v>94</v>
      </c>
      <c r="F5" s="33" t="s">
        <v>62</v>
      </c>
      <c r="G5" s="37"/>
      <c r="H5" s="181" t="s">
        <v>94</v>
      </c>
      <c r="I5" s="184" t="s">
        <v>61</v>
      </c>
      <c r="J5" s="184"/>
      <c r="K5" s="181" t="s">
        <v>94</v>
      </c>
      <c r="L5" s="184" t="s">
        <v>62</v>
      </c>
      <c r="M5" s="184"/>
      <c r="N5" s="181" t="s">
        <v>94</v>
      </c>
      <c r="O5" s="34" t="s">
        <v>61</v>
      </c>
      <c r="P5" s="34"/>
      <c r="Q5" s="181" t="s">
        <v>91</v>
      </c>
      <c r="R5" s="166" t="s">
        <v>62</v>
      </c>
      <c r="S5" s="167"/>
      <c r="T5" s="181" t="s">
        <v>94</v>
      </c>
    </row>
    <row r="6" spans="1:20" ht="15">
      <c r="A6" s="155" t="s">
        <v>102</v>
      </c>
      <c r="B6" s="43"/>
      <c r="C6" s="179">
        <v>2009</v>
      </c>
      <c r="D6" s="179">
        <v>2010</v>
      </c>
      <c r="E6" s="182"/>
      <c r="F6" s="179">
        <v>2009</v>
      </c>
      <c r="G6" s="179">
        <v>2010</v>
      </c>
      <c r="H6" s="182"/>
      <c r="I6" s="179">
        <v>2009</v>
      </c>
      <c r="J6" s="179">
        <v>2010</v>
      </c>
      <c r="K6" s="182"/>
      <c r="L6" s="179">
        <v>2009</v>
      </c>
      <c r="M6" s="179">
        <v>2010</v>
      </c>
      <c r="N6" s="182"/>
      <c r="O6" s="179">
        <v>2009</v>
      </c>
      <c r="P6" s="179">
        <v>2010</v>
      </c>
      <c r="Q6" s="182"/>
      <c r="R6" s="179">
        <v>2009</v>
      </c>
      <c r="S6" s="179">
        <v>2010</v>
      </c>
      <c r="T6" s="182"/>
    </row>
    <row r="7" spans="1:20" ht="15">
      <c r="A7" s="156"/>
      <c r="B7" s="39"/>
      <c r="C7" s="180"/>
      <c r="D7" s="180"/>
      <c r="E7" s="183"/>
      <c r="F7" s="180"/>
      <c r="G7" s="180"/>
      <c r="H7" s="183"/>
      <c r="I7" s="180"/>
      <c r="J7" s="180"/>
      <c r="K7" s="183"/>
      <c r="L7" s="180"/>
      <c r="M7" s="180"/>
      <c r="N7" s="183"/>
      <c r="O7" s="180"/>
      <c r="P7" s="180"/>
      <c r="Q7" s="183"/>
      <c r="R7" s="180"/>
      <c r="S7" s="180"/>
      <c r="T7" s="183"/>
    </row>
    <row r="8" spans="1:20" ht="15">
      <c r="A8" s="3">
        <v>1</v>
      </c>
      <c r="B8" s="39" t="s">
        <v>78</v>
      </c>
      <c r="C8" s="135">
        <v>8.02</v>
      </c>
      <c r="D8" s="135"/>
      <c r="E8" s="136"/>
      <c r="F8" s="137"/>
      <c r="G8" s="137"/>
      <c r="H8" s="136"/>
      <c r="I8" s="135">
        <v>3749</v>
      </c>
      <c r="J8" s="137"/>
      <c r="K8" s="136"/>
      <c r="L8" s="135"/>
      <c r="M8" s="135"/>
      <c r="N8" s="136"/>
      <c r="O8" s="136">
        <f aca="true" t="shared" si="0" ref="O8:O18">C8/I8*100000</f>
        <v>213.92371299013067</v>
      </c>
      <c r="P8" s="136"/>
      <c r="Q8" s="136"/>
      <c r="R8" s="137"/>
      <c r="S8" s="137"/>
      <c r="T8" s="136"/>
    </row>
    <row r="9" spans="1:20" ht="15">
      <c r="A9" s="3">
        <v>2</v>
      </c>
      <c r="B9" s="31" t="s">
        <v>79</v>
      </c>
      <c r="C9" s="135">
        <v>58</v>
      </c>
      <c r="D9" s="135">
        <v>40</v>
      </c>
      <c r="E9" s="136">
        <f aca="true" t="shared" si="1" ref="E9:E18">D9/C9*100</f>
        <v>68.96551724137932</v>
      </c>
      <c r="F9" s="135"/>
      <c r="G9" s="135"/>
      <c r="H9" s="136"/>
      <c r="I9" s="135">
        <v>18747</v>
      </c>
      <c r="J9" s="135">
        <v>7859</v>
      </c>
      <c r="K9" s="136">
        <f aca="true" t="shared" si="2" ref="K9:K18">J9/I8*100</f>
        <v>209.62923446252333</v>
      </c>
      <c r="L9" s="135"/>
      <c r="M9" s="135"/>
      <c r="N9" s="136"/>
      <c r="O9" s="136">
        <f t="shared" si="0"/>
        <v>309.38283458686726</v>
      </c>
      <c r="P9" s="136">
        <f aca="true" t="shared" si="3" ref="P9:P17">D9/J9*100000</f>
        <v>508.9706069474488</v>
      </c>
      <c r="Q9" s="136">
        <f aca="true" t="shared" si="4" ref="Q9:Q18">P9/O9*100</f>
        <v>164.5115856628245</v>
      </c>
      <c r="R9" s="136"/>
      <c r="S9" s="136"/>
      <c r="T9" s="136"/>
    </row>
    <row r="10" spans="1:20" ht="15">
      <c r="A10" s="3">
        <v>3</v>
      </c>
      <c r="B10" s="31" t="s">
        <v>80</v>
      </c>
      <c r="C10" s="135">
        <v>19.19</v>
      </c>
      <c r="D10" s="135">
        <v>9</v>
      </c>
      <c r="E10" s="136">
        <f t="shared" si="1"/>
        <v>46.899426784783735</v>
      </c>
      <c r="F10" s="135"/>
      <c r="G10" s="135"/>
      <c r="H10" s="136"/>
      <c r="I10" s="135">
        <v>5911</v>
      </c>
      <c r="J10" s="135">
        <v>5708</v>
      </c>
      <c r="K10" s="136">
        <f t="shared" si="2"/>
        <v>30.447538272790315</v>
      </c>
      <c r="L10" s="135"/>
      <c r="M10" s="135"/>
      <c r="N10" s="136"/>
      <c r="O10" s="136">
        <f t="shared" si="0"/>
        <v>324.6489595669092</v>
      </c>
      <c r="P10" s="136">
        <f t="shared" si="3"/>
        <v>157.67344078486335</v>
      </c>
      <c r="Q10" s="136"/>
      <c r="R10" s="136"/>
      <c r="S10" s="136"/>
      <c r="T10" s="136"/>
    </row>
    <row r="11" spans="1:20" ht="15">
      <c r="A11" s="3">
        <v>4</v>
      </c>
      <c r="B11" s="48" t="s">
        <v>81</v>
      </c>
      <c r="C11" s="138">
        <v>17</v>
      </c>
      <c r="D11" s="138">
        <v>9.15</v>
      </c>
      <c r="E11" s="136">
        <f t="shared" si="1"/>
        <v>53.8235294117647</v>
      </c>
      <c r="F11" s="138"/>
      <c r="G11" s="138"/>
      <c r="H11" s="136"/>
      <c r="I11" s="135">
        <v>2521</v>
      </c>
      <c r="J11" s="135">
        <v>1686</v>
      </c>
      <c r="K11" s="136">
        <f t="shared" si="2"/>
        <v>28.523092539333444</v>
      </c>
      <c r="L11" s="138"/>
      <c r="M11" s="138"/>
      <c r="N11" s="139"/>
      <c r="O11" s="136">
        <f t="shared" si="0"/>
        <v>674.3355811186037</v>
      </c>
      <c r="P11" s="136">
        <f t="shared" si="3"/>
        <v>542.7046263345196</v>
      </c>
      <c r="Q11" s="136">
        <f t="shared" si="4"/>
        <v>80.47990370525436</v>
      </c>
      <c r="R11" s="139"/>
      <c r="S11" s="139"/>
      <c r="T11" s="139"/>
    </row>
    <row r="12" spans="1:20" ht="15">
      <c r="A12" s="3">
        <v>5</v>
      </c>
      <c r="B12" s="31" t="s">
        <v>82</v>
      </c>
      <c r="C12" s="135">
        <v>42</v>
      </c>
      <c r="D12" s="135">
        <v>109</v>
      </c>
      <c r="E12" s="136">
        <f t="shared" si="1"/>
        <v>259.5238095238095</v>
      </c>
      <c r="F12" s="135">
        <v>60</v>
      </c>
      <c r="G12" s="135">
        <v>30</v>
      </c>
      <c r="H12" s="136">
        <f>G12/F12*100</f>
        <v>50</v>
      </c>
      <c r="I12" s="135">
        <v>21226</v>
      </c>
      <c r="J12" s="135">
        <v>31003</v>
      </c>
      <c r="K12" s="136">
        <f t="shared" si="2"/>
        <v>1229.7897659658865</v>
      </c>
      <c r="L12" s="135">
        <v>13683</v>
      </c>
      <c r="M12" s="135">
        <v>7877</v>
      </c>
      <c r="N12" s="136">
        <f>M12/L12*100</f>
        <v>57.5677848425053</v>
      </c>
      <c r="O12" s="136">
        <f t="shared" si="0"/>
        <v>197.87053613492884</v>
      </c>
      <c r="P12" s="136">
        <f t="shared" si="3"/>
        <v>351.5788794632777</v>
      </c>
      <c r="Q12" s="136">
        <f t="shared" si="4"/>
        <v>177.68126894017936</v>
      </c>
      <c r="R12" s="136">
        <f>F12/L12*100000</f>
        <v>438.5003288752467</v>
      </c>
      <c r="S12" s="136">
        <f>G12/M12*100000</f>
        <v>380.85565570648725</v>
      </c>
      <c r="T12" s="136">
        <f>S12/R12*100</f>
        <v>86.85413228386442</v>
      </c>
    </row>
    <row r="13" spans="1:20" ht="15">
      <c r="A13" s="3">
        <v>6</v>
      </c>
      <c r="B13" s="31" t="s">
        <v>83</v>
      </c>
      <c r="C13" s="135">
        <v>99</v>
      </c>
      <c r="D13" s="140">
        <v>54</v>
      </c>
      <c r="E13" s="141">
        <f t="shared" si="1"/>
        <v>54.54545454545454</v>
      </c>
      <c r="F13" s="140">
        <v>30</v>
      </c>
      <c r="G13" s="140">
        <v>9</v>
      </c>
      <c r="H13" s="136">
        <f>G13/F13*100</f>
        <v>30</v>
      </c>
      <c r="I13" s="140">
        <v>16625</v>
      </c>
      <c r="J13" s="135">
        <v>8177</v>
      </c>
      <c r="K13" s="136">
        <f t="shared" si="2"/>
        <v>38.52350890417412</v>
      </c>
      <c r="L13" s="135">
        <v>11354</v>
      </c>
      <c r="M13" s="135">
        <v>3963</v>
      </c>
      <c r="N13" s="136">
        <f>M13/L13*100</f>
        <v>34.903998590805</v>
      </c>
      <c r="O13" s="136">
        <f t="shared" si="0"/>
        <v>595.4887218045113</v>
      </c>
      <c r="P13" s="136">
        <f t="shared" si="3"/>
        <v>660.3888956830133</v>
      </c>
      <c r="Q13" s="136">
        <f t="shared" si="4"/>
        <v>110.898640310405</v>
      </c>
      <c r="R13" s="136">
        <f>F13/L13*100000</f>
        <v>264.2240620045799</v>
      </c>
      <c r="S13" s="136">
        <f>G13/M13*100000</f>
        <v>227.1006813020439</v>
      </c>
      <c r="T13" s="136">
        <f>S13/R13*100</f>
        <v>85.95003785011356</v>
      </c>
    </row>
    <row r="14" spans="1:20" ht="15">
      <c r="A14" s="3">
        <v>7</v>
      </c>
      <c r="B14" s="31" t="s">
        <v>115</v>
      </c>
      <c r="C14" s="140"/>
      <c r="D14" s="140">
        <v>16.81</v>
      </c>
      <c r="E14" s="141"/>
      <c r="F14" s="140"/>
      <c r="G14" s="140"/>
      <c r="H14" s="141"/>
      <c r="I14" s="140">
        <v>7578</v>
      </c>
      <c r="J14" s="140">
        <v>7861</v>
      </c>
      <c r="K14" s="141">
        <f t="shared" si="2"/>
        <v>47.28421052631579</v>
      </c>
      <c r="L14" s="140"/>
      <c r="M14" s="140"/>
      <c r="N14" s="141"/>
      <c r="O14" s="136">
        <f t="shared" si="0"/>
        <v>0</v>
      </c>
      <c r="P14" s="136">
        <f t="shared" si="3"/>
        <v>213.84047831064746</v>
      </c>
      <c r="Q14" s="141"/>
      <c r="R14" s="136"/>
      <c r="S14" s="136"/>
      <c r="T14" s="141"/>
    </row>
    <row r="15" spans="1:20" ht="15">
      <c r="A15" s="3">
        <v>8</v>
      </c>
      <c r="B15" s="31" t="s">
        <v>84</v>
      </c>
      <c r="C15" s="140">
        <v>20.6</v>
      </c>
      <c r="D15" s="140">
        <v>14</v>
      </c>
      <c r="E15" s="141">
        <f t="shared" si="1"/>
        <v>67.96116504854368</v>
      </c>
      <c r="F15" s="140">
        <v>12</v>
      </c>
      <c r="G15" s="140"/>
      <c r="H15" s="141"/>
      <c r="I15" s="142">
        <v>4805</v>
      </c>
      <c r="J15" s="140">
        <v>4897</v>
      </c>
      <c r="K15" s="141">
        <f t="shared" si="2"/>
        <v>64.62127210345737</v>
      </c>
      <c r="L15" s="140">
        <v>2558</v>
      </c>
      <c r="M15" s="140"/>
      <c r="N15" s="141"/>
      <c r="O15" s="136">
        <f t="shared" si="0"/>
        <v>428.7200832466182</v>
      </c>
      <c r="P15" s="136">
        <f t="shared" si="3"/>
        <v>285.88931999183177</v>
      </c>
      <c r="Q15" s="141">
        <f t="shared" si="4"/>
        <v>66.68437779421123</v>
      </c>
      <c r="R15" s="136">
        <f>F15/L15*100000</f>
        <v>469.11649726348713</v>
      </c>
      <c r="T15" s="141"/>
    </row>
    <row r="16" spans="1:20" s="100" customFormat="1" ht="15">
      <c r="A16" s="3">
        <v>9</v>
      </c>
      <c r="B16" s="31" t="s">
        <v>116</v>
      </c>
      <c r="C16" s="142">
        <v>36</v>
      </c>
      <c r="D16" s="142">
        <v>35.21</v>
      </c>
      <c r="E16" s="143">
        <f t="shared" si="1"/>
        <v>97.80555555555556</v>
      </c>
      <c r="F16" s="142"/>
      <c r="G16" s="142"/>
      <c r="H16" s="143"/>
      <c r="I16" s="140">
        <v>5769</v>
      </c>
      <c r="J16" s="142">
        <v>6460</v>
      </c>
      <c r="K16" s="143">
        <f t="shared" si="2"/>
        <v>134.4432882414152</v>
      </c>
      <c r="L16" s="142"/>
      <c r="M16" s="142"/>
      <c r="N16" s="143"/>
      <c r="O16" s="136">
        <f t="shared" si="0"/>
        <v>624.02496099844</v>
      </c>
      <c r="P16" s="136">
        <f t="shared" si="3"/>
        <v>545.046439628483</v>
      </c>
      <c r="Q16" s="143">
        <f t="shared" si="4"/>
        <v>87.3436919504644</v>
      </c>
      <c r="R16" s="136"/>
      <c r="S16" s="136"/>
      <c r="T16" s="136"/>
    </row>
    <row r="17" spans="1:20" ht="15">
      <c r="A17" s="3">
        <v>10</v>
      </c>
      <c r="B17" s="49" t="s">
        <v>85</v>
      </c>
      <c r="C17" s="140">
        <v>8</v>
      </c>
      <c r="D17" s="140">
        <v>33</v>
      </c>
      <c r="E17" s="141">
        <f t="shared" si="1"/>
        <v>412.5</v>
      </c>
      <c r="F17" s="140"/>
      <c r="G17" s="140"/>
      <c r="H17" s="141"/>
      <c r="I17" s="140">
        <v>6407</v>
      </c>
      <c r="J17" s="140">
        <v>4648</v>
      </c>
      <c r="K17" s="141">
        <f t="shared" si="2"/>
        <v>80.56855607557635</v>
      </c>
      <c r="L17" s="140"/>
      <c r="M17" s="140"/>
      <c r="N17" s="141"/>
      <c r="O17" s="136">
        <f t="shared" si="0"/>
        <v>124.86343062275637</v>
      </c>
      <c r="P17" s="136">
        <f t="shared" si="3"/>
        <v>709.9827882960413</v>
      </c>
      <c r="Q17" s="141">
        <f t="shared" si="4"/>
        <v>568.6074655765922</v>
      </c>
      <c r="R17" s="136"/>
      <c r="S17" s="136"/>
      <c r="T17" s="141"/>
    </row>
    <row r="18" spans="1:20" ht="15">
      <c r="A18" s="3">
        <v>11</v>
      </c>
      <c r="B18" s="49" t="s">
        <v>86</v>
      </c>
      <c r="C18" s="140">
        <v>4.4</v>
      </c>
      <c r="D18" s="140">
        <v>10</v>
      </c>
      <c r="E18" s="141">
        <f t="shared" si="1"/>
        <v>227.27272727272725</v>
      </c>
      <c r="F18" s="140"/>
      <c r="G18" s="140"/>
      <c r="H18" s="141"/>
      <c r="I18" s="140">
        <v>2407</v>
      </c>
      <c r="J18" s="140">
        <v>1938</v>
      </c>
      <c r="K18" s="141">
        <f t="shared" si="2"/>
        <v>30.248166068362732</v>
      </c>
      <c r="L18" s="140"/>
      <c r="M18" s="140"/>
      <c r="N18" s="141"/>
      <c r="O18" s="136">
        <f t="shared" si="0"/>
        <v>182.80016618196927</v>
      </c>
      <c r="P18" s="136">
        <f>D18/J18*100000</f>
        <v>515.9958720330237</v>
      </c>
      <c r="Q18" s="141">
        <f t="shared" si="4"/>
        <v>282.2731963598836</v>
      </c>
      <c r="R18" s="136"/>
      <c r="S18" s="136"/>
      <c r="T18" s="141"/>
    </row>
    <row r="19" spans="1:20" ht="15">
      <c r="A19" s="154">
        <v>12</v>
      </c>
      <c r="B19" s="158" t="s">
        <v>87</v>
      </c>
      <c r="C19" s="140"/>
      <c r="D19" s="140"/>
      <c r="E19" s="141"/>
      <c r="F19" s="140">
        <v>1093</v>
      </c>
      <c r="G19" s="140">
        <v>1278</v>
      </c>
      <c r="H19" s="141">
        <f>G19/F19*100</f>
        <v>116.92589204025619</v>
      </c>
      <c r="J19" s="140"/>
      <c r="K19" s="141"/>
      <c r="L19" s="140">
        <v>301298</v>
      </c>
      <c r="M19" s="140">
        <v>342380</v>
      </c>
      <c r="N19" s="141">
        <f>M19/L19*100</f>
        <v>113.63500587458265</v>
      </c>
      <c r="O19" s="136"/>
      <c r="P19" s="136"/>
      <c r="Q19" s="141"/>
      <c r="R19" s="136">
        <f>F19/L19*100000</f>
        <v>362.76377539844276</v>
      </c>
      <c r="S19" s="136">
        <f>G19/M19*100000</f>
        <v>373.26946667445526</v>
      </c>
      <c r="T19" s="141">
        <f>S19/R19*100</f>
        <v>102.89601442825254</v>
      </c>
    </row>
    <row r="20" spans="1:20" ht="15">
      <c r="A20" s="206" t="s">
        <v>13</v>
      </c>
      <c r="B20" s="205"/>
      <c r="C20" s="157">
        <f>SUM(C8:C19)</f>
        <v>312.21</v>
      </c>
      <c r="D20" s="135">
        <f>SUM(D8:D19)</f>
        <v>330.17</v>
      </c>
      <c r="E20" s="136">
        <f>D20/C20*100</f>
        <v>105.752538355594</v>
      </c>
      <c r="F20" s="136">
        <f>SUM(F9:F19)</f>
        <v>1195</v>
      </c>
      <c r="G20" s="135">
        <f>SUM(G9:G19)</f>
        <v>1317</v>
      </c>
      <c r="H20" s="136">
        <f>G20/F20*100</f>
        <v>110.2092050209205</v>
      </c>
      <c r="I20" s="135">
        <f>SUM(I8:I18)</f>
        <v>95745</v>
      </c>
      <c r="J20" s="135">
        <f>SUM(J8:J19)</f>
        <v>80237</v>
      </c>
      <c r="K20" s="136">
        <f>J20/I20*100</f>
        <v>83.8028095461904</v>
      </c>
      <c r="L20" s="135">
        <f>SUM(L9:L19)</f>
        <v>328893</v>
      </c>
      <c r="M20" s="135">
        <f>SUM(M9:M19)</f>
        <v>354220</v>
      </c>
      <c r="N20" s="136">
        <f>M20/L20*100</f>
        <v>107.70068076851742</v>
      </c>
      <c r="O20" s="136">
        <f>C20/I20*100000</f>
        <v>326.0849130502898</v>
      </c>
      <c r="P20" s="136">
        <f>D20/J20*100000</f>
        <v>411.4934506524422</v>
      </c>
      <c r="Q20" s="136">
        <f>P20/O20*100</f>
        <v>126.19211566803781</v>
      </c>
      <c r="R20" s="136">
        <f>F20/L20*100000</f>
        <v>363.3400528439341</v>
      </c>
      <c r="S20" s="136">
        <f>G20/M20*100000</f>
        <v>371.8028343967026</v>
      </c>
      <c r="T20" s="136">
        <f>S20/R20*100</f>
        <v>102.32916285626334</v>
      </c>
    </row>
  </sheetData>
  <mergeCells count="22">
    <mergeCell ref="A20:B20"/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B12" sqref="B12:B14"/>
    </sheetView>
  </sheetViews>
  <sheetFormatPr defaultColWidth="9.00390625" defaultRowHeight="12.75"/>
  <cols>
    <col min="1" max="1" width="3.625" style="0" customWidth="1"/>
    <col min="2" max="2" width="32.875" style="0" customWidth="1"/>
    <col min="3" max="3" width="7.25390625" style="0" customWidth="1"/>
    <col min="4" max="4" width="7.125" style="0" customWidth="1"/>
    <col min="5" max="5" width="8.125" style="0" customWidth="1"/>
    <col min="6" max="6" width="8.75390625" style="0" customWidth="1"/>
    <col min="7" max="7" width="8.875" style="0" customWidth="1"/>
    <col min="8" max="8" width="8.625" style="0" customWidth="1"/>
    <col min="9" max="9" width="8.75390625" style="0" customWidth="1"/>
    <col min="10" max="10" width="8.25390625" style="0" customWidth="1"/>
    <col min="11" max="11" width="9.00390625" style="0" customWidth="1"/>
    <col min="12" max="12" width="10.375" style="0" customWidth="1"/>
    <col min="14" max="14" width="9.125" style="122" customWidth="1"/>
  </cols>
  <sheetData>
    <row r="1" ht="15.75">
      <c r="C1" s="1" t="s">
        <v>105</v>
      </c>
    </row>
    <row r="2" spans="1:12" ht="15">
      <c r="A2" s="29"/>
      <c r="B2" s="29"/>
      <c r="C2" s="29"/>
      <c r="D2" s="29"/>
      <c r="E2" s="29"/>
      <c r="F2" s="29"/>
      <c r="G2" s="29"/>
      <c r="H2" s="18" t="s">
        <v>68</v>
      </c>
      <c r="I2" s="29"/>
      <c r="J2" s="29"/>
      <c r="K2" s="29"/>
      <c r="L2" s="29"/>
    </row>
    <row r="3" spans="1:14" ht="15" customHeight="1">
      <c r="A3" s="32" t="s">
        <v>2</v>
      </c>
      <c r="B3" s="32" t="s">
        <v>3</v>
      </c>
      <c r="C3" s="34"/>
      <c r="D3" s="34" t="s">
        <v>64</v>
      </c>
      <c r="E3" s="37"/>
      <c r="F3" s="166" t="s">
        <v>12</v>
      </c>
      <c r="G3" s="168"/>
      <c r="H3" s="169"/>
      <c r="I3" s="34" t="s">
        <v>8</v>
      </c>
      <c r="J3" s="30" t="s">
        <v>9</v>
      </c>
      <c r="K3" s="172" t="s">
        <v>99</v>
      </c>
      <c r="L3" s="185"/>
      <c r="M3" s="186"/>
      <c r="N3" s="170"/>
    </row>
    <row r="4" spans="1:14" ht="15">
      <c r="A4" s="43"/>
      <c r="B4" s="43"/>
      <c r="C4" s="17">
        <v>2009</v>
      </c>
      <c r="D4" s="53">
        <v>2010</v>
      </c>
      <c r="E4" s="27" t="s">
        <v>6</v>
      </c>
      <c r="F4" s="27">
        <v>2009</v>
      </c>
      <c r="G4" s="28">
        <v>2010</v>
      </c>
      <c r="H4" s="144" t="s">
        <v>6</v>
      </c>
      <c r="I4" s="53">
        <v>2009</v>
      </c>
      <c r="J4" s="28">
        <v>2010</v>
      </c>
      <c r="K4" s="181" t="s">
        <v>1</v>
      </c>
      <c r="L4" s="181" t="s">
        <v>100</v>
      </c>
      <c r="M4" s="188" t="s">
        <v>101</v>
      </c>
      <c r="N4" s="171"/>
    </row>
    <row r="5" spans="1:14" ht="15">
      <c r="A5" s="39"/>
      <c r="B5" s="39"/>
      <c r="C5" s="38"/>
      <c r="D5" s="46"/>
      <c r="E5" s="51">
        <v>2009</v>
      </c>
      <c r="F5" s="40"/>
      <c r="G5" s="39"/>
      <c r="H5" s="144">
        <v>2009</v>
      </c>
      <c r="I5" s="46"/>
      <c r="J5" s="39"/>
      <c r="K5" s="187"/>
      <c r="L5" s="187"/>
      <c r="M5" s="188"/>
      <c r="N5" s="171"/>
    </row>
    <row r="6" spans="1:13" ht="18">
      <c r="A6" s="9">
        <v>1</v>
      </c>
      <c r="B6" s="31" t="s">
        <v>78</v>
      </c>
      <c r="C6" s="21"/>
      <c r="D6" s="21"/>
      <c r="E6" s="22"/>
      <c r="F6" s="94">
        <v>1</v>
      </c>
      <c r="G6" s="94"/>
      <c r="H6" s="26"/>
      <c r="I6" s="22">
        <f>F6+(C6*0.2)+('численность 1'!M6*0.3)+'численность 1'!G6+(('численность 1'!C6-'численность 1'!G6-'численность 1'!F6)*0.6)+'численность 1'!F6</f>
        <v>64.8</v>
      </c>
      <c r="J6" s="153"/>
      <c r="K6" s="21"/>
      <c r="L6" s="21"/>
      <c r="M6" s="152"/>
    </row>
    <row r="7" spans="1:14" ht="18">
      <c r="A7" s="9">
        <v>2</v>
      </c>
      <c r="B7" s="31" t="s">
        <v>79</v>
      </c>
      <c r="C7" s="21"/>
      <c r="D7" s="21"/>
      <c r="E7" s="22"/>
      <c r="F7" s="121">
        <v>42</v>
      </c>
      <c r="G7" s="121">
        <v>26</v>
      </c>
      <c r="H7" s="26">
        <f aca="true" t="shared" si="0" ref="H7:H17">G7*100/F7</f>
        <v>61.904761904761905</v>
      </c>
      <c r="I7" s="22">
        <f>F7+(C7*0.2)+('численность 1'!M7*0.3)+'численность 1'!G7+(('численность 1'!C7-'численность 1'!G7)*0.6)</f>
        <v>417.79999999999995</v>
      </c>
      <c r="J7" s="22">
        <f>G7+(D7*0.2)+('численность 1'!N7*0.3)+'численность 1'!H7+(('численность 1'!D7-'численность 1'!H7)*0.6)</f>
        <v>283.4</v>
      </c>
      <c r="K7" s="21">
        <v>3000</v>
      </c>
      <c r="L7" s="21">
        <v>943</v>
      </c>
      <c r="M7" s="134"/>
      <c r="N7" s="151"/>
    </row>
    <row r="8" spans="1:14" ht="18">
      <c r="A8" s="9">
        <v>3</v>
      </c>
      <c r="B8" s="31" t="s">
        <v>80</v>
      </c>
      <c r="C8" s="21"/>
      <c r="D8" s="21"/>
      <c r="E8" s="22"/>
      <c r="F8" s="121">
        <v>7</v>
      </c>
      <c r="G8" s="121">
        <v>7</v>
      </c>
      <c r="H8" s="26">
        <f t="shared" si="0"/>
        <v>100</v>
      </c>
      <c r="I8" s="22">
        <f>F8+(C8*0.2)+('численность 1'!M8*0.3)+'численность 1'!G8+(('численность 1'!C8-'численность 1'!G8)*0.6)</f>
        <v>173.2</v>
      </c>
      <c r="J8" s="22">
        <f>G8+(D8*0.2)+('численность 1'!N8*0.3)+'численность 1'!H8+(('численность 1'!D8-'численность 1'!H8)*0.6)</f>
        <v>164.2</v>
      </c>
      <c r="K8" s="21">
        <v>3377</v>
      </c>
      <c r="L8" s="21">
        <v>1077</v>
      </c>
      <c r="M8" s="134"/>
      <c r="N8" s="151"/>
    </row>
    <row r="9" spans="1:14" ht="18">
      <c r="A9" s="9">
        <v>4</v>
      </c>
      <c r="B9" s="31" t="s">
        <v>81</v>
      </c>
      <c r="C9" s="21"/>
      <c r="D9" s="21"/>
      <c r="E9" s="22"/>
      <c r="F9" s="121">
        <v>7</v>
      </c>
      <c r="G9" s="121">
        <v>2</v>
      </c>
      <c r="H9" s="26">
        <f t="shared" si="0"/>
        <v>28.571428571428573</v>
      </c>
      <c r="I9" s="22">
        <f>F9+(C9*0.2)+('численность 1'!M9*0.3)+'численность 1'!G9+(('численность 1'!C9-'численность 1'!G9)*0.6)</f>
        <v>93.4</v>
      </c>
      <c r="J9" s="22">
        <f>G9+(D9*0.2)+('численность 1'!N9*0.3)+'численность 1'!H9+(('численность 1'!D9-'численность 1'!H9)*0.6)</f>
        <v>86</v>
      </c>
      <c r="K9" s="21">
        <v>1032</v>
      </c>
      <c r="L9" s="21">
        <v>412</v>
      </c>
      <c r="M9" s="134"/>
      <c r="N9" s="151"/>
    </row>
    <row r="10" spans="1:14" ht="18">
      <c r="A10" s="9">
        <v>5</v>
      </c>
      <c r="B10" s="31" t="s">
        <v>82</v>
      </c>
      <c r="C10" s="121"/>
      <c r="D10" s="121"/>
      <c r="E10" s="121"/>
      <c r="F10" s="121">
        <v>39</v>
      </c>
      <c r="G10" s="121">
        <v>34</v>
      </c>
      <c r="H10" s="26">
        <f t="shared" si="0"/>
        <v>87.17948717948718</v>
      </c>
      <c r="I10" s="22">
        <f>F10+(C10*0.2)+('численность 1'!M10*0.3)+'численность 1'!G10+(('численность 1'!C10-'численность 1'!G10)*0.6)</f>
        <v>842</v>
      </c>
      <c r="J10" s="22">
        <f>G10+(D10*0.2)+('численность 1'!N10*0.3)+'численность 1'!H10+(('численность 1'!D10-'численность 1'!H10)*0.6)</f>
        <v>809.9</v>
      </c>
      <c r="K10" s="121">
        <v>6265</v>
      </c>
      <c r="L10" s="121">
        <v>3515</v>
      </c>
      <c r="M10" s="134"/>
      <c r="N10" s="151"/>
    </row>
    <row r="11" spans="1:14" ht="18">
      <c r="A11" s="9">
        <v>6</v>
      </c>
      <c r="B11" s="31" t="s">
        <v>83</v>
      </c>
      <c r="C11" s="121">
        <v>154</v>
      </c>
      <c r="D11" s="23">
        <v>142</v>
      </c>
      <c r="E11" s="26">
        <f>D11*100/C11</f>
        <v>92.20779220779221</v>
      </c>
      <c r="F11" s="121">
        <v>63</v>
      </c>
      <c r="G11" s="121">
        <v>48</v>
      </c>
      <c r="H11" s="26">
        <f t="shared" si="0"/>
        <v>76.19047619047619</v>
      </c>
      <c r="I11" s="22">
        <f>F11+(C11*0.2)+('численность 1'!M11*0.3)+'численность 1'!G11+(('численность 1'!C11-'численность 1'!G11)*0.6)</f>
        <v>763.8</v>
      </c>
      <c r="J11" s="22">
        <f>G11+(C11*0.2)+('численность 1'!N11*0.3)+'численность 1'!H11+(('численность 1'!D11-'численность 1'!H11)*0.6)</f>
        <v>574.2</v>
      </c>
      <c r="K11" s="21">
        <v>8307</v>
      </c>
      <c r="L11" s="21">
        <v>1750</v>
      </c>
      <c r="M11" s="134"/>
      <c r="N11" s="151"/>
    </row>
    <row r="12" spans="1:14" ht="18">
      <c r="A12" s="9">
        <v>7</v>
      </c>
      <c r="B12" s="31" t="s">
        <v>115</v>
      </c>
      <c r="C12" s="25"/>
      <c r="D12" s="25"/>
      <c r="E12" s="26"/>
      <c r="F12" s="121">
        <v>16</v>
      </c>
      <c r="G12" s="121">
        <v>15</v>
      </c>
      <c r="H12" s="26">
        <f t="shared" si="0"/>
        <v>93.75</v>
      </c>
      <c r="I12" s="22">
        <f>F12+(C12*0.2)+('численность 1'!M12*0.3)+'численность 1'!G12+(('численность 1'!C12-'численность 1'!G12)*0.6)</f>
        <v>269.6</v>
      </c>
      <c r="J12" s="22">
        <f>G12+(D12*0.2)+('численность 1'!N12*0.3)+'численность 1'!H12+(('численность 1'!D12-'численность 1'!H12)*0.6)</f>
        <v>241</v>
      </c>
      <c r="K12" s="25">
        <v>2980</v>
      </c>
      <c r="L12" s="25">
        <v>180</v>
      </c>
      <c r="M12" s="134"/>
      <c r="N12" s="151"/>
    </row>
    <row r="13" spans="1:14" ht="18">
      <c r="A13" s="9">
        <v>8</v>
      </c>
      <c r="B13" s="31" t="s">
        <v>84</v>
      </c>
      <c r="C13" s="25"/>
      <c r="D13" s="25"/>
      <c r="E13" s="26"/>
      <c r="F13" s="129">
        <v>4</v>
      </c>
      <c r="G13" s="129">
        <v>4</v>
      </c>
      <c r="H13" s="26">
        <f t="shared" si="0"/>
        <v>100</v>
      </c>
      <c r="I13" s="22">
        <f>F13+(C13*0.2)+('численность 1'!M13*0.3)+'численность 1'!G13+(('численность 1'!C13-'численность 1'!G13)*0.6)</f>
        <v>136</v>
      </c>
      <c r="J13" s="22">
        <f>G13+(D13*0.2)+('численность 1'!N13*0.3)+'численность 1'!H13+(('численность 1'!D13-'численность 1'!H13)*0.6)</f>
        <v>109.4</v>
      </c>
      <c r="K13" s="25">
        <v>838</v>
      </c>
      <c r="L13" s="25">
        <v>600</v>
      </c>
      <c r="M13" s="134"/>
      <c r="N13" s="151"/>
    </row>
    <row r="14" spans="1:14" ht="18">
      <c r="A14" s="9">
        <v>9</v>
      </c>
      <c r="B14" s="31" t="s">
        <v>116</v>
      </c>
      <c r="C14" s="25"/>
      <c r="D14" s="25">
        <v>82</v>
      </c>
      <c r="E14" s="26"/>
      <c r="F14" s="121">
        <v>5</v>
      </c>
      <c r="G14" s="121">
        <v>4</v>
      </c>
      <c r="H14" s="26">
        <f t="shared" si="0"/>
        <v>80</v>
      </c>
      <c r="I14" s="22">
        <f>F14+(C14*0.2)+('численность 1'!M14*0.3)+'численность 1'!G14+(('численность 1'!C14-'численность 1'!G14)*0.6)</f>
        <v>115.4</v>
      </c>
      <c r="J14" s="22">
        <f>G14+(D14*0.2)+('численность 1'!N14*0.3)+'численность 1'!H14+(('численность 1'!D14-'численность 1'!H14)*0.6)</f>
        <v>161.4</v>
      </c>
      <c r="K14" s="25">
        <v>2020</v>
      </c>
      <c r="L14" s="25">
        <v>420</v>
      </c>
      <c r="M14" s="134"/>
      <c r="N14" s="151"/>
    </row>
    <row r="15" spans="1:14" ht="18">
      <c r="A15" s="9">
        <v>10</v>
      </c>
      <c r="B15" s="49" t="s">
        <v>85</v>
      </c>
      <c r="C15" s="25"/>
      <c r="D15" s="25"/>
      <c r="E15" s="26"/>
      <c r="F15" s="121">
        <v>14</v>
      </c>
      <c r="G15" s="121">
        <v>15</v>
      </c>
      <c r="H15" s="26">
        <f t="shared" si="0"/>
        <v>107.14285714285714</v>
      </c>
      <c r="I15" s="22">
        <f>F15+(C15*0.2)+('численность 1'!M15*0.3)+'численность 1'!G15+(('численность 1'!C15-'численность 1'!G15)*0.6)</f>
        <v>214.8</v>
      </c>
      <c r="J15" s="22">
        <f>G15+(D15*0.2)+('численность 1'!N15*0.3)+'численность 1'!H15+(('численность 1'!D15-'численность 1'!H15)*0.6)</f>
        <v>181</v>
      </c>
      <c r="K15" s="25">
        <v>1870</v>
      </c>
      <c r="L15" s="25">
        <v>892</v>
      </c>
      <c r="M15" s="134"/>
      <c r="N15" s="151"/>
    </row>
    <row r="16" spans="1:14" ht="18">
      <c r="A16" s="9">
        <v>11</v>
      </c>
      <c r="B16" s="49" t="s">
        <v>86</v>
      </c>
      <c r="C16" s="25"/>
      <c r="D16" s="25"/>
      <c r="E16" s="26"/>
      <c r="F16" s="121">
        <v>3</v>
      </c>
      <c r="G16" s="121">
        <v>3</v>
      </c>
      <c r="H16" s="26">
        <f t="shared" si="0"/>
        <v>100</v>
      </c>
      <c r="I16" s="22">
        <f>F16+(C16*0.2)+('численность 1'!M16*0.3)+'численность 1'!G16+(('численность 1'!C16-'численность 1'!G16)*0.6)</f>
        <v>73.2</v>
      </c>
      <c r="J16" s="22">
        <f>G16+(D16*0.2)+('численность 1'!N16*0.3)+'численность 1'!H16+(('численность 1'!D16-'численность 1'!H16)*0.6)</f>
        <v>69.6</v>
      </c>
      <c r="K16" s="25">
        <v>1840</v>
      </c>
      <c r="L16" s="25">
        <v>280</v>
      </c>
      <c r="M16" s="134"/>
      <c r="N16" s="151"/>
    </row>
    <row r="17" spans="1:14" ht="18">
      <c r="A17" s="9">
        <v>12</v>
      </c>
      <c r="B17" s="49" t="s">
        <v>87</v>
      </c>
      <c r="C17" s="25"/>
      <c r="D17" s="25"/>
      <c r="E17" s="26"/>
      <c r="F17" s="121">
        <v>1</v>
      </c>
      <c r="G17" s="121">
        <v>1</v>
      </c>
      <c r="H17" s="26">
        <f t="shared" si="0"/>
        <v>100</v>
      </c>
      <c r="I17" s="22">
        <f>F17+(C17*0.2)+('численность 1'!M17*0.3)+'численность 1'!G17+(('численность 1'!C17-'численность 1'!G17)*0.6)</f>
        <v>2066.7999999999997</v>
      </c>
      <c r="J17" s="22">
        <f>G17+(D17*0.2)+('численность 1'!N17*0.3)+'численность 1'!H17+(('численность 1'!D17-'численность 1'!H17)*0.6)</f>
        <v>2406.1</v>
      </c>
      <c r="K17" s="25">
        <v>15882</v>
      </c>
      <c r="L17" s="25">
        <v>15882</v>
      </c>
      <c r="M17" s="134"/>
      <c r="N17" s="151"/>
    </row>
    <row r="18" spans="1:14" ht="18">
      <c r="A18" s="9">
        <v>13</v>
      </c>
      <c r="B18" s="42" t="s">
        <v>113</v>
      </c>
      <c r="C18" s="25"/>
      <c r="D18" s="25"/>
      <c r="E18" s="26"/>
      <c r="F18" s="121"/>
      <c r="G18" s="121">
        <v>40</v>
      </c>
      <c r="H18" s="26"/>
      <c r="I18" s="22"/>
      <c r="J18" s="22">
        <v>40</v>
      </c>
      <c r="K18" s="25">
        <v>4387</v>
      </c>
      <c r="L18" s="25">
        <v>296</v>
      </c>
      <c r="M18" s="134"/>
      <c r="N18" s="151"/>
    </row>
    <row r="19" spans="1:14" ht="18">
      <c r="A19" s="206" t="s">
        <v>13</v>
      </c>
      <c r="B19" s="205"/>
      <c r="C19" s="21">
        <f>SUM(C7:C17)</f>
        <v>154</v>
      </c>
      <c r="D19" s="21">
        <f>SUM(D7:D17)</f>
        <v>224</v>
      </c>
      <c r="E19" s="22">
        <f>D19/C19*100</f>
        <v>145.45454545454547</v>
      </c>
      <c r="F19" s="21">
        <f>SUM(F6:F18)</f>
        <v>202</v>
      </c>
      <c r="G19" s="21">
        <f>SUM(G6:G18)</f>
        <v>199</v>
      </c>
      <c r="H19" s="26">
        <f>G19*100/F19</f>
        <v>98.51485148514851</v>
      </c>
      <c r="I19" s="22">
        <f>SUM(I7:I17)</f>
        <v>5166</v>
      </c>
      <c r="J19" s="22">
        <f>G19+(D19*0.2)+('численность 1'!N18*0.3)+'численность 1'!H18+(('численность 1'!D18-'численность 1'!H18)*0.6)</f>
        <v>5123.8</v>
      </c>
      <c r="K19" s="21">
        <f>SUM(K7:K17)</f>
        <v>47411</v>
      </c>
      <c r="L19" s="21">
        <f>SUM(L7:L17)</f>
        <v>25951</v>
      </c>
      <c r="M19" s="134"/>
      <c r="N19" s="151"/>
    </row>
  </sheetData>
  <mergeCells count="7">
    <mergeCell ref="A19:B19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view="pageBreakPreview" zoomScale="50" zoomScaleNormal="50" zoomScaleSheetLayoutView="50" workbookViewId="0" topLeftCell="A1">
      <selection activeCell="B16" sqref="B16"/>
    </sheetView>
  </sheetViews>
  <sheetFormatPr defaultColWidth="9.00390625" defaultRowHeight="12.75"/>
  <cols>
    <col min="1" max="1" width="5.25390625" style="0" customWidth="1"/>
    <col min="2" max="2" width="40.625" style="0" customWidth="1"/>
    <col min="3" max="3" width="13.00390625" style="0" customWidth="1"/>
    <col min="4" max="4" width="11.75390625" style="0" customWidth="1"/>
    <col min="5" max="5" width="14.625" style="0" customWidth="1"/>
    <col min="6" max="6" width="13.375" style="0" customWidth="1"/>
    <col min="7" max="7" width="12.00390625" style="0" customWidth="1"/>
    <col min="8" max="8" width="10.75390625" style="0" customWidth="1"/>
    <col min="9" max="9" width="12.375" style="0" customWidth="1"/>
    <col min="10" max="10" width="8.75390625" style="0" customWidth="1"/>
    <col min="11" max="11" width="8.125" style="0" customWidth="1"/>
    <col min="12" max="12" width="12.375" style="0" customWidth="1"/>
    <col min="13" max="13" width="12.75390625" style="0" customWidth="1"/>
    <col min="14" max="14" width="12.25390625" style="0" customWidth="1"/>
    <col min="15" max="15" width="11.75390625" style="0" customWidth="1"/>
    <col min="16" max="16" width="10.00390625" style="0" customWidth="1"/>
    <col min="17" max="17" width="9.25390625" style="0" customWidth="1"/>
    <col min="18" max="18" width="12.75390625" style="0" customWidth="1"/>
    <col min="19" max="19" width="14.75390625" style="0" customWidth="1"/>
    <col min="20" max="20" width="13.25390625" style="0" customWidth="1"/>
    <col min="21" max="21" width="11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67" t="s">
        <v>104</v>
      </c>
      <c r="F1" s="67"/>
      <c r="G1" s="67"/>
      <c r="H1" s="65"/>
      <c r="I1" s="65"/>
      <c r="J1" s="65"/>
      <c r="K1" s="65"/>
      <c r="L1" s="65"/>
      <c r="M1" s="65"/>
      <c r="N1" s="65"/>
      <c r="O1" s="65"/>
      <c r="P1" s="23"/>
      <c r="Q1" s="54"/>
      <c r="R1" s="1"/>
    </row>
    <row r="2" spans="5:17" ht="20.25">
      <c r="E2" s="65"/>
      <c r="F2" s="65"/>
      <c r="G2" s="65"/>
      <c r="H2" s="68" t="s">
        <v>67</v>
      </c>
      <c r="I2" s="68"/>
      <c r="J2" s="68"/>
      <c r="K2" s="68"/>
      <c r="L2" s="68"/>
      <c r="M2" s="68"/>
      <c r="N2" s="65"/>
      <c r="O2" s="65"/>
      <c r="P2" s="23"/>
      <c r="Q2" s="23"/>
    </row>
    <row r="3" spans="1:21" ht="62.25" customHeight="1">
      <c r="A3" s="57" t="s">
        <v>2</v>
      </c>
      <c r="B3" s="66" t="s">
        <v>3</v>
      </c>
      <c r="C3" s="58" t="s">
        <v>69</v>
      </c>
      <c r="D3" s="59"/>
      <c r="E3" s="60"/>
      <c r="F3" s="86" t="s">
        <v>4</v>
      </c>
      <c r="G3" s="58" t="s">
        <v>10</v>
      </c>
      <c r="H3" s="59"/>
      <c r="I3" s="60"/>
      <c r="J3" s="189" t="s">
        <v>97</v>
      </c>
      <c r="K3" s="190"/>
      <c r="L3" s="191"/>
      <c r="M3" s="59"/>
      <c r="N3" s="59" t="s">
        <v>11</v>
      </c>
      <c r="O3" s="59"/>
      <c r="P3" s="118"/>
      <c r="Q3" s="118"/>
      <c r="R3" s="59"/>
      <c r="S3" s="118"/>
      <c r="T3" s="118"/>
      <c r="U3" s="145"/>
    </row>
    <row r="4" spans="1:21" ht="23.25" customHeight="1">
      <c r="A4" s="61"/>
      <c r="B4" s="61"/>
      <c r="C4" s="86">
        <v>2009</v>
      </c>
      <c r="D4" s="81">
        <v>2010</v>
      </c>
      <c r="E4" s="87" t="s">
        <v>6</v>
      </c>
      <c r="F4" s="87" t="s">
        <v>5</v>
      </c>
      <c r="G4" s="86">
        <v>2009</v>
      </c>
      <c r="H4" s="81">
        <v>2010</v>
      </c>
      <c r="I4" s="87" t="s">
        <v>6</v>
      </c>
      <c r="J4" s="192">
        <v>2009</v>
      </c>
      <c r="K4" s="192">
        <v>2010</v>
      </c>
      <c r="L4" s="193" t="s">
        <v>98</v>
      </c>
      <c r="M4" s="86">
        <v>2009</v>
      </c>
      <c r="N4" s="81">
        <v>2010</v>
      </c>
      <c r="O4" s="147" t="s">
        <v>6</v>
      </c>
      <c r="P4" s="148" t="s">
        <v>7</v>
      </c>
      <c r="Q4" s="150" t="s">
        <v>90</v>
      </c>
      <c r="R4" s="88" t="s">
        <v>6</v>
      </c>
      <c r="S4" s="148" t="s">
        <v>63</v>
      </c>
      <c r="T4" s="149"/>
      <c r="U4" s="81" t="s">
        <v>6</v>
      </c>
    </row>
    <row r="5" spans="1:21" ht="23.25" customHeight="1">
      <c r="A5" s="62"/>
      <c r="B5" s="62"/>
      <c r="C5" s="94"/>
      <c r="D5" s="94"/>
      <c r="E5" s="92">
        <v>2009</v>
      </c>
      <c r="F5" s="94"/>
      <c r="G5" s="90"/>
      <c r="H5" s="95"/>
      <c r="I5" s="92">
        <v>2009</v>
      </c>
      <c r="J5" s="180"/>
      <c r="K5" s="180"/>
      <c r="L5" s="194"/>
      <c r="M5" s="90"/>
      <c r="N5" s="90"/>
      <c r="O5" s="91">
        <v>2009</v>
      </c>
      <c r="P5" s="21">
        <v>2009</v>
      </c>
      <c r="Q5" s="21">
        <v>2010</v>
      </c>
      <c r="R5" s="91">
        <v>2009</v>
      </c>
      <c r="S5" s="21">
        <v>2009</v>
      </c>
      <c r="T5" s="21">
        <v>2010</v>
      </c>
      <c r="U5" s="92">
        <v>2009</v>
      </c>
    </row>
    <row r="6" spans="1:21" ht="24.75" customHeight="1">
      <c r="A6" s="63">
        <v>1</v>
      </c>
      <c r="B6" s="64" t="s">
        <v>78</v>
      </c>
      <c r="C6" s="121">
        <v>93</v>
      </c>
      <c r="D6" s="121"/>
      <c r="E6" s="123"/>
      <c r="F6" s="97"/>
      <c r="G6" s="121">
        <v>20</v>
      </c>
      <c r="H6" s="121"/>
      <c r="I6" s="123"/>
      <c r="J6" s="121">
        <v>20</v>
      </c>
      <c r="K6" s="121"/>
      <c r="L6" s="123"/>
      <c r="M6" s="97"/>
      <c r="N6" s="97"/>
      <c r="O6" s="123"/>
      <c r="P6" s="124"/>
      <c r="Q6" s="124"/>
      <c r="R6" s="123"/>
      <c r="S6" s="124"/>
      <c r="T6" s="124"/>
      <c r="U6" s="146"/>
    </row>
    <row r="7" spans="1:34" ht="24.75" customHeight="1">
      <c r="A7" s="63">
        <v>2</v>
      </c>
      <c r="B7" s="64" t="s">
        <v>79</v>
      </c>
      <c r="C7" s="121">
        <v>493</v>
      </c>
      <c r="D7" s="121">
        <v>309</v>
      </c>
      <c r="E7" s="123">
        <f aca="true" t="shared" si="0" ref="E7:E16">D7*100/C7</f>
        <v>62.67748478701826</v>
      </c>
      <c r="F7" s="97">
        <v>18</v>
      </c>
      <c r="G7" s="121">
        <v>200</v>
      </c>
      <c r="H7" s="121">
        <v>180</v>
      </c>
      <c r="I7" s="123">
        <f aca="true" t="shared" si="1" ref="I7:I16">H7*100/G7</f>
        <v>90</v>
      </c>
      <c r="J7" s="121">
        <v>200</v>
      </c>
      <c r="K7" s="121">
        <v>180</v>
      </c>
      <c r="L7" s="123">
        <f aca="true" t="shared" si="2" ref="L7:L18">K7*100/J7</f>
        <v>90</v>
      </c>
      <c r="M7" s="97"/>
      <c r="N7" s="97"/>
      <c r="O7" s="123"/>
      <c r="P7" s="123"/>
      <c r="Q7" s="97"/>
      <c r="R7" s="123"/>
      <c r="S7" s="123"/>
      <c r="T7" s="123"/>
      <c r="U7" s="123"/>
      <c r="W7" s="23"/>
      <c r="AH7" s="8"/>
    </row>
    <row r="8" spans="1:34" ht="24.75" customHeight="1">
      <c r="A8" s="63">
        <v>3</v>
      </c>
      <c r="B8" s="64" t="s">
        <v>80</v>
      </c>
      <c r="C8" s="121">
        <v>207</v>
      </c>
      <c r="D8" s="121">
        <v>192</v>
      </c>
      <c r="E8" s="123">
        <f t="shared" si="0"/>
        <v>92.7536231884058</v>
      </c>
      <c r="F8" s="97">
        <v>9</v>
      </c>
      <c r="G8" s="121">
        <v>105</v>
      </c>
      <c r="H8" s="121">
        <v>105</v>
      </c>
      <c r="I8" s="123">
        <f t="shared" si="1"/>
        <v>100</v>
      </c>
      <c r="J8" s="121">
        <v>105</v>
      </c>
      <c r="K8" s="121">
        <v>105</v>
      </c>
      <c r="L8" s="123">
        <f t="shared" si="2"/>
        <v>100</v>
      </c>
      <c r="M8" s="97"/>
      <c r="N8" s="97"/>
      <c r="O8" s="123"/>
      <c r="P8" s="123"/>
      <c r="Q8" s="97"/>
      <c r="R8" s="123"/>
      <c r="S8" s="123"/>
      <c r="T8" s="123"/>
      <c r="U8" s="123"/>
      <c r="AH8" s="8"/>
    </row>
    <row r="9" spans="1:34" ht="24.75" customHeight="1">
      <c r="A9" s="63">
        <v>4</v>
      </c>
      <c r="B9" s="64" t="s">
        <v>81</v>
      </c>
      <c r="C9" s="121">
        <v>108</v>
      </c>
      <c r="D9" s="121">
        <v>104</v>
      </c>
      <c r="E9" s="123">
        <f t="shared" si="0"/>
        <v>96.29629629629629</v>
      </c>
      <c r="F9" s="97">
        <v>2</v>
      </c>
      <c r="G9" s="121">
        <v>54</v>
      </c>
      <c r="H9" s="121">
        <v>54</v>
      </c>
      <c r="I9" s="123">
        <f t="shared" si="1"/>
        <v>100</v>
      </c>
      <c r="J9" s="121">
        <v>54</v>
      </c>
      <c r="K9" s="121">
        <v>54</v>
      </c>
      <c r="L9" s="123">
        <f t="shared" si="2"/>
        <v>100</v>
      </c>
      <c r="M9" s="97"/>
      <c r="N9" s="97"/>
      <c r="O9" s="123"/>
      <c r="P9" s="123"/>
      <c r="Q9" s="97"/>
      <c r="R9" s="123"/>
      <c r="S9" s="123"/>
      <c r="T9" s="123"/>
      <c r="U9" s="123"/>
      <c r="W9" s="65"/>
      <c r="AH9" s="8"/>
    </row>
    <row r="10" spans="1:34" ht="24.75" customHeight="1">
      <c r="A10" s="63">
        <v>5</v>
      </c>
      <c r="B10" s="64" t="s">
        <v>82</v>
      </c>
      <c r="C10" s="121">
        <v>898</v>
      </c>
      <c r="D10" s="121">
        <v>881</v>
      </c>
      <c r="E10" s="123">
        <f t="shared" si="0"/>
        <v>98.10690423162583</v>
      </c>
      <c r="F10" s="97">
        <v>26</v>
      </c>
      <c r="G10" s="121">
        <v>308</v>
      </c>
      <c r="H10" s="121">
        <v>304</v>
      </c>
      <c r="I10" s="123">
        <f t="shared" si="1"/>
        <v>98.7012987012987</v>
      </c>
      <c r="J10" s="121">
        <v>308</v>
      </c>
      <c r="K10" s="121">
        <v>304</v>
      </c>
      <c r="L10" s="123">
        <f t="shared" si="2"/>
        <v>98.7012987012987</v>
      </c>
      <c r="M10" s="121">
        <v>470</v>
      </c>
      <c r="N10" s="121">
        <v>419</v>
      </c>
      <c r="O10" s="123">
        <f>N10*100/M10</f>
        <v>89.14893617021276</v>
      </c>
      <c r="P10" s="121">
        <v>19</v>
      </c>
      <c r="Q10" s="121">
        <v>27</v>
      </c>
      <c r="R10" s="123">
        <f>Q10*100/P10</f>
        <v>142.10526315789474</v>
      </c>
      <c r="S10" s="121">
        <v>15</v>
      </c>
      <c r="T10" s="121">
        <v>30</v>
      </c>
      <c r="U10" s="123">
        <f>T10*100/S10</f>
        <v>200</v>
      </c>
      <c r="AH10" s="8"/>
    </row>
    <row r="11" spans="1:34" ht="24.75" customHeight="1">
      <c r="A11" s="63">
        <v>6</v>
      </c>
      <c r="B11" s="64" t="s">
        <v>83</v>
      </c>
      <c r="C11" s="121">
        <v>608</v>
      </c>
      <c r="D11" s="121">
        <v>502</v>
      </c>
      <c r="E11" s="123">
        <f t="shared" si="0"/>
        <v>82.5657894736842</v>
      </c>
      <c r="F11" s="98">
        <v>3</v>
      </c>
      <c r="G11" s="121">
        <v>280</v>
      </c>
      <c r="H11" s="121">
        <v>250</v>
      </c>
      <c r="I11" s="123">
        <f t="shared" si="1"/>
        <v>89.28571428571429</v>
      </c>
      <c r="J11" s="121">
        <v>280</v>
      </c>
      <c r="K11" s="121">
        <v>250</v>
      </c>
      <c r="L11" s="123">
        <f t="shared" si="2"/>
        <v>89.28571428571429</v>
      </c>
      <c r="M11" s="121">
        <v>644</v>
      </c>
      <c r="N11" s="121">
        <v>314</v>
      </c>
      <c r="O11" s="123">
        <f>N11*100/M11</f>
        <v>48.75776397515528</v>
      </c>
      <c r="P11" s="121">
        <v>80</v>
      </c>
      <c r="Q11" s="121">
        <v>80</v>
      </c>
      <c r="R11" s="123">
        <f>Q11*100/P11</f>
        <v>100</v>
      </c>
      <c r="S11" s="121">
        <v>25</v>
      </c>
      <c r="T11" s="121">
        <v>45</v>
      </c>
      <c r="U11" s="123">
        <f>T11*100/S11</f>
        <v>180</v>
      </c>
      <c r="AH11" s="8"/>
    </row>
    <row r="12" spans="1:34" ht="24.75" customHeight="1">
      <c r="A12" s="63">
        <v>7</v>
      </c>
      <c r="B12" s="64" t="s">
        <v>115</v>
      </c>
      <c r="C12" s="121">
        <v>366</v>
      </c>
      <c r="D12" s="121">
        <v>320</v>
      </c>
      <c r="E12" s="123">
        <f t="shared" si="0"/>
        <v>87.43169398907104</v>
      </c>
      <c r="F12" s="98">
        <v>5</v>
      </c>
      <c r="G12" s="121">
        <v>85</v>
      </c>
      <c r="H12" s="121">
        <v>85</v>
      </c>
      <c r="I12" s="123">
        <f t="shared" si="1"/>
        <v>100</v>
      </c>
      <c r="J12" s="121">
        <v>85</v>
      </c>
      <c r="K12" s="121">
        <v>85</v>
      </c>
      <c r="L12" s="123">
        <f t="shared" si="2"/>
        <v>100</v>
      </c>
      <c r="M12" s="121"/>
      <c r="N12" s="121"/>
      <c r="O12" s="123"/>
      <c r="P12" s="121"/>
      <c r="Q12" s="121"/>
      <c r="R12" s="123"/>
      <c r="S12" s="121"/>
      <c r="T12" s="121"/>
      <c r="U12" s="123"/>
      <c r="AH12" s="8"/>
    </row>
    <row r="13" spans="1:34" ht="24.75" customHeight="1">
      <c r="A13" s="63">
        <v>8</v>
      </c>
      <c r="B13" s="64" t="s">
        <v>84</v>
      </c>
      <c r="C13" s="121">
        <v>142</v>
      </c>
      <c r="D13" s="121">
        <v>141</v>
      </c>
      <c r="E13" s="123">
        <f t="shared" si="0"/>
        <v>99.29577464788733</v>
      </c>
      <c r="F13" s="97">
        <v>7</v>
      </c>
      <c r="G13" s="121">
        <v>69</v>
      </c>
      <c r="H13" s="121">
        <v>52</v>
      </c>
      <c r="I13" s="123">
        <f t="shared" si="1"/>
        <v>75.3623188405797</v>
      </c>
      <c r="J13" s="121">
        <v>69</v>
      </c>
      <c r="K13" s="121">
        <v>52</v>
      </c>
      <c r="L13" s="123">
        <f t="shared" si="2"/>
        <v>75.3623188405797</v>
      </c>
      <c r="M13" s="121">
        <v>64</v>
      </c>
      <c r="N13" s="121"/>
      <c r="O13" s="123"/>
      <c r="P13" s="121">
        <v>14</v>
      </c>
      <c r="Q13" s="121"/>
      <c r="R13" s="123"/>
      <c r="S13" s="121"/>
      <c r="T13" s="121"/>
      <c r="U13" s="123"/>
      <c r="AH13" s="8"/>
    </row>
    <row r="14" spans="1:34" ht="24.75" customHeight="1">
      <c r="A14" s="63">
        <v>9</v>
      </c>
      <c r="B14" s="64" t="s">
        <v>116</v>
      </c>
      <c r="C14" s="121">
        <v>152</v>
      </c>
      <c r="D14" s="121">
        <v>195</v>
      </c>
      <c r="E14" s="123">
        <f t="shared" si="0"/>
        <v>128.28947368421052</v>
      </c>
      <c r="F14" s="97">
        <v>27</v>
      </c>
      <c r="G14" s="121">
        <v>48</v>
      </c>
      <c r="H14" s="121">
        <v>60</v>
      </c>
      <c r="I14" s="123">
        <f t="shared" si="1"/>
        <v>125</v>
      </c>
      <c r="J14" s="121">
        <v>48</v>
      </c>
      <c r="K14" s="121">
        <v>60</v>
      </c>
      <c r="L14" s="123">
        <f t="shared" si="2"/>
        <v>125</v>
      </c>
      <c r="M14" s="121"/>
      <c r="N14" s="121"/>
      <c r="O14" s="123"/>
      <c r="P14" s="121"/>
      <c r="Q14" s="121"/>
      <c r="R14" s="123"/>
      <c r="S14" s="121"/>
      <c r="T14" s="121"/>
      <c r="U14" s="123"/>
      <c r="AH14" s="8"/>
    </row>
    <row r="15" spans="1:34" ht="24.75" customHeight="1">
      <c r="A15" s="63">
        <v>10</v>
      </c>
      <c r="B15" s="64" t="s">
        <v>85</v>
      </c>
      <c r="C15" s="121">
        <v>268</v>
      </c>
      <c r="D15" s="121">
        <v>210</v>
      </c>
      <c r="E15" s="123">
        <f t="shared" si="0"/>
        <v>78.35820895522389</v>
      </c>
      <c r="F15" s="97">
        <v>14</v>
      </c>
      <c r="G15" s="121">
        <v>100</v>
      </c>
      <c r="H15" s="121">
        <v>100</v>
      </c>
      <c r="I15" s="123">
        <f t="shared" si="1"/>
        <v>100</v>
      </c>
      <c r="J15" s="121">
        <v>100</v>
      </c>
      <c r="K15" s="121">
        <v>100</v>
      </c>
      <c r="L15" s="123">
        <f t="shared" si="2"/>
        <v>100</v>
      </c>
      <c r="M15" s="121"/>
      <c r="N15" s="121"/>
      <c r="O15" s="123"/>
      <c r="P15" s="121"/>
      <c r="Q15" s="121"/>
      <c r="R15" s="123"/>
      <c r="S15" s="121"/>
      <c r="T15" s="121"/>
      <c r="U15" s="123"/>
      <c r="AH15" s="8"/>
    </row>
    <row r="16" spans="1:34" ht="24.75" customHeight="1">
      <c r="A16" s="63">
        <v>11</v>
      </c>
      <c r="B16" s="64" t="s">
        <v>86</v>
      </c>
      <c r="C16" s="121">
        <v>89</v>
      </c>
      <c r="D16" s="121">
        <v>83</v>
      </c>
      <c r="E16" s="123">
        <f t="shared" si="0"/>
        <v>93.25842696629213</v>
      </c>
      <c r="F16" s="97"/>
      <c r="G16" s="121">
        <v>42</v>
      </c>
      <c r="H16" s="121">
        <v>42</v>
      </c>
      <c r="I16" s="123">
        <f t="shared" si="1"/>
        <v>100</v>
      </c>
      <c r="J16" s="121">
        <v>42</v>
      </c>
      <c r="K16" s="121">
        <v>42</v>
      </c>
      <c r="L16" s="123">
        <f t="shared" si="2"/>
        <v>100</v>
      </c>
      <c r="M16" s="121"/>
      <c r="N16" s="121"/>
      <c r="O16" s="123"/>
      <c r="P16" s="121"/>
      <c r="Q16" s="121"/>
      <c r="R16" s="123"/>
      <c r="S16" s="121"/>
      <c r="T16" s="121"/>
      <c r="U16" s="123"/>
      <c r="AH16" s="8"/>
    </row>
    <row r="17" spans="1:34" ht="24.75" customHeight="1">
      <c r="A17" s="63">
        <v>12</v>
      </c>
      <c r="B17" s="64" t="s">
        <v>87</v>
      </c>
      <c r="C17" s="121"/>
      <c r="D17" s="121"/>
      <c r="E17" s="123"/>
      <c r="F17" s="97"/>
      <c r="G17" s="97"/>
      <c r="H17" s="97"/>
      <c r="I17" s="123"/>
      <c r="J17" s="97"/>
      <c r="K17" s="97"/>
      <c r="L17" s="123"/>
      <c r="M17" s="121">
        <v>6886</v>
      </c>
      <c r="N17" s="121">
        <v>8017</v>
      </c>
      <c r="O17" s="123">
        <f>N17*100/M17</f>
        <v>116.42462968341563</v>
      </c>
      <c r="P17" s="121">
        <v>220</v>
      </c>
      <c r="Q17" s="121">
        <v>220</v>
      </c>
      <c r="R17" s="123">
        <f>Q17*100/P17</f>
        <v>100</v>
      </c>
      <c r="S17" s="121">
        <v>256</v>
      </c>
      <c r="T17" s="121">
        <v>440</v>
      </c>
      <c r="U17" s="123">
        <f>T17*100/S17</f>
        <v>171.875</v>
      </c>
      <c r="AH17" s="8"/>
    </row>
    <row r="18" spans="1:21" ht="21.75" customHeight="1">
      <c r="A18" s="207" t="s">
        <v>13</v>
      </c>
      <c r="B18" s="208"/>
      <c r="C18" s="121">
        <f>SUM(C6:C17)</f>
        <v>3424</v>
      </c>
      <c r="D18" s="97">
        <f>SUM(D6:D17)</f>
        <v>2937</v>
      </c>
      <c r="E18" s="123">
        <f>D18*100/C18</f>
        <v>85.77686915887851</v>
      </c>
      <c r="F18" s="97">
        <f>SUM(F6:F17)</f>
        <v>111</v>
      </c>
      <c r="G18" s="121">
        <f>SUM(G6:G17)</f>
        <v>1311</v>
      </c>
      <c r="H18" s="97">
        <f>SUM(H6:H17)</f>
        <v>1232</v>
      </c>
      <c r="I18" s="123">
        <f>H18*100/G18</f>
        <v>93.97406559877956</v>
      </c>
      <c r="J18" s="121">
        <v>1311</v>
      </c>
      <c r="K18" s="97">
        <f>SUM(K6:K17)</f>
        <v>1232</v>
      </c>
      <c r="L18" s="123">
        <f t="shared" si="2"/>
        <v>93.97406559877956</v>
      </c>
      <c r="M18" s="121">
        <f>SUM(M10:M17)</f>
        <v>8064</v>
      </c>
      <c r="N18" s="97">
        <f>SUM(N6:N17)</f>
        <v>8750</v>
      </c>
      <c r="O18" s="123">
        <f>N18*100/M18</f>
        <v>108.50694444444444</v>
      </c>
      <c r="P18" s="97">
        <f>SUM(P6:P17)</f>
        <v>333</v>
      </c>
      <c r="Q18" s="97">
        <f>SUM(Q6:Q17)</f>
        <v>327</v>
      </c>
      <c r="R18" s="123">
        <f>Q18*100/P18</f>
        <v>98.1981981981982</v>
      </c>
      <c r="S18" s="97">
        <f>SUM(S6:S17)</f>
        <v>296</v>
      </c>
      <c r="T18" s="97">
        <f>SUM(T6:T17)</f>
        <v>515</v>
      </c>
      <c r="U18" s="123">
        <f>T18*100/S18</f>
        <v>173.98648648648648</v>
      </c>
    </row>
  </sheetData>
  <mergeCells count="5">
    <mergeCell ref="A18:B18"/>
    <mergeCell ref="J3:L3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34.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29"/>
      <c r="B2" s="29"/>
      <c r="C2" s="1" t="s">
        <v>103</v>
      </c>
      <c r="D2" s="1"/>
      <c r="E2" s="1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44" t="s">
        <v>2</v>
      </c>
      <c r="B3" s="30" t="s">
        <v>3</v>
      </c>
      <c r="C3" s="33" t="s">
        <v>45</v>
      </c>
      <c r="D3" s="34"/>
      <c r="E3" s="37"/>
      <c r="F3" s="69" t="s">
        <v>46</v>
      </c>
      <c r="G3" s="34"/>
      <c r="H3" s="37"/>
      <c r="I3" s="33" t="s">
        <v>47</v>
      </c>
      <c r="J3" s="34"/>
      <c r="K3" s="37"/>
      <c r="L3" s="33" t="s">
        <v>48</v>
      </c>
      <c r="M3" s="34"/>
      <c r="N3" s="37"/>
    </row>
    <row r="4" spans="1:14" ht="15">
      <c r="A4" s="50"/>
      <c r="B4" s="36"/>
      <c r="C4" s="27">
        <v>2009</v>
      </c>
      <c r="D4" s="28">
        <v>2010</v>
      </c>
      <c r="E4" s="17" t="s">
        <v>44</v>
      </c>
      <c r="F4" s="27">
        <v>2009</v>
      </c>
      <c r="G4" s="28">
        <v>2010</v>
      </c>
      <c r="H4" s="30" t="s">
        <v>44</v>
      </c>
      <c r="I4" s="27">
        <v>2009</v>
      </c>
      <c r="J4" s="28">
        <v>2010</v>
      </c>
      <c r="K4" s="30" t="s">
        <v>44</v>
      </c>
      <c r="L4" s="27">
        <v>2009</v>
      </c>
      <c r="M4" s="28">
        <v>2010</v>
      </c>
      <c r="N4" s="17" t="s">
        <v>44</v>
      </c>
    </row>
    <row r="5" spans="1:14" ht="15">
      <c r="A5" s="40"/>
      <c r="B5" s="38"/>
      <c r="C5" s="39"/>
      <c r="D5" s="39"/>
      <c r="E5" s="56" t="s">
        <v>95</v>
      </c>
      <c r="F5" s="39"/>
      <c r="G5" s="39"/>
      <c r="H5" s="56" t="s">
        <v>95</v>
      </c>
      <c r="I5" s="39"/>
      <c r="J5" s="39"/>
      <c r="K5" s="56" t="s">
        <v>95</v>
      </c>
      <c r="L5" s="39"/>
      <c r="M5" s="39"/>
      <c r="N5" s="56" t="s">
        <v>95</v>
      </c>
    </row>
    <row r="6" spans="1:14" ht="16.5" customHeight="1">
      <c r="A6" s="41">
        <v>1</v>
      </c>
      <c r="B6" s="41" t="s">
        <v>78</v>
      </c>
      <c r="C6" s="132">
        <v>6</v>
      </c>
      <c r="D6" s="132"/>
      <c r="E6" s="133">
        <f>D6-C6</f>
        <v>-6</v>
      </c>
      <c r="F6" s="132">
        <v>5</v>
      </c>
      <c r="G6" s="132"/>
      <c r="H6" s="133">
        <f>G6-F6</f>
        <v>-5</v>
      </c>
      <c r="I6" s="132"/>
      <c r="J6" s="132"/>
      <c r="K6" s="132"/>
      <c r="L6" s="132"/>
      <c r="M6" s="132"/>
      <c r="N6" s="132"/>
    </row>
    <row r="7" spans="1:14" ht="16.5" customHeight="1">
      <c r="A7" s="41">
        <v>2</v>
      </c>
      <c r="B7" s="41" t="s">
        <v>79</v>
      </c>
      <c r="C7" s="132">
        <v>31</v>
      </c>
      <c r="D7" s="132">
        <v>32</v>
      </c>
      <c r="E7" s="133">
        <f aca="true" t="shared" si="0" ref="E7:E16">D7-C7</f>
        <v>1</v>
      </c>
      <c r="F7" s="132">
        <v>7</v>
      </c>
      <c r="G7" s="132">
        <v>14</v>
      </c>
      <c r="H7" s="133">
        <f aca="true" t="shared" si="1" ref="H7:H16">G7-F7</f>
        <v>7</v>
      </c>
      <c r="I7" s="132"/>
      <c r="J7" s="132"/>
      <c r="K7" s="132"/>
      <c r="L7" s="132"/>
      <c r="M7" s="132"/>
      <c r="N7" s="132"/>
    </row>
    <row r="8" spans="1:14" ht="16.5" customHeight="1">
      <c r="A8" s="41">
        <v>3</v>
      </c>
      <c r="B8" s="41" t="s">
        <v>80</v>
      </c>
      <c r="C8" s="132">
        <v>20</v>
      </c>
      <c r="D8" s="132">
        <v>23</v>
      </c>
      <c r="E8" s="133">
        <f t="shared" si="0"/>
        <v>3</v>
      </c>
      <c r="F8" s="132">
        <v>1</v>
      </c>
      <c r="G8" s="132"/>
      <c r="H8" s="133">
        <f t="shared" si="1"/>
        <v>-1</v>
      </c>
      <c r="I8" s="132"/>
      <c r="J8" s="132"/>
      <c r="K8" s="132"/>
      <c r="L8" s="132"/>
      <c r="M8" s="132"/>
      <c r="N8" s="132"/>
    </row>
    <row r="9" spans="1:14" ht="16.5" customHeight="1">
      <c r="A9" s="41">
        <v>4</v>
      </c>
      <c r="B9" s="41" t="s">
        <v>81</v>
      </c>
      <c r="C9" s="132">
        <v>8</v>
      </c>
      <c r="D9" s="132">
        <v>12</v>
      </c>
      <c r="E9" s="133">
        <f t="shared" si="0"/>
        <v>4</v>
      </c>
      <c r="F9" s="132"/>
      <c r="G9" s="132">
        <v>2</v>
      </c>
      <c r="H9" s="133">
        <f t="shared" si="1"/>
        <v>2</v>
      </c>
      <c r="I9" s="132"/>
      <c r="J9" s="132"/>
      <c r="K9" s="132"/>
      <c r="L9" s="132"/>
      <c r="M9" s="132"/>
      <c r="N9" s="132"/>
    </row>
    <row r="10" spans="1:14" ht="16.5" customHeight="1">
      <c r="A10" s="41">
        <v>5</v>
      </c>
      <c r="B10" s="31" t="s">
        <v>82</v>
      </c>
      <c r="C10" s="132">
        <v>139</v>
      </c>
      <c r="D10" s="132">
        <v>74</v>
      </c>
      <c r="E10" s="133">
        <f t="shared" si="0"/>
        <v>-65</v>
      </c>
      <c r="F10" s="132">
        <v>10</v>
      </c>
      <c r="G10" s="132"/>
      <c r="H10" s="133">
        <f t="shared" si="1"/>
        <v>-10</v>
      </c>
      <c r="I10" s="132">
        <v>15</v>
      </c>
      <c r="J10" s="132">
        <v>10</v>
      </c>
      <c r="K10" s="132">
        <f aca="true" t="shared" si="2" ref="K10:K18">J10-I10</f>
        <v>-5</v>
      </c>
      <c r="L10" s="132"/>
      <c r="M10" s="132"/>
      <c r="N10" s="132"/>
    </row>
    <row r="11" spans="1:14" ht="16.5" customHeight="1">
      <c r="A11" s="41">
        <v>6</v>
      </c>
      <c r="B11" s="41" t="s">
        <v>83</v>
      </c>
      <c r="C11" s="132">
        <v>46</v>
      </c>
      <c r="D11" s="132">
        <v>86</v>
      </c>
      <c r="E11" s="133">
        <f t="shared" si="0"/>
        <v>40</v>
      </c>
      <c r="F11" s="132"/>
      <c r="G11" s="132"/>
      <c r="H11" s="133">
        <f t="shared" si="1"/>
        <v>0</v>
      </c>
      <c r="I11" s="132">
        <v>42</v>
      </c>
      <c r="J11" s="132">
        <v>35</v>
      </c>
      <c r="K11" s="132">
        <f t="shared" si="2"/>
        <v>-7</v>
      </c>
      <c r="L11" s="132">
        <v>7</v>
      </c>
      <c r="M11" s="132">
        <v>1</v>
      </c>
      <c r="N11" s="132">
        <f>M11-L11</f>
        <v>-6</v>
      </c>
    </row>
    <row r="12" spans="1:14" ht="16.5" customHeight="1">
      <c r="A12" s="41">
        <v>7</v>
      </c>
      <c r="B12" s="41" t="s">
        <v>115</v>
      </c>
      <c r="C12" s="132">
        <v>28</v>
      </c>
      <c r="D12" s="132">
        <v>21</v>
      </c>
      <c r="E12" s="133">
        <f t="shared" si="0"/>
        <v>-7</v>
      </c>
      <c r="F12" s="132">
        <v>7</v>
      </c>
      <c r="G12" s="132">
        <v>4</v>
      </c>
      <c r="H12" s="133">
        <f t="shared" si="1"/>
        <v>-3</v>
      </c>
      <c r="I12" s="132"/>
      <c r="J12" s="132"/>
      <c r="K12" s="132"/>
      <c r="L12" s="132"/>
      <c r="M12" s="132"/>
      <c r="N12" s="132"/>
    </row>
    <row r="13" spans="1:14" ht="16.5" customHeight="1">
      <c r="A13" s="41">
        <v>8</v>
      </c>
      <c r="B13" s="41" t="s">
        <v>84</v>
      </c>
      <c r="C13" s="132">
        <v>6</v>
      </c>
      <c r="D13" s="132">
        <v>10</v>
      </c>
      <c r="E13" s="133">
        <f t="shared" si="0"/>
        <v>4</v>
      </c>
      <c r="F13" s="132"/>
      <c r="G13" s="132"/>
      <c r="H13" s="133">
        <f t="shared" si="1"/>
        <v>0</v>
      </c>
      <c r="I13" s="132"/>
      <c r="J13" s="132"/>
      <c r="K13" s="132"/>
      <c r="L13" s="132"/>
      <c r="M13" s="132"/>
      <c r="N13" s="132"/>
    </row>
    <row r="14" spans="1:14" ht="16.5" customHeight="1">
      <c r="A14" s="41">
        <v>9</v>
      </c>
      <c r="B14" s="41" t="s">
        <v>116</v>
      </c>
      <c r="C14" s="132">
        <v>16</v>
      </c>
      <c r="D14" s="132">
        <v>41</v>
      </c>
      <c r="E14" s="133">
        <f t="shared" si="0"/>
        <v>25</v>
      </c>
      <c r="F14" s="132"/>
      <c r="G14" s="132">
        <v>10</v>
      </c>
      <c r="H14" s="133">
        <f t="shared" si="1"/>
        <v>10</v>
      </c>
      <c r="I14" s="132"/>
      <c r="J14" s="132"/>
      <c r="K14" s="132"/>
      <c r="L14" s="132"/>
      <c r="M14" s="132"/>
      <c r="N14" s="132"/>
    </row>
    <row r="15" spans="1:14" ht="16.5" customHeight="1">
      <c r="A15" s="41">
        <v>10</v>
      </c>
      <c r="B15" s="42" t="s">
        <v>85</v>
      </c>
      <c r="C15" s="132">
        <v>10</v>
      </c>
      <c r="D15" s="132">
        <v>9</v>
      </c>
      <c r="E15" s="133">
        <f t="shared" si="0"/>
        <v>-1</v>
      </c>
      <c r="F15" s="132"/>
      <c r="G15" s="132">
        <v>5</v>
      </c>
      <c r="H15" s="133">
        <f t="shared" si="1"/>
        <v>5</v>
      </c>
      <c r="I15" s="132"/>
      <c r="J15" s="132"/>
      <c r="K15" s="132"/>
      <c r="L15" s="132"/>
      <c r="M15" s="132"/>
      <c r="N15" s="132"/>
    </row>
    <row r="16" spans="1:14" ht="16.5" customHeight="1">
      <c r="A16" s="41">
        <v>11</v>
      </c>
      <c r="B16" s="42" t="s">
        <v>86</v>
      </c>
      <c r="C16" s="132">
        <v>12</v>
      </c>
      <c r="D16" s="132">
        <v>20</v>
      </c>
      <c r="E16" s="133">
        <f t="shared" si="0"/>
        <v>8</v>
      </c>
      <c r="F16" s="132"/>
      <c r="G16" s="132"/>
      <c r="H16" s="133">
        <f t="shared" si="1"/>
        <v>0</v>
      </c>
      <c r="I16" s="132"/>
      <c r="J16" s="132"/>
      <c r="K16" s="132"/>
      <c r="L16" s="132"/>
      <c r="M16" s="132"/>
      <c r="N16" s="132"/>
    </row>
    <row r="17" spans="1:14" ht="16.5" customHeight="1">
      <c r="A17" s="41">
        <v>12</v>
      </c>
      <c r="B17" s="42" t="s">
        <v>87</v>
      </c>
      <c r="C17" s="133"/>
      <c r="D17" s="133"/>
      <c r="E17" s="133"/>
      <c r="F17" s="133"/>
      <c r="G17" s="133"/>
      <c r="H17" s="133"/>
      <c r="I17" s="132">
        <v>345</v>
      </c>
      <c r="J17" s="132">
        <v>380</v>
      </c>
      <c r="K17" s="132">
        <f t="shared" si="2"/>
        <v>35</v>
      </c>
      <c r="L17" s="132">
        <v>88</v>
      </c>
      <c r="M17" s="132">
        <v>180</v>
      </c>
      <c r="N17" s="132">
        <f>M17-L17</f>
        <v>92</v>
      </c>
    </row>
    <row r="18" spans="1:14" ht="21" customHeight="1">
      <c r="A18" s="206" t="s">
        <v>13</v>
      </c>
      <c r="B18" s="205"/>
      <c r="C18" s="132">
        <f>SUM(C6:C17)</f>
        <v>322</v>
      </c>
      <c r="D18" s="132">
        <f>SUM(D6:D17)</f>
        <v>328</v>
      </c>
      <c r="E18" s="132">
        <f>D18-C18</f>
        <v>6</v>
      </c>
      <c r="F18" s="132">
        <f>SUM(F6:F17)</f>
        <v>30</v>
      </c>
      <c r="G18" s="132">
        <f>SUM(G6:G17)</f>
        <v>35</v>
      </c>
      <c r="H18" s="132">
        <f>G18-F18</f>
        <v>5</v>
      </c>
      <c r="I18" s="132">
        <f>SUM(I6:I17)</f>
        <v>402</v>
      </c>
      <c r="J18" s="132">
        <f>SUM(J10:J17)</f>
        <v>425</v>
      </c>
      <c r="K18" s="132">
        <f t="shared" si="2"/>
        <v>23</v>
      </c>
      <c r="L18" s="132">
        <f>SUM(L10:L17)</f>
        <v>95</v>
      </c>
      <c r="M18" s="132">
        <f>SUM(M10:M17)</f>
        <v>181</v>
      </c>
      <c r="N18" s="132">
        <f>M18-L18</f>
        <v>86</v>
      </c>
    </row>
  </sheetData>
  <mergeCells count="1"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9"/>
  <sheetViews>
    <sheetView view="pageBreakPreview" zoomScale="60" zoomScaleNormal="75" workbookViewId="0" topLeftCell="A1">
      <selection activeCell="Q11" sqref="Q11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8.875" style="0" customWidth="1"/>
    <col min="4" max="4" width="10.25390625" style="0" customWidth="1"/>
    <col min="5" max="6" width="11.625" style="0" customWidth="1"/>
    <col min="7" max="7" width="11.375" style="0" customWidth="1"/>
    <col min="8" max="8" width="11.875" style="0" customWidth="1"/>
    <col min="9" max="9" width="12.25390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9"/>
      <c r="B2" s="29"/>
      <c r="C2" s="29"/>
      <c r="D2" s="1" t="s">
        <v>112</v>
      </c>
      <c r="E2" s="1"/>
      <c r="F2" s="1"/>
      <c r="G2" s="1"/>
      <c r="H2" s="1"/>
      <c r="I2" s="1"/>
      <c r="J2" s="1"/>
      <c r="K2" s="1"/>
      <c r="L2" s="29"/>
      <c r="M2" s="29"/>
      <c r="N2" s="29"/>
    </row>
    <row r="3" spans="1:14" ht="15">
      <c r="A3" s="195" t="s">
        <v>76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5">
      <c r="A4" s="32" t="s">
        <v>2</v>
      </c>
      <c r="B4" s="35" t="s">
        <v>3</v>
      </c>
      <c r="C4" s="33" t="s">
        <v>37</v>
      </c>
      <c r="D4" s="34"/>
      <c r="E4" s="37"/>
      <c r="F4" s="196" t="s">
        <v>88</v>
      </c>
      <c r="G4" s="197"/>
      <c r="H4" s="70" t="s">
        <v>39</v>
      </c>
      <c r="I4" s="35"/>
      <c r="J4" s="32" t="s">
        <v>38</v>
      </c>
      <c r="K4" s="71" t="s">
        <v>42</v>
      </c>
      <c r="L4" s="72"/>
      <c r="M4" s="71" t="s">
        <v>73</v>
      </c>
      <c r="N4" s="75"/>
    </row>
    <row r="5" spans="1:14" ht="15">
      <c r="A5" s="43"/>
      <c r="B5" s="45"/>
      <c r="C5" s="27">
        <v>2009</v>
      </c>
      <c r="D5" s="28">
        <v>2010</v>
      </c>
      <c r="E5" s="30" t="s">
        <v>38</v>
      </c>
      <c r="F5" s="198"/>
      <c r="G5" s="199"/>
      <c r="H5" s="40" t="s">
        <v>40</v>
      </c>
      <c r="I5" s="46"/>
      <c r="J5" s="56" t="s">
        <v>95</v>
      </c>
      <c r="K5" s="73" t="s">
        <v>43</v>
      </c>
      <c r="L5" s="46"/>
      <c r="M5" s="15" t="s">
        <v>72</v>
      </c>
      <c r="N5" s="16"/>
    </row>
    <row r="6" spans="1:14" ht="15">
      <c r="A6" s="39"/>
      <c r="B6" s="46"/>
      <c r="C6" s="51"/>
      <c r="D6" s="39"/>
      <c r="E6" s="56" t="s">
        <v>95</v>
      </c>
      <c r="F6" s="27">
        <v>2009</v>
      </c>
      <c r="G6" s="28">
        <v>2010</v>
      </c>
      <c r="H6" s="27">
        <v>2009</v>
      </c>
      <c r="I6" s="28">
        <v>2010</v>
      </c>
      <c r="J6" s="39"/>
      <c r="K6" s="31" t="s">
        <v>1</v>
      </c>
      <c r="L6" s="33" t="s">
        <v>41</v>
      </c>
      <c r="M6" s="49" t="s">
        <v>57</v>
      </c>
      <c r="N6" s="74" t="s">
        <v>58</v>
      </c>
    </row>
    <row r="7" spans="1:14" ht="16.5" customHeight="1">
      <c r="A7" s="41">
        <v>1</v>
      </c>
      <c r="B7" s="41" t="s">
        <v>78</v>
      </c>
      <c r="C7" s="20"/>
      <c r="D7" s="9"/>
      <c r="E7" s="9"/>
      <c r="F7" s="9"/>
      <c r="G7" s="9"/>
      <c r="H7" s="9"/>
      <c r="I7" s="9"/>
      <c r="J7" s="9"/>
      <c r="K7" s="9"/>
      <c r="L7" s="9"/>
      <c r="M7" s="20"/>
      <c r="N7" s="9"/>
    </row>
    <row r="8" spans="1:14" ht="16.5" customHeight="1">
      <c r="A8" s="41">
        <v>2</v>
      </c>
      <c r="B8" s="41" t="s">
        <v>79</v>
      </c>
      <c r="C8" s="9"/>
      <c r="D8" s="9"/>
      <c r="E8" s="9"/>
      <c r="F8" s="9"/>
      <c r="G8" s="9"/>
      <c r="H8" s="9"/>
      <c r="I8" s="47"/>
      <c r="J8" s="47"/>
      <c r="K8" s="47"/>
      <c r="L8" s="47"/>
      <c r="M8" s="19"/>
      <c r="N8" s="19"/>
    </row>
    <row r="9" spans="1:14" ht="16.5" customHeight="1">
      <c r="A9" s="41">
        <v>3</v>
      </c>
      <c r="B9" s="41" t="s">
        <v>80</v>
      </c>
      <c r="C9" s="9"/>
      <c r="D9" s="9"/>
      <c r="E9" s="9"/>
      <c r="F9" s="9"/>
      <c r="G9" s="9"/>
      <c r="H9" s="9"/>
      <c r="I9" s="9"/>
      <c r="J9" s="9"/>
      <c r="K9" s="47"/>
      <c r="L9" s="47"/>
      <c r="M9" s="19"/>
      <c r="N9" s="19"/>
    </row>
    <row r="10" spans="1:14" ht="16.5" customHeight="1">
      <c r="A10" s="41">
        <v>4</v>
      </c>
      <c r="B10" s="41" t="s">
        <v>81</v>
      </c>
      <c r="C10" s="9"/>
      <c r="D10" s="9"/>
      <c r="E10" s="9"/>
      <c r="F10" s="9"/>
      <c r="G10" s="9"/>
      <c r="H10" s="9"/>
      <c r="I10" s="9"/>
      <c r="J10" s="9"/>
      <c r="K10" s="47"/>
      <c r="L10" s="47"/>
      <c r="M10" s="19"/>
      <c r="N10" s="19"/>
    </row>
    <row r="11" spans="1:14" ht="16.5" customHeight="1">
      <c r="A11" s="41">
        <v>5</v>
      </c>
      <c r="B11" s="31" t="s">
        <v>82</v>
      </c>
      <c r="C11" s="21">
        <v>62</v>
      </c>
      <c r="D11" s="21">
        <v>45</v>
      </c>
      <c r="E11" s="21">
        <f>D11-C11</f>
        <v>-17</v>
      </c>
      <c r="F11" s="21">
        <v>62</v>
      </c>
      <c r="G11" s="21">
        <v>45</v>
      </c>
      <c r="H11" s="21">
        <v>326</v>
      </c>
      <c r="I11" s="26">
        <f>G11*100/27</f>
        <v>166.66666666666666</v>
      </c>
      <c r="J11" s="22">
        <f>I11-H11</f>
        <v>-159.33333333333334</v>
      </c>
      <c r="K11" s="21">
        <v>5</v>
      </c>
      <c r="L11" s="21">
        <v>5</v>
      </c>
      <c r="M11" s="99">
        <f>G11/L11</f>
        <v>9</v>
      </c>
      <c r="N11" s="99"/>
    </row>
    <row r="12" spans="1:15" ht="16.5" customHeight="1">
      <c r="A12" s="41">
        <v>6</v>
      </c>
      <c r="B12" s="41" t="s">
        <v>83</v>
      </c>
      <c r="C12" s="21">
        <v>244</v>
      </c>
      <c r="D12" s="21">
        <v>92</v>
      </c>
      <c r="E12" s="21">
        <f>D12-C12</f>
        <v>-152</v>
      </c>
      <c r="F12" s="21">
        <v>133</v>
      </c>
      <c r="G12" s="21">
        <v>92</v>
      </c>
      <c r="H12" s="26">
        <v>166</v>
      </c>
      <c r="I12" s="26">
        <f>G12*100/80</f>
        <v>115</v>
      </c>
      <c r="J12" s="22">
        <f>I12-H12</f>
        <v>-51</v>
      </c>
      <c r="K12" s="25">
        <v>11</v>
      </c>
      <c r="L12" s="25">
        <v>11</v>
      </c>
      <c r="M12" s="99">
        <f>G12/L12</f>
        <v>8.363636363636363</v>
      </c>
      <c r="N12" s="99"/>
      <c r="O12" s="24"/>
    </row>
    <row r="13" spans="1:14" ht="16.5" customHeight="1">
      <c r="A13" s="41">
        <v>7</v>
      </c>
      <c r="B13" s="41" t="s">
        <v>115</v>
      </c>
      <c r="C13" s="21"/>
      <c r="D13" s="21"/>
      <c r="E13" s="21"/>
      <c r="F13" s="21"/>
      <c r="G13" s="21"/>
      <c r="H13" s="22"/>
      <c r="I13" s="26"/>
      <c r="J13" s="22"/>
      <c r="K13" s="25"/>
      <c r="L13" s="25"/>
      <c r="M13" s="99"/>
      <c r="N13" s="99"/>
    </row>
    <row r="14" spans="1:14" ht="16.5" customHeight="1">
      <c r="A14" s="41">
        <v>8</v>
      </c>
      <c r="B14" s="41" t="s">
        <v>84</v>
      </c>
      <c r="C14" s="21"/>
      <c r="D14" s="21"/>
      <c r="E14" s="21"/>
      <c r="F14" s="21"/>
      <c r="G14" s="21"/>
      <c r="H14" s="22"/>
      <c r="I14" s="26"/>
      <c r="J14" s="22"/>
      <c r="K14" s="25"/>
      <c r="L14" s="25"/>
      <c r="M14" s="99"/>
      <c r="N14" s="99"/>
    </row>
    <row r="15" spans="1:14" ht="16.5" customHeight="1">
      <c r="A15" s="41">
        <v>9</v>
      </c>
      <c r="B15" s="41" t="s">
        <v>116</v>
      </c>
      <c r="C15" s="21"/>
      <c r="D15" s="21"/>
      <c r="E15" s="21"/>
      <c r="F15" s="21"/>
      <c r="G15" s="21"/>
      <c r="H15" s="22"/>
      <c r="I15" s="26"/>
      <c r="J15" s="22"/>
      <c r="K15" s="25"/>
      <c r="L15" s="25"/>
      <c r="M15" s="99"/>
      <c r="N15" s="99"/>
    </row>
    <row r="16" spans="1:14" ht="16.5" customHeight="1">
      <c r="A16" s="41">
        <v>10</v>
      </c>
      <c r="B16" s="42" t="s">
        <v>85</v>
      </c>
      <c r="C16" s="21"/>
      <c r="D16" s="21"/>
      <c r="E16" s="21"/>
      <c r="F16" s="21"/>
      <c r="G16" s="21"/>
      <c r="H16" s="22"/>
      <c r="I16" s="26"/>
      <c r="J16" s="22"/>
      <c r="K16" s="26"/>
      <c r="L16" s="26"/>
      <c r="M16" s="99"/>
      <c r="N16" s="99"/>
    </row>
    <row r="17" spans="1:14" ht="16.5" customHeight="1">
      <c r="A17" s="41">
        <v>11</v>
      </c>
      <c r="B17" s="42" t="s">
        <v>86</v>
      </c>
      <c r="C17" s="21"/>
      <c r="D17" s="21"/>
      <c r="E17" s="21"/>
      <c r="F17" s="21"/>
      <c r="G17" s="21"/>
      <c r="H17" s="22"/>
      <c r="I17" s="26"/>
      <c r="J17" s="22"/>
      <c r="K17" s="25"/>
      <c r="L17" s="25"/>
      <c r="M17" s="99"/>
      <c r="N17" s="99"/>
    </row>
    <row r="18" spans="1:14" ht="16.5" customHeight="1">
      <c r="A18" s="41">
        <v>12</v>
      </c>
      <c r="B18" s="42" t="s">
        <v>87</v>
      </c>
      <c r="C18" s="21">
        <v>1278</v>
      </c>
      <c r="D18" s="21">
        <v>1199</v>
      </c>
      <c r="E18" s="21">
        <f>D18-C18</f>
        <v>-79</v>
      </c>
      <c r="F18" s="21">
        <v>937</v>
      </c>
      <c r="G18" s="21">
        <v>792</v>
      </c>
      <c r="H18" s="26">
        <v>426</v>
      </c>
      <c r="I18" s="26">
        <f>G18*100/200</f>
        <v>396</v>
      </c>
      <c r="J18" s="22">
        <f>I18-H18</f>
        <v>-30</v>
      </c>
      <c r="K18" s="25">
        <v>147</v>
      </c>
      <c r="L18" s="25">
        <v>90</v>
      </c>
      <c r="M18" s="99">
        <f>G18/L18</f>
        <v>8.8</v>
      </c>
      <c r="N18" s="99">
        <f>(D18-G18)/(K18-L18)</f>
        <v>7.140350877192983</v>
      </c>
    </row>
    <row r="19" spans="1:14" ht="15" customHeight="1">
      <c r="A19" s="209" t="s">
        <v>13</v>
      </c>
      <c r="B19" s="210"/>
      <c r="C19" s="21">
        <f>SUM(C7:C18)</f>
        <v>1584</v>
      </c>
      <c r="D19" s="21">
        <f>SUM(D8:D18)</f>
        <v>1336</v>
      </c>
      <c r="E19" s="21">
        <f>D19-C19</f>
        <v>-248</v>
      </c>
      <c r="F19" s="21">
        <f>SUM(F11:F18)</f>
        <v>1132</v>
      </c>
      <c r="G19" s="21">
        <f>SUM(G11:G18)</f>
        <v>929</v>
      </c>
      <c r="H19" s="26">
        <v>340</v>
      </c>
      <c r="I19" s="26">
        <f>G19*100/307</f>
        <v>302.6058631921824</v>
      </c>
      <c r="J19" s="22">
        <f>I19-H19</f>
        <v>-37.394136807817574</v>
      </c>
      <c r="K19" s="22">
        <f>SUM(K8:K18)</f>
        <v>163</v>
      </c>
      <c r="L19" s="22">
        <f>SUM(L8:L18)</f>
        <v>106</v>
      </c>
      <c r="M19" s="99">
        <f>G19/L19</f>
        <v>8.764150943396226</v>
      </c>
      <c r="N19" s="99">
        <f>(D19-G19)/(K19-L19)</f>
        <v>7.140350877192983</v>
      </c>
    </row>
  </sheetData>
  <mergeCells count="3">
    <mergeCell ref="A3:N3"/>
    <mergeCell ref="F4:G5"/>
    <mergeCell ref="A19:B19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C31" sqref="C31"/>
    </sheetView>
  </sheetViews>
  <sheetFormatPr defaultColWidth="9.00390625" defaultRowHeight="12.75"/>
  <cols>
    <col min="1" max="1" width="4.25390625" style="0" customWidth="1"/>
    <col min="2" max="2" width="34.1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200" t="s">
        <v>111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5">
      <c r="A2" s="195" t="s">
        <v>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44" t="s">
        <v>2</v>
      </c>
      <c r="B4" s="30" t="s">
        <v>3</v>
      </c>
      <c r="C4" s="33" t="s">
        <v>29</v>
      </c>
      <c r="D4" s="34"/>
      <c r="E4" s="37"/>
      <c r="F4" s="11" t="s">
        <v>30</v>
      </c>
      <c r="G4" s="13"/>
      <c r="H4" s="32" t="s">
        <v>32</v>
      </c>
      <c r="I4" s="44" t="s">
        <v>33</v>
      </c>
      <c r="J4" s="30"/>
      <c r="K4" s="32" t="s">
        <v>32</v>
      </c>
      <c r="L4" s="70" t="s">
        <v>35</v>
      </c>
      <c r="M4" s="30"/>
      <c r="N4" s="32" t="s">
        <v>32</v>
      </c>
    </row>
    <row r="5" spans="1:14" ht="15">
      <c r="A5" s="50"/>
      <c r="B5" s="36"/>
      <c r="C5" s="27">
        <v>2009</v>
      </c>
      <c r="D5" s="28">
        <v>2010</v>
      </c>
      <c r="E5" s="28" t="s">
        <v>92</v>
      </c>
      <c r="F5" s="27">
        <v>2009</v>
      </c>
      <c r="G5" s="28">
        <v>2010</v>
      </c>
      <c r="H5" s="55" t="s">
        <v>31</v>
      </c>
      <c r="I5" s="40" t="s">
        <v>34</v>
      </c>
      <c r="J5" s="38"/>
      <c r="K5" s="55" t="s">
        <v>31</v>
      </c>
      <c r="L5" s="76" t="s">
        <v>36</v>
      </c>
      <c r="M5" s="38"/>
      <c r="N5" s="55" t="s">
        <v>31</v>
      </c>
    </row>
    <row r="6" spans="1:14" ht="15">
      <c r="A6" s="40"/>
      <c r="B6" s="38"/>
      <c r="C6" s="51"/>
      <c r="D6" s="20"/>
      <c r="E6" s="20" t="s">
        <v>93</v>
      </c>
      <c r="F6" s="39"/>
      <c r="G6" s="38"/>
      <c r="H6" s="39" t="s">
        <v>96</v>
      </c>
      <c r="I6" s="27">
        <v>2009</v>
      </c>
      <c r="J6" s="28">
        <v>2010</v>
      </c>
      <c r="K6" s="20" t="s">
        <v>96</v>
      </c>
      <c r="L6" s="27">
        <v>2009</v>
      </c>
      <c r="M6" s="28">
        <v>2010</v>
      </c>
      <c r="N6" s="20" t="s">
        <v>96</v>
      </c>
    </row>
    <row r="7" spans="1:14" ht="16.5" customHeight="1">
      <c r="A7" s="41">
        <v>1</v>
      </c>
      <c r="B7" s="41" t="s">
        <v>78</v>
      </c>
      <c r="C7" s="130">
        <v>5</v>
      </c>
      <c r="D7" s="130"/>
      <c r="E7" s="130"/>
      <c r="F7" s="130">
        <v>5</v>
      </c>
      <c r="G7" s="130"/>
      <c r="H7" s="130">
        <f aca="true" t="shared" si="0" ref="H7:H19">G7-F7</f>
        <v>-5</v>
      </c>
      <c r="I7" s="130">
        <v>25</v>
      </c>
      <c r="J7" s="130"/>
      <c r="K7" s="130">
        <f aca="true" t="shared" si="1" ref="K7:K17">J7-I7</f>
        <v>-25</v>
      </c>
      <c r="L7" s="130">
        <v>0</v>
      </c>
      <c r="M7" s="130"/>
      <c r="N7" s="130">
        <f>M7-L7</f>
        <v>0</v>
      </c>
    </row>
    <row r="8" spans="1:14" ht="16.5" customHeight="1">
      <c r="A8" s="41">
        <v>2</v>
      </c>
      <c r="B8" s="41" t="s">
        <v>79</v>
      </c>
      <c r="C8" s="130">
        <v>40</v>
      </c>
      <c r="D8" s="130">
        <v>15</v>
      </c>
      <c r="E8" s="130">
        <f aca="true" t="shared" si="2" ref="E8:E17">D8*100/C8</f>
        <v>37.5</v>
      </c>
      <c r="F8" s="130">
        <v>40</v>
      </c>
      <c r="G8" s="130">
        <v>15</v>
      </c>
      <c r="H8" s="130">
        <f t="shared" si="0"/>
        <v>-25</v>
      </c>
      <c r="I8" s="130">
        <v>20</v>
      </c>
      <c r="J8" s="130">
        <f>G8*100/180</f>
        <v>8.333333333333334</v>
      </c>
      <c r="K8" s="130">
        <f t="shared" si="1"/>
        <v>-11.666666666666666</v>
      </c>
      <c r="L8" s="130">
        <v>0</v>
      </c>
      <c r="M8" s="130">
        <f>(D8-G8)*100/180</f>
        <v>0</v>
      </c>
      <c r="N8" s="130">
        <f>M8-L8</f>
        <v>0</v>
      </c>
    </row>
    <row r="9" spans="1:14" ht="16.5" customHeight="1">
      <c r="A9" s="41">
        <v>3</v>
      </c>
      <c r="B9" s="41" t="s">
        <v>80</v>
      </c>
      <c r="C9" s="130">
        <v>34</v>
      </c>
      <c r="D9" s="130">
        <v>18</v>
      </c>
      <c r="E9" s="130">
        <f t="shared" si="2"/>
        <v>52.94117647058823</v>
      </c>
      <c r="F9" s="130">
        <v>12</v>
      </c>
      <c r="G9" s="130">
        <v>18</v>
      </c>
      <c r="H9" s="130">
        <f t="shared" si="0"/>
        <v>6</v>
      </c>
      <c r="I9" s="130">
        <v>11</v>
      </c>
      <c r="J9" s="130">
        <f>G9*100/105</f>
        <v>17.142857142857142</v>
      </c>
      <c r="K9" s="130">
        <f>J9-I9</f>
        <v>6.142857142857142</v>
      </c>
      <c r="L9" s="130">
        <v>21</v>
      </c>
      <c r="M9" s="130">
        <f>(D9-G9)*100/105</f>
        <v>0</v>
      </c>
      <c r="N9" s="130">
        <f>M9-L9</f>
        <v>-21</v>
      </c>
    </row>
    <row r="10" spans="1:14" ht="16.5" customHeight="1">
      <c r="A10" s="41">
        <v>4</v>
      </c>
      <c r="B10" s="41" t="s">
        <v>81</v>
      </c>
      <c r="C10" s="130">
        <v>16</v>
      </c>
      <c r="D10" s="130">
        <v>12</v>
      </c>
      <c r="E10" s="130">
        <f t="shared" si="2"/>
        <v>75</v>
      </c>
      <c r="F10" s="130">
        <v>16</v>
      </c>
      <c r="G10" s="130">
        <v>12</v>
      </c>
      <c r="H10" s="130">
        <f t="shared" si="0"/>
        <v>-4</v>
      </c>
      <c r="I10" s="130">
        <v>30</v>
      </c>
      <c r="J10" s="130">
        <f>G10*100/54</f>
        <v>22.22222222222222</v>
      </c>
      <c r="K10" s="130">
        <f>J10-I10</f>
        <v>-7.777777777777779</v>
      </c>
      <c r="L10" s="130">
        <v>0</v>
      </c>
      <c r="M10" s="130">
        <f>(D10-G10)*100/54</f>
        <v>0</v>
      </c>
      <c r="N10" s="130">
        <f>M10-L10</f>
        <v>0</v>
      </c>
    </row>
    <row r="11" spans="1:14" ht="16.5" customHeight="1">
      <c r="A11" s="41">
        <v>5</v>
      </c>
      <c r="B11" s="31" t="s">
        <v>82</v>
      </c>
      <c r="C11" s="130">
        <v>45</v>
      </c>
      <c r="D11" s="130">
        <v>12</v>
      </c>
      <c r="E11" s="130">
        <f t="shared" si="2"/>
        <v>26.666666666666668</v>
      </c>
      <c r="F11" s="130">
        <v>45</v>
      </c>
      <c r="G11" s="130">
        <v>12</v>
      </c>
      <c r="H11" s="130">
        <f t="shared" si="0"/>
        <v>-33</v>
      </c>
      <c r="I11" s="130">
        <v>15</v>
      </c>
      <c r="J11" s="130">
        <f>G11*100/304</f>
        <v>3.9473684210526314</v>
      </c>
      <c r="K11" s="130">
        <f t="shared" si="1"/>
        <v>-11.052631578947368</v>
      </c>
      <c r="L11" s="130">
        <v>0</v>
      </c>
      <c r="M11" s="130">
        <f>(D11-G11)*100/304</f>
        <v>0</v>
      </c>
      <c r="N11" s="130">
        <f aca="true" t="shared" si="3" ref="N11:N19">M11-L11</f>
        <v>0</v>
      </c>
    </row>
    <row r="12" spans="1:14" ht="16.5" customHeight="1">
      <c r="A12" s="41">
        <v>6</v>
      </c>
      <c r="B12" s="41" t="s">
        <v>83</v>
      </c>
      <c r="C12" s="130">
        <v>47</v>
      </c>
      <c r="D12" s="130">
        <v>33</v>
      </c>
      <c r="E12" s="130">
        <f t="shared" si="2"/>
        <v>70.2127659574468</v>
      </c>
      <c r="F12" s="130">
        <v>34</v>
      </c>
      <c r="G12" s="130">
        <v>26</v>
      </c>
      <c r="H12" s="130">
        <f t="shared" si="0"/>
        <v>-8</v>
      </c>
      <c r="I12" s="130">
        <v>12</v>
      </c>
      <c r="J12" s="130">
        <f>G12*100/250</f>
        <v>10.4</v>
      </c>
      <c r="K12" s="130">
        <f t="shared" si="1"/>
        <v>-1.5999999999999996</v>
      </c>
      <c r="L12" s="130">
        <v>5</v>
      </c>
      <c r="M12" s="130">
        <f>(D12-G12)*100/250</f>
        <v>2.8</v>
      </c>
      <c r="N12" s="130">
        <f t="shared" si="3"/>
        <v>-2.2</v>
      </c>
    </row>
    <row r="13" spans="1:14" ht="16.5" customHeight="1">
      <c r="A13" s="41">
        <v>7</v>
      </c>
      <c r="B13" s="41" t="s">
        <v>115</v>
      </c>
      <c r="C13" s="131">
        <v>29</v>
      </c>
      <c r="D13" s="131">
        <v>27</v>
      </c>
      <c r="E13" s="130">
        <f t="shared" si="2"/>
        <v>93.10344827586206</v>
      </c>
      <c r="F13" s="131">
        <v>29</v>
      </c>
      <c r="G13" s="131">
        <v>27</v>
      </c>
      <c r="H13" s="130">
        <f t="shared" si="0"/>
        <v>-2</v>
      </c>
      <c r="I13" s="131">
        <v>34</v>
      </c>
      <c r="J13" s="131">
        <f>G13*100/85</f>
        <v>31.764705882352942</v>
      </c>
      <c r="K13" s="130">
        <f t="shared" si="1"/>
        <v>-2.235294117647058</v>
      </c>
      <c r="L13" s="130">
        <v>0</v>
      </c>
      <c r="M13" s="130">
        <f>(D13-G13)*100/85</f>
        <v>0</v>
      </c>
      <c r="N13" s="131">
        <f t="shared" si="3"/>
        <v>0</v>
      </c>
    </row>
    <row r="14" spans="1:14" ht="16.5" customHeight="1">
      <c r="A14" s="41">
        <v>8</v>
      </c>
      <c r="B14" s="41" t="s">
        <v>84</v>
      </c>
      <c r="C14" s="131">
        <v>2</v>
      </c>
      <c r="D14" s="131">
        <v>10</v>
      </c>
      <c r="E14" s="130">
        <f t="shared" si="2"/>
        <v>500</v>
      </c>
      <c r="F14" s="131">
        <v>2</v>
      </c>
      <c r="G14" s="131">
        <v>10</v>
      </c>
      <c r="H14" s="130">
        <f t="shared" si="0"/>
        <v>8</v>
      </c>
      <c r="I14" s="131">
        <v>3</v>
      </c>
      <c r="J14" s="131">
        <f>G14*100/52</f>
        <v>19.23076923076923</v>
      </c>
      <c r="K14" s="130">
        <f t="shared" si="1"/>
        <v>16.23076923076923</v>
      </c>
      <c r="L14" s="130">
        <v>0</v>
      </c>
      <c r="M14" s="130">
        <f>(D14-G14)*100/52</f>
        <v>0</v>
      </c>
      <c r="N14" s="131">
        <f t="shared" si="3"/>
        <v>0</v>
      </c>
    </row>
    <row r="15" spans="1:14" ht="16.5" customHeight="1">
      <c r="A15" s="41">
        <v>9</v>
      </c>
      <c r="B15" s="41" t="s">
        <v>116</v>
      </c>
      <c r="C15" s="131">
        <v>21</v>
      </c>
      <c r="D15" s="131">
        <v>36</v>
      </c>
      <c r="E15" s="130">
        <f t="shared" si="2"/>
        <v>171.42857142857142</v>
      </c>
      <c r="F15" s="131">
        <v>21</v>
      </c>
      <c r="G15" s="131">
        <v>36</v>
      </c>
      <c r="H15" s="130">
        <f t="shared" si="0"/>
        <v>15</v>
      </c>
      <c r="I15" s="131">
        <v>44</v>
      </c>
      <c r="J15" s="131">
        <f>G15*100/60</f>
        <v>60</v>
      </c>
      <c r="K15" s="130">
        <f t="shared" si="1"/>
        <v>16</v>
      </c>
      <c r="L15" s="130">
        <v>0</v>
      </c>
      <c r="M15" s="130">
        <f>(D15-G15)*100/60</f>
        <v>0</v>
      </c>
      <c r="N15" s="131">
        <f t="shared" si="3"/>
        <v>0</v>
      </c>
    </row>
    <row r="16" spans="1:14" ht="16.5" customHeight="1">
      <c r="A16" s="41">
        <v>10</v>
      </c>
      <c r="B16" s="42" t="s">
        <v>85</v>
      </c>
      <c r="C16" s="131">
        <v>38</v>
      </c>
      <c r="D16" s="131">
        <v>12</v>
      </c>
      <c r="E16" s="130">
        <f t="shared" si="2"/>
        <v>31.57894736842105</v>
      </c>
      <c r="F16" s="131">
        <v>30</v>
      </c>
      <c r="G16" s="131">
        <v>12</v>
      </c>
      <c r="H16" s="130">
        <f t="shared" si="0"/>
        <v>-18</v>
      </c>
      <c r="I16" s="131">
        <v>30</v>
      </c>
      <c r="J16" s="131">
        <f>G16*100/100</f>
        <v>12</v>
      </c>
      <c r="K16" s="130">
        <f t="shared" si="1"/>
        <v>-18</v>
      </c>
      <c r="L16" s="130">
        <v>8</v>
      </c>
      <c r="M16" s="130">
        <f>(D16-G16)*100/100</f>
        <v>0</v>
      </c>
      <c r="N16" s="131">
        <f t="shared" si="3"/>
        <v>-8</v>
      </c>
    </row>
    <row r="17" spans="1:14" ht="16.5" customHeight="1">
      <c r="A17" s="41">
        <v>11</v>
      </c>
      <c r="B17" s="42" t="s">
        <v>86</v>
      </c>
      <c r="C17" s="131">
        <v>19</v>
      </c>
      <c r="D17" s="131">
        <v>22</v>
      </c>
      <c r="E17" s="130">
        <f t="shared" si="2"/>
        <v>115.78947368421052</v>
      </c>
      <c r="F17" s="131">
        <v>19</v>
      </c>
      <c r="G17" s="131">
        <v>22</v>
      </c>
      <c r="H17" s="130">
        <f t="shared" si="0"/>
        <v>3</v>
      </c>
      <c r="I17" s="131">
        <v>45</v>
      </c>
      <c r="J17" s="131">
        <f>G17*100/42</f>
        <v>52.38095238095238</v>
      </c>
      <c r="K17" s="130">
        <f t="shared" si="1"/>
        <v>7.38095238095238</v>
      </c>
      <c r="L17" s="130">
        <v>0</v>
      </c>
      <c r="M17" s="130">
        <f>(D17-G17)*100/42</f>
        <v>0</v>
      </c>
      <c r="N17" s="131">
        <f t="shared" si="3"/>
        <v>0</v>
      </c>
    </row>
    <row r="18" spans="1:14" ht="16.5" customHeight="1">
      <c r="A18" s="41">
        <v>12</v>
      </c>
      <c r="B18" s="42" t="s">
        <v>87</v>
      </c>
      <c r="C18" s="131"/>
      <c r="D18" s="131"/>
      <c r="E18" s="130"/>
      <c r="F18" s="131"/>
      <c r="G18" s="131"/>
      <c r="H18" s="130"/>
      <c r="I18" s="131"/>
      <c r="J18" s="131"/>
      <c r="K18" s="131"/>
      <c r="L18" s="130"/>
      <c r="M18" s="130"/>
      <c r="N18" s="131"/>
    </row>
    <row r="19" spans="1:14" ht="16.5" customHeight="1">
      <c r="A19" s="206" t="s">
        <v>13</v>
      </c>
      <c r="B19" s="205"/>
      <c r="C19" s="130">
        <f>SUM(C7:C18)</f>
        <v>296</v>
      </c>
      <c r="D19" s="41">
        <f>SUM(D7:D18)</f>
        <v>197</v>
      </c>
      <c r="E19" s="130">
        <f>D19*100/C19</f>
        <v>66.55405405405405</v>
      </c>
      <c r="F19" s="41">
        <f>SUM(F7:F18)</f>
        <v>253</v>
      </c>
      <c r="G19" s="41">
        <f>SUM(G7:G18)</f>
        <v>190</v>
      </c>
      <c r="H19" s="130">
        <f t="shared" si="0"/>
        <v>-63</v>
      </c>
      <c r="I19" s="130">
        <v>19</v>
      </c>
      <c r="J19" s="130">
        <f>G19*100/1232</f>
        <v>15.422077922077921</v>
      </c>
      <c r="K19" s="130">
        <f>J19-I19</f>
        <v>-3.5779220779220786</v>
      </c>
      <c r="L19" s="130">
        <v>3</v>
      </c>
      <c r="M19" s="130">
        <f>(D19-G19)*100/1232</f>
        <v>0.5681818181818182</v>
      </c>
      <c r="N19" s="130">
        <f t="shared" si="3"/>
        <v>-2.4318181818181817</v>
      </c>
    </row>
  </sheetData>
  <mergeCells count="3">
    <mergeCell ref="A2:N2"/>
    <mergeCell ref="A1:N1"/>
    <mergeCell ref="A19:B19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B11" sqref="B11:B13"/>
    </sheetView>
  </sheetViews>
  <sheetFormatPr defaultColWidth="9.00390625" defaultRowHeight="12.75"/>
  <cols>
    <col min="1" max="1" width="3.75390625" style="0" customWidth="1"/>
    <col min="2" max="2" width="28.375" style="0" customWidth="1"/>
    <col min="3" max="3" width="12.125" style="0" customWidth="1"/>
    <col min="4" max="4" width="14.625" style="0" customWidth="1"/>
    <col min="5" max="5" width="13.00390625" style="0" customWidth="1"/>
    <col min="6" max="6" width="13.25390625" style="0" customWidth="1"/>
  </cols>
  <sheetData>
    <row r="1" spans="1:9" ht="15.75" customHeight="1">
      <c r="A1" s="201" t="s">
        <v>14</v>
      </c>
      <c r="B1" s="201"/>
      <c r="C1" s="201"/>
      <c r="D1" s="201"/>
      <c r="E1" s="201"/>
      <c r="F1" s="201"/>
      <c r="G1" s="2"/>
      <c r="H1" s="2"/>
      <c r="I1" s="2"/>
    </row>
    <row r="2" spans="1:9" ht="15.75">
      <c r="A2" s="202" t="s">
        <v>110</v>
      </c>
      <c r="B2" s="202"/>
      <c r="C2" s="202"/>
      <c r="D2" s="202"/>
      <c r="E2" s="202"/>
      <c r="F2" s="202"/>
      <c r="G2" s="2"/>
      <c r="H2" s="2"/>
      <c r="I2" s="2"/>
    </row>
    <row r="3" spans="1:9" ht="15">
      <c r="A3" s="5" t="s">
        <v>2</v>
      </c>
      <c r="B3" s="10" t="s">
        <v>3</v>
      </c>
      <c r="C3" s="11" t="s">
        <v>55</v>
      </c>
      <c r="D3" s="12"/>
      <c r="E3" s="11" t="s">
        <v>56</v>
      </c>
      <c r="F3" s="13"/>
      <c r="G3" s="2"/>
      <c r="H3" s="2"/>
      <c r="I3" s="2"/>
    </row>
    <row r="4" spans="1:9" ht="15">
      <c r="A4" s="6"/>
      <c r="B4" s="14"/>
      <c r="C4" s="27">
        <v>2009</v>
      </c>
      <c r="D4" s="28">
        <v>2010</v>
      </c>
      <c r="E4" s="27">
        <v>2009</v>
      </c>
      <c r="F4" s="28">
        <v>2010</v>
      </c>
      <c r="G4" s="2"/>
      <c r="H4" s="2"/>
      <c r="I4" s="2"/>
    </row>
    <row r="5" spans="1:9" ht="15">
      <c r="A5" s="4">
        <v>1</v>
      </c>
      <c r="B5" s="3" t="s">
        <v>78</v>
      </c>
      <c r="C5" s="47">
        <f>(молоко!C6*1000)/1577</f>
        <v>2.1433100824350033</v>
      </c>
      <c r="D5" s="47"/>
      <c r="E5" s="47">
        <f>(мясо!C7*1000)/1577</f>
        <v>0.13950538998097653</v>
      </c>
      <c r="F5" s="47"/>
      <c r="H5" s="2"/>
      <c r="I5" s="2"/>
    </row>
    <row r="6" spans="1:9" ht="15">
      <c r="A6" s="4">
        <v>2</v>
      </c>
      <c r="B6" s="3" t="s">
        <v>79</v>
      </c>
      <c r="C6" s="47">
        <f>(молоко!C7*1000)/1875</f>
        <v>31.466666666666665</v>
      </c>
      <c r="D6" s="47">
        <f>(молоко!D7*1000)/1875</f>
        <v>30.186666666666667</v>
      </c>
      <c r="E6" s="47">
        <f>(мясо!C8*1000)/1875</f>
        <v>12.693333333333333</v>
      </c>
      <c r="F6" s="47">
        <f>(мясо!D8*1000)/1875</f>
        <v>2.453333333333333</v>
      </c>
      <c r="H6" s="2"/>
      <c r="I6" s="2"/>
    </row>
    <row r="7" spans="1:9" ht="15">
      <c r="A7" s="4">
        <v>3</v>
      </c>
      <c r="B7" s="3" t="s">
        <v>80</v>
      </c>
      <c r="C7" s="47">
        <f>(молоко!C8*1000)/799</f>
        <v>41.30162703379224</v>
      </c>
      <c r="D7" s="47">
        <f>(молоко!D8*1000)/799</f>
        <v>50.06257822277847</v>
      </c>
      <c r="E7" s="47">
        <f>(мясо!C9*1000)/799</f>
        <v>7.509386733416771</v>
      </c>
      <c r="F7" s="47">
        <f>(мясо!D9*1000)/799</f>
        <v>1.2515644555694618</v>
      </c>
      <c r="H7" s="2"/>
      <c r="I7" s="2"/>
    </row>
    <row r="8" spans="1:9" ht="15">
      <c r="A8" s="4">
        <v>4</v>
      </c>
      <c r="B8" s="3" t="s">
        <v>81</v>
      </c>
      <c r="C8" s="47">
        <f>(молоко!C9*1000)/2025</f>
        <v>11.45679012345679</v>
      </c>
      <c r="D8" s="47">
        <f>(молоко!D9*1000)/2025</f>
        <v>13.08641975308642</v>
      </c>
      <c r="E8" s="47">
        <f>(мясо!C10*1000)/2025</f>
        <v>0.4444444444444444</v>
      </c>
      <c r="F8" s="47">
        <f>(мясо!D10*1000)/2025</f>
        <v>0.019753086419753086</v>
      </c>
      <c r="H8" s="2"/>
      <c r="I8" s="2"/>
    </row>
    <row r="9" spans="1:9" ht="15">
      <c r="A9" s="4">
        <v>5</v>
      </c>
      <c r="B9" s="7" t="s">
        <v>82</v>
      </c>
      <c r="C9" s="47">
        <f>(молоко!C10*1000)/2903</f>
        <v>42.0599379951774</v>
      </c>
      <c r="D9" s="47">
        <f>(молоко!D10*1000)/2478</f>
        <v>56.093623890234056</v>
      </c>
      <c r="E9" s="47">
        <f>(мясо!C11*1000)/2903</f>
        <v>5.235962797106442</v>
      </c>
      <c r="F9" s="47">
        <f>(мясо!D11*1000)/2478</f>
        <v>4.237288135593221</v>
      </c>
      <c r="H9" s="2"/>
      <c r="I9" s="2"/>
    </row>
    <row r="10" spans="1:9" ht="15">
      <c r="A10" s="4">
        <v>6</v>
      </c>
      <c r="B10" s="3" t="s">
        <v>83</v>
      </c>
      <c r="C10" s="47">
        <f>(молоко!C11*1000)/2184</f>
        <v>31.135531135531135</v>
      </c>
      <c r="D10" s="47">
        <f>(молоко!D11*1000)/2157</f>
        <v>50.53314789058878</v>
      </c>
      <c r="E10" s="47">
        <f>(мясо!C12*1000)/2184</f>
        <v>13.782051282051283</v>
      </c>
      <c r="F10" s="47">
        <f>(мясо!D12*1000)/2157</f>
        <v>3.477051460361613</v>
      </c>
      <c r="H10" s="2"/>
      <c r="I10" s="2"/>
    </row>
    <row r="11" spans="1:9" ht="15">
      <c r="A11" s="4">
        <v>7</v>
      </c>
      <c r="B11" s="3" t="s">
        <v>115</v>
      </c>
      <c r="C11" s="47">
        <f>(молоко!C12*1000)/868</f>
        <v>71.7741935483871</v>
      </c>
      <c r="D11" s="47">
        <f>(молоко!D12*1000)/859</f>
        <v>72.52619324796275</v>
      </c>
      <c r="E11" s="47">
        <f>(мясо!C13*1000)/868</f>
        <v>8.986175115207374</v>
      </c>
      <c r="F11" s="47">
        <f>(мясо!D13*1000)/859</f>
        <v>3.492433061699651</v>
      </c>
      <c r="H11" s="2"/>
      <c r="I11" s="2"/>
    </row>
    <row r="12" spans="1:9" ht="15">
      <c r="A12" s="4">
        <v>8</v>
      </c>
      <c r="B12" s="3" t="s">
        <v>84</v>
      </c>
      <c r="C12" s="47">
        <f>(молоко!C13*1000)/1492</f>
        <v>15.214477211796247</v>
      </c>
      <c r="D12" s="47">
        <f>(молоко!D13*1000)/1482</f>
        <v>17.611336032388664</v>
      </c>
      <c r="E12" s="47">
        <f>(мясо!C13*1000)/1492</f>
        <v>5.227882037533512</v>
      </c>
      <c r="F12" s="47">
        <f>(мясо!D14*1000)/1482</f>
        <v>0</v>
      </c>
      <c r="H12" s="2"/>
      <c r="I12" s="2"/>
    </row>
    <row r="13" spans="1:9" ht="15.75" customHeight="1">
      <c r="A13" s="4">
        <v>9</v>
      </c>
      <c r="B13" s="3" t="s">
        <v>116</v>
      </c>
      <c r="C13" s="47">
        <f>(молоко!C14*1000)/1082</f>
        <v>24.491682070240294</v>
      </c>
      <c r="D13" s="47">
        <f>(молоко!D14*1000)/1077</f>
        <v>47.353760445682454</v>
      </c>
      <c r="E13" s="47">
        <f>(мясо!C14*1000)/1082</f>
        <v>8.317929759704251</v>
      </c>
      <c r="F13" s="47">
        <f>(мясо!D15*1000)/1077</f>
        <v>1.392757660167131</v>
      </c>
      <c r="H13" s="2"/>
      <c r="I13" s="2"/>
    </row>
    <row r="14" spans="1:9" ht="15">
      <c r="A14" s="4">
        <v>10</v>
      </c>
      <c r="B14" s="7" t="s">
        <v>85</v>
      </c>
      <c r="C14" s="47">
        <f>(молоко!C15*1000)/1118</f>
        <v>17.978533094812164</v>
      </c>
      <c r="D14" s="47">
        <f>(молоко!D15*1000)/1084</f>
        <v>19.92619926199262</v>
      </c>
      <c r="E14" s="47">
        <f>(мясо!C15*1000)/1118</f>
        <v>0.08944543828264759</v>
      </c>
      <c r="F14" s="47">
        <f>(мясо!D16*1000)/1084</f>
        <v>1.845018450184502</v>
      </c>
      <c r="H14" s="2"/>
      <c r="I14" s="2"/>
    </row>
    <row r="15" spans="1:9" ht="15">
      <c r="A15" s="4">
        <v>11</v>
      </c>
      <c r="B15" s="7" t="s">
        <v>86</v>
      </c>
      <c r="C15" s="47">
        <f>(молоко!C16*1000)/674</f>
        <v>39.16913946587537</v>
      </c>
      <c r="D15" s="47">
        <f>(молоко!D16*1000)/674</f>
        <v>38.27893175074184</v>
      </c>
      <c r="E15" s="47">
        <f>(мясо!C16*1000)/674</f>
        <v>7.4183976261127595</v>
      </c>
      <c r="F15" s="47">
        <f>(мясо!D17*1000)/674</f>
        <v>0.7418397626112759</v>
      </c>
      <c r="H15" s="2"/>
      <c r="I15" s="2"/>
    </row>
    <row r="16" spans="1:9" ht="15">
      <c r="A16" s="4">
        <v>12</v>
      </c>
      <c r="B16" s="7" t="s">
        <v>87</v>
      </c>
      <c r="C16" s="47"/>
      <c r="D16" s="47"/>
      <c r="E16" s="47">
        <f>(мясо!C17*1000)/983</f>
        <v>1.3224821973550356</v>
      </c>
      <c r="F16" s="47">
        <f>(мясо!D18*1000)/983</f>
        <v>120.04069175991862</v>
      </c>
      <c r="H16" s="2"/>
      <c r="I16" s="2"/>
    </row>
    <row r="17" spans="1:6" ht="15">
      <c r="A17" s="211" t="s">
        <v>13</v>
      </c>
      <c r="B17" s="212"/>
      <c r="C17" s="47">
        <f>(молоко!C18*1000)/19457</f>
        <v>23.985198129207998</v>
      </c>
      <c r="D17" s="47">
        <f>(молоко!D18*1000)/22877</f>
        <v>24.386938846876777</v>
      </c>
      <c r="E17" s="47">
        <f>(мясо!C18*1000)/19457</f>
        <v>5.396515392917716</v>
      </c>
      <c r="F17" s="47">
        <f>(мясо!D20*1000)/22877</f>
        <v>6.497355422476724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B12" sqref="B12:B14"/>
    </sheetView>
  </sheetViews>
  <sheetFormatPr defaultColWidth="9.00390625" defaultRowHeight="12.75"/>
  <cols>
    <col min="1" max="1" width="3.375" style="0" customWidth="1"/>
    <col min="2" max="2" width="38.7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9"/>
      <c r="B1" s="23"/>
      <c r="C1" s="54" t="s">
        <v>109</v>
      </c>
      <c r="D1" s="54"/>
      <c r="E1" s="54"/>
      <c r="F1" s="23"/>
      <c r="G1" s="23"/>
      <c r="H1" s="23"/>
      <c r="I1" s="23"/>
      <c r="J1" s="23"/>
      <c r="K1" s="23"/>
    </row>
    <row r="2" spans="1:11" ht="18">
      <c r="A2" s="29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>
      <c r="A3" s="44" t="s">
        <v>2</v>
      </c>
      <c r="B3" s="77" t="s">
        <v>3</v>
      </c>
      <c r="C3" s="78" t="s">
        <v>15</v>
      </c>
      <c r="D3" s="79"/>
      <c r="E3" s="80"/>
      <c r="F3" s="81" t="s">
        <v>16</v>
      </c>
      <c r="G3" s="82" t="s">
        <v>19</v>
      </c>
      <c r="H3" s="83" t="s">
        <v>21</v>
      </c>
      <c r="I3" s="84"/>
      <c r="J3" s="77"/>
      <c r="K3" s="77" t="s">
        <v>22</v>
      </c>
    </row>
    <row r="4" spans="1:11" ht="18">
      <c r="A4" s="50"/>
      <c r="B4" s="85"/>
      <c r="C4" s="86">
        <v>2009</v>
      </c>
      <c r="D4" s="81">
        <v>2010</v>
      </c>
      <c r="E4" s="81" t="s">
        <v>92</v>
      </c>
      <c r="F4" s="87" t="s">
        <v>17</v>
      </c>
      <c r="G4" s="88" t="s">
        <v>20</v>
      </c>
      <c r="H4" s="86">
        <v>2009</v>
      </c>
      <c r="I4" s="81">
        <v>2010</v>
      </c>
      <c r="J4" s="81" t="s">
        <v>92</v>
      </c>
      <c r="K4" s="89" t="s">
        <v>23</v>
      </c>
    </row>
    <row r="5" spans="1:11" ht="18">
      <c r="A5" s="40"/>
      <c r="B5" s="90"/>
      <c r="C5" s="91"/>
      <c r="D5" s="92"/>
      <c r="E5" s="92" t="s">
        <v>93</v>
      </c>
      <c r="F5" s="92" t="s">
        <v>18</v>
      </c>
      <c r="G5" s="93"/>
      <c r="H5" s="94"/>
      <c r="I5" s="95"/>
      <c r="J5" s="92" t="s">
        <v>93</v>
      </c>
      <c r="K5" s="96" t="s">
        <v>0</v>
      </c>
    </row>
    <row r="6" spans="1:11" ht="16.5" customHeight="1">
      <c r="A6" s="41">
        <v>1</v>
      </c>
      <c r="B6" s="97" t="s">
        <v>78</v>
      </c>
      <c r="C6" s="21">
        <v>3.38</v>
      </c>
      <c r="D6" s="21"/>
      <c r="E6" s="22"/>
      <c r="F6" s="21"/>
      <c r="G6" s="22"/>
      <c r="H6" s="22">
        <v>169</v>
      </c>
      <c r="I6" s="22"/>
      <c r="J6" s="22"/>
      <c r="K6" s="21"/>
    </row>
    <row r="7" spans="1:11" ht="16.5" customHeight="1">
      <c r="A7" s="41">
        <v>2</v>
      </c>
      <c r="B7" s="97" t="s">
        <v>79</v>
      </c>
      <c r="C7" s="21">
        <v>59</v>
      </c>
      <c r="D7" s="21">
        <v>56.6</v>
      </c>
      <c r="E7" s="22">
        <f aca="true" t="shared" si="0" ref="E7:E16">D7/C7*100</f>
        <v>95.9322033898305</v>
      </c>
      <c r="F7" s="21">
        <v>49</v>
      </c>
      <c r="G7" s="22">
        <f aca="true" t="shared" si="1" ref="G7:G16">F7/D7*100</f>
        <v>86.57243816254416</v>
      </c>
      <c r="H7" s="22">
        <v>295</v>
      </c>
      <c r="I7" s="22">
        <f>D7/'численность 1'!K7*1000</f>
        <v>314.44444444444446</v>
      </c>
      <c r="J7" s="22">
        <f aca="true" t="shared" si="2" ref="J7:J16">I7/H7*100</f>
        <v>106.59133709981168</v>
      </c>
      <c r="K7" s="21">
        <v>3.3</v>
      </c>
    </row>
    <row r="8" spans="1:11" ht="16.5" customHeight="1">
      <c r="A8" s="41">
        <v>3</v>
      </c>
      <c r="B8" s="97" t="s">
        <v>80</v>
      </c>
      <c r="C8" s="21">
        <v>33</v>
      </c>
      <c r="D8" s="21">
        <v>40</v>
      </c>
      <c r="E8" s="22">
        <f t="shared" si="0"/>
        <v>121.21212121212122</v>
      </c>
      <c r="F8" s="21">
        <v>38</v>
      </c>
      <c r="G8" s="22">
        <f t="shared" si="1"/>
        <v>95</v>
      </c>
      <c r="H8" s="22">
        <v>314</v>
      </c>
      <c r="I8" s="22">
        <f>D8/'численность 1'!K8*1000</f>
        <v>380.9523809523809</v>
      </c>
      <c r="J8" s="22">
        <f t="shared" si="2"/>
        <v>121.32241431604487</v>
      </c>
      <c r="K8" s="21"/>
    </row>
    <row r="9" spans="1:11" ht="16.5" customHeight="1">
      <c r="A9" s="41">
        <v>4</v>
      </c>
      <c r="B9" s="97" t="s">
        <v>81</v>
      </c>
      <c r="C9" s="21">
        <v>23.2</v>
      </c>
      <c r="D9" s="21">
        <v>26.5</v>
      </c>
      <c r="E9" s="22">
        <f t="shared" si="0"/>
        <v>114.22413793103449</v>
      </c>
      <c r="F9" s="21">
        <v>18</v>
      </c>
      <c r="G9" s="22">
        <f t="shared" si="1"/>
        <v>67.9245283018868</v>
      </c>
      <c r="H9" s="22">
        <v>430</v>
      </c>
      <c r="I9" s="22">
        <f>D9/'численность 1'!K9*1000</f>
        <v>490.74074074074076</v>
      </c>
      <c r="J9" s="22">
        <f t="shared" si="2"/>
        <v>114.1257536606374</v>
      </c>
      <c r="K9" s="21"/>
    </row>
    <row r="10" spans="1:11" ht="16.5" customHeight="1">
      <c r="A10" s="41">
        <v>5</v>
      </c>
      <c r="B10" s="97" t="s">
        <v>82</v>
      </c>
      <c r="C10" s="21">
        <v>122.1</v>
      </c>
      <c r="D10" s="21">
        <v>139</v>
      </c>
      <c r="E10" s="22">
        <f t="shared" si="0"/>
        <v>113.84111384111384</v>
      </c>
      <c r="F10" s="21">
        <v>127.5</v>
      </c>
      <c r="G10" s="22">
        <f t="shared" si="1"/>
        <v>91.72661870503596</v>
      </c>
      <c r="H10" s="22">
        <v>396</v>
      </c>
      <c r="I10" s="22">
        <f>D10/'численность 1'!K10*1000</f>
        <v>457.2368421052632</v>
      </c>
      <c r="J10" s="22">
        <f t="shared" si="2"/>
        <v>115.4638490164806</v>
      </c>
      <c r="K10" s="21"/>
    </row>
    <row r="11" spans="1:11" ht="16.5" customHeight="1">
      <c r="A11" s="41">
        <v>6</v>
      </c>
      <c r="B11" s="98" t="s">
        <v>83</v>
      </c>
      <c r="C11" s="21">
        <v>68</v>
      </c>
      <c r="D11" s="21">
        <v>109</v>
      </c>
      <c r="E11" s="22">
        <f t="shared" si="0"/>
        <v>160.29411764705884</v>
      </c>
      <c r="F11" s="21">
        <v>92</v>
      </c>
      <c r="G11" s="22">
        <f t="shared" si="1"/>
        <v>84.40366972477065</v>
      </c>
      <c r="H11" s="22">
        <v>243</v>
      </c>
      <c r="I11" s="22">
        <f>D11/'численность 1'!K11*1000</f>
        <v>436</v>
      </c>
      <c r="J11" s="22">
        <f t="shared" si="2"/>
        <v>179.4238683127572</v>
      </c>
      <c r="K11" s="21"/>
    </row>
    <row r="12" spans="1:11" ht="16.5" customHeight="1">
      <c r="A12" s="41">
        <v>7</v>
      </c>
      <c r="B12" s="98" t="s">
        <v>115</v>
      </c>
      <c r="C12" s="25">
        <v>62.3</v>
      </c>
      <c r="D12" s="25">
        <v>62.3</v>
      </c>
      <c r="E12" s="26">
        <f t="shared" si="0"/>
        <v>100</v>
      </c>
      <c r="F12" s="25">
        <v>47.9</v>
      </c>
      <c r="G12" s="26">
        <f t="shared" si="1"/>
        <v>76.88603531300161</v>
      </c>
      <c r="H12" s="26">
        <v>733</v>
      </c>
      <c r="I12" s="22">
        <f>D12/'численность 1'!K12*1000</f>
        <v>732.9411764705882</v>
      </c>
      <c r="J12" s="26">
        <f t="shared" si="2"/>
        <v>99.99197496188106</v>
      </c>
      <c r="K12" s="25">
        <v>15.9</v>
      </c>
    </row>
    <row r="13" spans="1:11" ht="16.5" customHeight="1">
      <c r="A13" s="41">
        <v>8</v>
      </c>
      <c r="B13" s="98" t="s">
        <v>84</v>
      </c>
      <c r="C13" s="25">
        <v>22.7</v>
      </c>
      <c r="D13" s="25">
        <v>26.1</v>
      </c>
      <c r="E13" s="26">
        <f t="shared" si="0"/>
        <v>114.97797356828194</v>
      </c>
      <c r="F13" s="25">
        <v>22</v>
      </c>
      <c r="G13" s="26">
        <f t="shared" si="1"/>
        <v>84.2911877394636</v>
      </c>
      <c r="H13" s="26">
        <v>329</v>
      </c>
      <c r="I13" s="22">
        <f>D13/'численность 1'!K13*1000</f>
        <v>501.9230769230769</v>
      </c>
      <c r="J13" s="26">
        <f t="shared" si="2"/>
        <v>152.56020575169512</v>
      </c>
      <c r="K13" s="25"/>
    </row>
    <row r="14" spans="1:11" ht="16.5" customHeight="1">
      <c r="A14" s="41">
        <v>9</v>
      </c>
      <c r="B14" s="98" t="s">
        <v>116</v>
      </c>
      <c r="C14" s="25">
        <v>26.5</v>
      </c>
      <c r="D14" s="25">
        <v>51</v>
      </c>
      <c r="E14" s="26">
        <f t="shared" si="0"/>
        <v>192.45283018867926</v>
      </c>
      <c r="F14" s="25">
        <v>42.6</v>
      </c>
      <c r="G14" s="26">
        <f t="shared" si="1"/>
        <v>83.52941176470588</v>
      </c>
      <c r="H14" s="26">
        <v>552</v>
      </c>
      <c r="I14" s="22">
        <f>D14/'численность 1'!K14*1000</f>
        <v>850</v>
      </c>
      <c r="J14" s="26">
        <f t="shared" si="2"/>
        <v>153.9855072463768</v>
      </c>
      <c r="K14" s="25">
        <v>17</v>
      </c>
    </row>
    <row r="15" spans="1:11" ht="16.5" customHeight="1">
      <c r="A15" s="41">
        <v>10</v>
      </c>
      <c r="B15" s="98" t="s">
        <v>85</v>
      </c>
      <c r="C15" s="25">
        <v>20.1</v>
      </c>
      <c r="D15" s="25">
        <v>21.6</v>
      </c>
      <c r="E15" s="26">
        <f t="shared" si="0"/>
        <v>107.46268656716418</v>
      </c>
      <c r="F15" s="25">
        <v>18</v>
      </c>
      <c r="G15" s="26">
        <f t="shared" si="1"/>
        <v>83.33333333333333</v>
      </c>
      <c r="H15" s="26">
        <v>201</v>
      </c>
      <c r="I15" s="22">
        <f>D15/'численность 1'!K15*1000</f>
        <v>216.00000000000003</v>
      </c>
      <c r="J15" s="26">
        <f t="shared" si="2"/>
        <v>107.4626865671642</v>
      </c>
      <c r="K15" s="25"/>
    </row>
    <row r="16" spans="1:11" ht="16.5" customHeight="1">
      <c r="A16" s="41">
        <v>11</v>
      </c>
      <c r="B16" s="98" t="s">
        <v>86</v>
      </c>
      <c r="C16" s="25">
        <v>26.4</v>
      </c>
      <c r="D16" s="25">
        <v>25.8</v>
      </c>
      <c r="E16" s="26">
        <f t="shared" si="0"/>
        <v>97.72727272727273</v>
      </c>
      <c r="F16" s="25">
        <v>14.3</v>
      </c>
      <c r="G16" s="26">
        <f t="shared" si="1"/>
        <v>55.42635658914728</v>
      </c>
      <c r="H16" s="26">
        <v>629</v>
      </c>
      <c r="I16" s="22">
        <f>D16/'численность 1'!K16*1000</f>
        <v>614.2857142857143</v>
      </c>
      <c r="J16" s="26">
        <f t="shared" si="2"/>
        <v>97.66068589598002</v>
      </c>
      <c r="K16" s="25"/>
    </row>
    <row r="17" spans="1:11" ht="16.5" customHeight="1">
      <c r="A17" s="41">
        <v>12</v>
      </c>
      <c r="B17" s="98" t="s">
        <v>87</v>
      </c>
      <c r="C17" s="25"/>
      <c r="D17" s="25"/>
      <c r="E17" s="26"/>
      <c r="F17" s="25"/>
      <c r="G17" s="26"/>
      <c r="H17" s="26"/>
      <c r="I17" s="22"/>
      <c r="J17" s="26"/>
      <c r="K17" s="25"/>
    </row>
    <row r="18" spans="1:11" ht="18">
      <c r="A18" s="213" t="s">
        <v>13</v>
      </c>
      <c r="B18" s="214"/>
      <c r="C18" s="99">
        <f>SUM(C6:C17)</f>
        <v>466.68</v>
      </c>
      <c r="D18" s="99">
        <f>SUM(D6:D17)</f>
        <v>557.9</v>
      </c>
      <c r="E18" s="22">
        <f>D18/C18*100</f>
        <v>119.54658438330333</v>
      </c>
      <c r="F18" s="99">
        <f>SUM(F6:F17)</f>
        <v>469.3</v>
      </c>
      <c r="G18" s="22">
        <f>F18/D18*100</f>
        <v>84.11901774511563</v>
      </c>
      <c r="H18" s="22">
        <v>356</v>
      </c>
      <c r="I18" s="22">
        <f>D18/'численность 1'!K18*1000</f>
        <v>452.84090909090907</v>
      </c>
      <c r="J18" s="22">
        <f>I18/H18*100</f>
        <v>127.20250255362615</v>
      </c>
      <c r="K18" s="99">
        <f>SUM(K7:K17)</f>
        <v>36.2</v>
      </c>
    </row>
  </sheetData>
  <mergeCells count="1">
    <mergeCell ref="A18:B18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2010-03-03T11:59:37Z</cp:lastPrinted>
  <dcterms:created xsi:type="dcterms:W3CDTF">2002-11-05T10:10:22Z</dcterms:created>
  <dcterms:modified xsi:type="dcterms:W3CDTF">2010-06-23T12:17:12Z</dcterms:modified>
  <cp:category/>
  <cp:version/>
  <cp:contentType/>
  <cp:contentStatus/>
</cp:coreProperties>
</file>