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'молоко'!$A$1:$K$22</definedName>
    <definedName name="_xlnm.Print_Area" localSheetId="9">'мясо'!$A$1:$K$25</definedName>
    <definedName name="_xlnm.Print_Area" localSheetId="7">'на 100 га'!$A$1:$F$16</definedName>
    <definedName name="_xlnm.Print_Area" localSheetId="0">'пало1'!$A$1:$V$25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1'!$A$1:$U$25</definedName>
    <definedName name="_xlnm.Print_Area" localSheetId="2">'численность 2'!$A$1:$M$25</definedName>
  </definedNames>
  <calcPr fullCalcOnLoad="1"/>
</workbook>
</file>

<file path=xl/sharedStrings.xml><?xml version="1.0" encoding="utf-8"?>
<sst xmlns="http://schemas.openxmlformats.org/spreadsheetml/2006/main" count="313" uniqueCount="125">
  <si>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</si>
  <si>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</si>
  <si>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</si>
  <si>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</si>
  <si>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</si>
  <si>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</si>
  <si>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</si>
  <si>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</si>
  <si>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</si>
  <si>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</si>
  <si>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</si>
  <si>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</si>
  <si>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</si>
  <si>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</si>
  <si>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</si>
  <si>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</si>
  <si>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</si>
  <si>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</si>
  <si>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</si>
  <si>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</si>
  <si>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</si>
  <si>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</si>
  <si>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</si>
  <si>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</si>
  <si>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</si>
  <si>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</si>
  <si>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</si>
  <si>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</si>
  <si>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</si>
  <si>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</si>
  <si>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</si>
  <si>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</si>
  <si>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</si>
  <si>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</si>
  <si>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</si>
  <si>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</si>
  <si>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</si>
  <si>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</si>
  <si>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</si>
  <si>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</si>
  <si>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</si>
  <si>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</si>
  <si>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</si>
  <si>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</si>
  <si>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</si>
  <si>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</si>
  <si>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</si>
  <si>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</si>
  <si>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</si>
  <si>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</si>
  <si>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</si>
  <si>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</si>
  <si>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</si>
  <si>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</si>
  <si>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</si>
  <si>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</si>
  <si>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</si>
  <si>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</si>
  <si>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</si>
  <si>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</si>
  <si>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</si>
  <si>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</si>
  <si>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</si>
  <si>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</si>
  <si>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</si>
  <si>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</si>
  <si>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</si>
  <si>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</si>
  <si>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</si>
  <si>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</si>
  <si>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</si>
  <si>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</si>
  <si>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</si>
  <si>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</si>
  <si>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</si>
  <si>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</si>
  <si>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</si>
  <si>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</si>
  <si>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</si>
  <si>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</si>
  <si>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</si>
  <si>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</si>
  <si>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</si>
  <si>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</si>
  <si>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</si>
  <si>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</si>
  <si>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</si>
  <si>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</si>
  <si>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</si>
  <si>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</si>
  <si>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</si>
  <si>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</si>
  <si>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</si>
  <si>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</si>
  <si>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</si>
  <si>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Итого в сельскохозяйственных организациях района</t>
  </si>
  <si>
    <t>Итого по сельскохозяйственным оргаизациям по району</t>
  </si>
  <si>
    <t>Итого по сельскохозяйственным организациям района</t>
  </si>
  <si>
    <t xml:space="preserve">                      </t>
  </si>
  <si>
    <t xml:space="preserve">    Производство мяса и молока на 100 га с/х угодий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</si>
  <si>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</si>
  <si>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</si>
  <si>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</si>
  <si>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</si>
  <si>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</si>
  <si>
    <t>маточное поголовье овец и коз на отчетную дату</t>
  </si>
  <si>
    <t>2013 в %</t>
  </si>
  <si>
    <t>к 20121 г.</t>
  </si>
  <si>
    <t>к 2012 г.</t>
  </si>
  <si>
    <t>к 2012г.</t>
  </si>
  <si>
    <t>2012 г.</t>
  </si>
  <si>
    <t>с 2012 г.</t>
  </si>
  <si>
    <t>разница с 2012г.</t>
  </si>
  <si>
    <t>в % к 2012 г.</t>
  </si>
  <si>
    <t>2013 к 2012 г. %</t>
  </si>
  <si>
    <t xml:space="preserve">   Производство мяса за январь-февраль 2013 года по Ибресинскому району </t>
  </si>
  <si>
    <t>Производство молока за  январь-февраль 2013 года по Ибресинскому району</t>
  </si>
  <si>
    <t xml:space="preserve">по Ибресинскому району за январь-февраль 2013  года </t>
  </si>
  <si>
    <t>Поступление приплода (телят) за январь-февраль 2013 года по Ибресинскому  району</t>
  </si>
  <si>
    <t>Случено и осеменено за январь-февраль 2012 года по Ибресинскому району</t>
  </si>
  <si>
    <t>Поступление приплода (поросят) за январь-февраль 2012 года по Ибресинкому  району</t>
  </si>
  <si>
    <t xml:space="preserve"> Численность скота по Ибресинскому району на 1.03.2013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</si>
  <si>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1.03.2013 г., (голов)</t>
    </r>
  </si>
  <si>
    <t>Показатели получения привесов за январь-февраль 2013 года по Ибресинскому району</t>
  </si>
  <si>
    <t>Пало, погибло, куплено и продано  сельскохозяйственных животных за январь-февраль 2013 года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</si>
</sst>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6" sqref="A26:IV31"/>
    </sheetView>
  </sheetViews>
  <sheetFormatPr defaultColWidth="9.00390625" defaultRowHeight="12.75"/>
  <cols>
    <col min="1" max="1" width="4.00390625" style="69" customWidth="1"/>
    <col min="2" max="2" width="34.375" style="69" customWidth="1"/>
    <col min="3" max="4" width="8.75390625" style="69" customWidth="1"/>
    <col min="5" max="5" width="8.875" style="69" customWidth="1"/>
    <col min="6" max="7" width="8.75390625" style="69" customWidth="1"/>
    <col min="8" max="8" width="8.875" style="69" customWidth="1"/>
    <col min="9" max="14" width="8.75390625" style="69" customWidth="1"/>
    <col min="15" max="15" width="8.875" style="69" customWidth="1"/>
    <col min="16" max="18" width="8.75390625" style="69" customWidth="1"/>
    <col min="19" max="19" width="8.875" style="69" customWidth="1"/>
    <col min="20" max="20" width="8.75390625" style="69" customWidth="1"/>
    <col min="21" max="21" width="8.875" style="69" customWidth="1"/>
    <col min="22" max="22" width="8.75390625" style="69" customWidth="1"/>
    <col min="23" max="16384" width="9.125" style="69" customWidth="1"/>
  </cols>
  <sheetData>
    <row r="1" spans="3:18" ht="15.75">
      <c r="C1" s="141" t="s">
        <v>124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3:10" ht="15">
      <c r="C2" s="70"/>
      <c r="D2" s="70"/>
      <c r="E2" s="70"/>
      <c r="F2" s="70"/>
      <c r="G2" s="70"/>
      <c r="H2" s="70"/>
      <c r="I2" s="70"/>
      <c r="J2" s="70"/>
    </row>
    <row r="3" spans="1:22" s="19" customFormat="1" ht="18.75" customHeight="1">
      <c r="A3" s="33" t="s">
        <v>2</v>
      </c>
      <c r="B3" s="22" t="s">
        <v>3</v>
      </c>
      <c r="C3" s="142" t="s">
        <v>38</v>
      </c>
      <c r="D3" s="143"/>
      <c r="E3" s="144"/>
      <c r="F3" s="142" t="s">
        <v>52</v>
      </c>
      <c r="G3" s="143"/>
      <c r="H3" s="144"/>
      <c r="I3" s="94"/>
      <c r="J3" s="99" t="s">
        <v>40</v>
      </c>
      <c r="K3" s="99"/>
      <c r="L3" s="99"/>
      <c r="M3" s="101"/>
      <c r="N3" s="101"/>
      <c r="O3" s="101"/>
      <c r="P3" s="101"/>
      <c r="Q3" s="94"/>
      <c r="R3" s="99" t="s">
        <v>41</v>
      </c>
      <c r="S3" s="99"/>
      <c r="T3" s="98"/>
      <c r="U3" s="101"/>
      <c r="V3" s="101"/>
    </row>
    <row r="4" spans="1:22" s="19" customFormat="1" ht="18.75" customHeight="1">
      <c r="A4" s="38"/>
      <c r="B4" s="32"/>
      <c r="C4" s="145">
        <v>2012</v>
      </c>
      <c r="D4" s="145">
        <v>2013</v>
      </c>
      <c r="E4" s="103" t="s">
        <v>39</v>
      </c>
      <c r="F4" s="145">
        <v>2012</v>
      </c>
      <c r="G4" s="145">
        <v>2013</v>
      </c>
      <c r="H4" s="103" t="s">
        <v>39</v>
      </c>
      <c r="I4" s="133" t="s">
        <v>84</v>
      </c>
      <c r="J4" s="134"/>
      <c r="K4" s="133" t="s">
        <v>83</v>
      </c>
      <c r="L4" s="134"/>
      <c r="M4" s="133" t="s">
        <v>79</v>
      </c>
      <c r="N4" s="134"/>
      <c r="O4" s="133" t="s">
        <v>80</v>
      </c>
      <c r="P4" s="134"/>
      <c r="Q4" s="133" t="s">
        <v>82</v>
      </c>
      <c r="R4" s="134"/>
      <c r="S4" s="133" t="s">
        <v>83</v>
      </c>
      <c r="T4" s="134"/>
      <c r="U4" s="133" t="s">
        <v>80</v>
      </c>
      <c r="V4" s="134"/>
    </row>
    <row r="5" spans="1:22" s="19" customFormat="1" ht="18.75" customHeight="1">
      <c r="A5" s="29"/>
      <c r="B5" s="28"/>
      <c r="C5" s="146"/>
      <c r="D5" s="146"/>
      <c r="E5" s="104" t="s">
        <v>111</v>
      </c>
      <c r="F5" s="146"/>
      <c r="G5" s="146"/>
      <c r="H5" s="104" t="s">
        <v>111</v>
      </c>
      <c r="I5" s="105">
        <v>2012</v>
      </c>
      <c r="J5" s="106">
        <v>2013</v>
      </c>
      <c r="K5" s="105">
        <v>2012</v>
      </c>
      <c r="L5" s="106">
        <v>2013</v>
      </c>
      <c r="M5" s="105">
        <v>2012</v>
      </c>
      <c r="N5" s="106">
        <v>2013</v>
      </c>
      <c r="O5" s="105">
        <v>2012</v>
      </c>
      <c r="P5" s="106">
        <v>2013</v>
      </c>
      <c r="Q5" s="105">
        <v>2012</v>
      </c>
      <c r="R5" s="106">
        <v>2013</v>
      </c>
      <c r="S5" s="105">
        <v>2012</v>
      </c>
      <c r="T5" s="106">
        <v>2013</v>
      </c>
      <c r="U5" s="105">
        <v>2012</v>
      </c>
      <c r="V5" s="106">
        <v>2013</v>
      </c>
    </row>
    <row r="6" spans="1:22" s="19" customFormat="1" ht="15" customHeight="1">
      <c r="A6" s="30">
        <v>1</v>
      </c>
      <c r="B6" s="30" t="s">
        <v>55</v>
      </c>
      <c r="C6" s="3"/>
      <c r="D6" s="3"/>
      <c r="E6" s="11">
        <f aca="true" t="shared" si="0" ref="E6:E24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9" customFormat="1" ht="13.5" customHeight="1">
      <c r="A7" s="30">
        <v>2</v>
      </c>
      <c r="B7" s="30" t="s">
        <v>56</v>
      </c>
      <c r="C7" s="3"/>
      <c r="D7" s="3">
        <v>2</v>
      </c>
      <c r="E7" s="11">
        <f t="shared" si="0"/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9" customFormat="1" ht="13.5" customHeight="1">
      <c r="A8" s="30">
        <v>3</v>
      </c>
      <c r="B8" s="30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8</v>
      </c>
      <c r="R8" s="3"/>
      <c r="S8" s="3"/>
      <c r="T8" s="3"/>
      <c r="U8" s="3"/>
      <c r="V8" s="3"/>
    </row>
    <row r="9" spans="1:22" s="19" customFormat="1" ht="12.75" customHeight="1">
      <c r="A9" s="30">
        <v>4</v>
      </c>
      <c r="B9" s="21" t="s">
        <v>58</v>
      </c>
      <c r="C9" s="3">
        <v>4</v>
      </c>
      <c r="D9" s="3">
        <v>1</v>
      </c>
      <c r="E9" s="11">
        <f t="shared" si="0"/>
        <v>-3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17</v>
      </c>
      <c r="T9" s="3">
        <v>2</v>
      </c>
      <c r="U9" s="3"/>
      <c r="V9" s="3"/>
    </row>
    <row r="10" spans="1:22" s="19" customFormat="1" ht="13.5" customHeight="1">
      <c r="A10" s="30">
        <v>5</v>
      </c>
      <c r="B10" s="89" t="s">
        <v>59</v>
      </c>
      <c r="C10" s="3"/>
      <c r="D10" s="3">
        <v>1</v>
      </c>
      <c r="E10" s="11">
        <f t="shared" si="0"/>
        <v>1</v>
      </c>
      <c r="F10" s="3">
        <v>6</v>
      </c>
      <c r="G10" s="3"/>
      <c r="H10" s="3">
        <f>G10-F10</f>
        <v>-6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9" customFormat="1" ht="12.75" customHeight="1">
      <c r="A11" s="30">
        <v>6</v>
      </c>
      <c r="B11" s="31" t="s">
        <v>72</v>
      </c>
      <c r="C11" s="3"/>
      <c r="D11" s="3"/>
      <c r="E11" s="11">
        <f t="shared" si="0"/>
        <v>0</v>
      </c>
      <c r="F11" s="3"/>
      <c r="G11" s="3"/>
      <c r="H11" s="3"/>
      <c r="I11" s="85"/>
      <c r="J11" s="85"/>
      <c r="K11" s="85"/>
      <c r="L11" s="85"/>
      <c r="M11" s="85"/>
      <c r="N11" s="85"/>
      <c r="O11" s="85"/>
      <c r="P11" s="85"/>
      <c r="Q11" s="85"/>
      <c r="R11" s="85">
        <v>8</v>
      </c>
      <c r="S11" s="85"/>
      <c r="T11" s="85"/>
      <c r="U11" s="85"/>
      <c r="V11" s="85"/>
    </row>
    <row r="12" spans="1:22" s="19" customFormat="1" ht="12.75" customHeight="1">
      <c r="A12" s="30">
        <v>8</v>
      </c>
      <c r="B12" s="31" t="s">
        <v>85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19" customFormat="1" ht="13.5" customHeight="1">
      <c r="A13" s="30">
        <v>9</v>
      </c>
      <c r="B13" s="31" t="s">
        <v>71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19" customFormat="1" ht="12.75" customHeight="1">
      <c r="A14" s="30">
        <v>10</v>
      </c>
      <c r="B14" s="30" t="s">
        <v>60</v>
      </c>
      <c r="C14" s="3"/>
      <c r="D14" s="3">
        <v>2</v>
      </c>
      <c r="E14" s="11">
        <f t="shared" si="0"/>
        <v>2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>
        <v>1</v>
      </c>
      <c r="R14" s="3"/>
      <c r="S14" s="3"/>
      <c r="T14" s="3"/>
      <c r="U14" s="3"/>
      <c r="V14" s="3"/>
    </row>
    <row r="15" spans="1:22" s="19" customFormat="1" ht="12.75" customHeight="1">
      <c r="A15" s="30">
        <v>11</v>
      </c>
      <c r="B15" s="30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>
        <v>16</v>
      </c>
      <c r="S15" s="3"/>
      <c r="T15" s="3"/>
      <c r="U15" s="3"/>
      <c r="V15" s="3"/>
    </row>
    <row r="16" spans="1:22" s="19" customFormat="1" ht="12.75" customHeight="1">
      <c r="A16" s="30">
        <v>12</v>
      </c>
      <c r="B16" s="30" t="s">
        <v>62</v>
      </c>
      <c r="C16" s="3"/>
      <c r="D16" s="3"/>
      <c r="E16" s="11"/>
      <c r="F16" s="3">
        <v>99</v>
      </c>
      <c r="G16" s="3">
        <v>160</v>
      </c>
      <c r="H16" s="3">
        <f>G16-F16</f>
        <v>61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129</v>
      </c>
      <c r="T16" s="3">
        <v>148</v>
      </c>
      <c r="U16" s="3"/>
      <c r="V16" s="3"/>
    </row>
    <row r="17" spans="1:22" s="19" customFormat="1" ht="12.75" customHeight="1">
      <c r="A17" s="30">
        <v>13</v>
      </c>
      <c r="B17" s="31" t="s">
        <v>70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19" customFormat="1" ht="12.75" customHeight="1">
      <c r="A18" s="30">
        <v>14</v>
      </c>
      <c r="B18" s="31" t="s">
        <v>104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19" customFormat="1" ht="44.25" customHeight="1">
      <c r="A19" s="137" t="s">
        <v>97</v>
      </c>
      <c r="B19" s="138"/>
      <c r="C19" s="3">
        <f>SUM(C6:C17)</f>
        <v>4</v>
      </c>
      <c r="D19" s="3">
        <f>SUM(D6:D17)</f>
        <v>6</v>
      </c>
      <c r="E19" s="11">
        <f t="shared" si="0"/>
        <v>2</v>
      </c>
      <c r="F19" s="3">
        <f>SUM(F10:F17)</f>
        <v>105</v>
      </c>
      <c r="G19" s="3">
        <f>SUM(G10:G17)</f>
        <v>160</v>
      </c>
      <c r="H19" s="3">
        <f>G19-F19</f>
        <v>55</v>
      </c>
      <c r="I19" s="3">
        <f>SUM(I6:I17)</f>
        <v>1</v>
      </c>
      <c r="J19" s="3">
        <f aca="true" t="shared" si="1" ref="J19:T19">SUM(J6:J17)</f>
        <v>1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0</v>
      </c>
      <c r="Q19" s="3">
        <f t="shared" si="1"/>
        <v>9</v>
      </c>
      <c r="R19" s="3">
        <f t="shared" si="1"/>
        <v>24</v>
      </c>
      <c r="S19" s="3">
        <f t="shared" si="1"/>
        <v>146</v>
      </c>
      <c r="T19" s="3">
        <f t="shared" si="1"/>
        <v>150</v>
      </c>
      <c r="U19" s="3">
        <f>SUM(U6:U17)</f>
        <v>0</v>
      </c>
      <c r="V19" s="3">
        <f>SUM(V6:V17)</f>
        <v>0</v>
      </c>
    </row>
    <row r="20" spans="1:22" s="19" customFormat="1" ht="14.25" customHeight="1">
      <c r="A20" s="127">
        <v>1</v>
      </c>
      <c r="B20" s="31" t="s">
        <v>100</v>
      </c>
      <c r="C20" s="3"/>
      <c r="D20" s="3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4</v>
      </c>
      <c r="S20" s="3"/>
      <c r="T20" s="3"/>
      <c r="U20" s="3"/>
      <c r="V20" s="3"/>
    </row>
    <row r="21" spans="1:22" s="19" customFormat="1" ht="12.75" customHeight="1">
      <c r="A21" s="30">
        <v>2</v>
      </c>
      <c r="B21" s="31" t="s">
        <v>103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85"/>
      <c r="N21" s="3"/>
      <c r="O21" s="3"/>
      <c r="P21" s="3"/>
      <c r="Q21" s="3"/>
      <c r="R21" s="3"/>
      <c r="S21" s="125"/>
      <c r="T21" s="3"/>
      <c r="U21" s="3"/>
      <c r="V21" s="3"/>
    </row>
    <row r="22" spans="1:22" s="19" customFormat="1" ht="12.75" customHeight="1">
      <c r="A22" s="30">
        <v>3</v>
      </c>
      <c r="B22" s="31" t="s">
        <v>81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5"/>
      <c r="N22" s="3"/>
      <c r="O22" s="3"/>
      <c r="P22" s="3"/>
      <c r="Q22" s="3"/>
      <c r="R22" s="3"/>
      <c r="S22" s="125"/>
      <c r="T22" s="3"/>
      <c r="U22" s="3"/>
      <c r="V22" s="3"/>
    </row>
    <row r="23" spans="1:22" s="19" customFormat="1" ht="12.75" customHeight="1">
      <c r="A23" s="30">
        <v>4</v>
      </c>
      <c r="B23" s="31" t="s">
        <v>86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5"/>
      <c r="N23" s="3"/>
      <c r="O23" s="3"/>
      <c r="P23" s="3"/>
      <c r="Q23" s="3"/>
      <c r="R23" s="3"/>
      <c r="S23" s="125"/>
      <c r="T23" s="3"/>
      <c r="U23" s="3"/>
      <c r="V23" s="3"/>
    </row>
    <row r="24" spans="1:22" s="19" customFormat="1" ht="30" customHeight="1">
      <c r="A24" s="139" t="s">
        <v>88</v>
      </c>
      <c r="B24" s="140"/>
      <c r="C24" s="3">
        <f>SUM(C21:C23)</f>
        <v>0</v>
      </c>
      <c r="D24" s="3">
        <f>SUM(D21:D23)</f>
        <v>0</v>
      </c>
      <c r="E24" s="11">
        <f t="shared" si="0"/>
        <v>0</v>
      </c>
      <c r="F24" s="3">
        <f aca="true" t="shared" si="2" ref="F24:T24">SUM(F21:F23)</f>
        <v>0</v>
      </c>
      <c r="G24" s="3">
        <f t="shared" si="2"/>
        <v>0</v>
      </c>
      <c r="H24" s="3">
        <f>G24-F24</f>
        <v>0</v>
      </c>
      <c r="I24" s="3">
        <f t="shared" si="2"/>
        <v>0</v>
      </c>
      <c r="J24" s="3">
        <f>SUM(J20:J23)</f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>SUM(U21:U23)</f>
        <v>0</v>
      </c>
      <c r="V24" s="3">
        <f>SUM(V21:V23)</f>
        <v>0</v>
      </c>
    </row>
    <row r="25" spans="1:22" s="19" customFormat="1" ht="37.5" customHeight="1">
      <c r="A25" s="135" t="s">
        <v>89</v>
      </c>
      <c r="B25" s="136"/>
      <c r="C25" s="3">
        <f>C24+C19</f>
        <v>4</v>
      </c>
      <c r="D25" s="3">
        <f>D24+D19</f>
        <v>6</v>
      </c>
      <c r="E25" s="11">
        <f>D25-C25</f>
        <v>2</v>
      </c>
      <c r="F25" s="3">
        <f>F24+F19</f>
        <v>105</v>
      </c>
      <c r="G25" s="3">
        <f>G24+G19</f>
        <v>160</v>
      </c>
      <c r="H25" s="3">
        <f>G25-F25</f>
        <v>55</v>
      </c>
      <c r="I25" s="3">
        <f aca="true" t="shared" si="3" ref="I25:V25">I24+I19</f>
        <v>1</v>
      </c>
      <c r="J25" s="3">
        <f t="shared" si="3"/>
        <v>1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3">
        <f t="shared" si="3"/>
        <v>0</v>
      </c>
      <c r="P25" s="3">
        <f t="shared" si="3"/>
        <v>0</v>
      </c>
      <c r="Q25" s="3">
        <f t="shared" si="3"/>
        <v>9</v>
      </c>
      <c r="R25" s="3">
        <f t="shared" si="3"/>
        <v>24</v>
      </c>
      <c r="S25" s="3">
        <f t="shared" si="3"/>
        <v>146</v>
      </c>
      <c r="T25" s="3">
        <f t="shared" si="3"/>
        <v>150</v>
      </c>
      <c r="U25" s="3">
        <f t="shared" si="3"/>
        <v>0</v>
      </c>
      <c r="V25" s="3">
        <f t="shared" si="3"/>
        <v>0</v>
      </c>
    </row>
  </sheetData>
  <sheetProtection/>
  <mergeCells count="17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U4:V4"/>
    <mergeCell ref="Q4:R4"/>
    <mergeCell ref="S4:T4"/>
    <mergeCell ref="I4:J4"/>
    <mergeCell ref="K4:L4"/>
    <mergeCell ref="A25:B25"/>
    <mergeCell ref="A19:B19"/>
    <mergeCell ref="A24:B24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Normal="65" zoomScaleSheetLayoutView="75" zoomScalePageLayoutView="0" workbookViewId="0" topLeftCell="A1">
      <selection activeCell="K10" sqref="K10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19"/>
      <c r="B1" s="19"/>
      <c r="C1" s="91" t="s">
        <v>115</v>
      </c>
      <c r="D1" s="91"/>
      <c r="E1" s="91"/>
      <c r="F1" s="91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211" t="s">
        <v>2</v>
      </c>
      <c r="B3" s="211" t="s">
        <v>3</v>
      </c>
      <c r="C3" s="23" t="s">
        <v>19</v>
      </c>
      <c r="D3" s="24"/>
      <c r="E3" s="26"/>
      <c r="F3" s="23"/>
      <c r="G3" s="24"/>
      <c r="H3" s="24" t="s">
        <v>20</v>
      </c>
      <c r="I3" s="24"/>
      <c r="J3" s="24"/>
      <c r="K3" s="26"/>
      <c r="L3" s="19"/>
      <c r="M3" s="19"/>
    </row>
    <row r="4" spans="1:13" ht="15">
      <c r="A4" s="212"/>
      <c r="B4" s="212"/>
      <c r="C4" s="17">
        <v>2012</v>
      </c>
      <c r="D4" s="18">
        <v>2013</v>
      </c>
      <c r="E4" s="18" t="s">
        <v>106</v>
      </c>
      <c r="F4" s="23" t="s">
        <v>23</v>
      </c>
      <c r="G4" s="26"/>
      <c r="H4" s="23" t="s">
        <v>21</v>
      </c>
      <c r="I4" s="26"/>
      <c r="J4" s="23" t="s">
        <v>22</v>
      </c>
      <c r="K4" s="26"/>
      <c r="L4" s="19"/>
      <c r="M4" s="19"/>
    </row>
    <row r="5" spans="1:13" ht="15">
      <c r="A5" s="213"/>
      <c r="B5" s="213"/>
      <c r="C5" s="39"/>
      <c r="D5" s="11"/>
      <c r="E5" s="11" t="s">
        <v>107</v>
      </c>
      <c r="F5" s="17">
        <v>2012</v>
      </c>
      <c r="G5" s="18">
        <v>2013</v>
      </c>
      <c r="H5" s="17">
        <v>2012</v>
      </c>
      <c r="I5" s="18">
        <v>2013</v>
      </c>
      <c r="J5" s="17">
        <v>2012</v>
      </c>
      <c r="K5" s="18">
        <v>2013</v>
      </c>
      <c r="L5" s="19"/>
      <c r="M5" s="19"/>
    </row>
    <row r="6" spans="1:13" ht="16.5">
      <c r="A6" s="30">
        <v>1</v>
      </c>
      <c r="B6" s="30" t="s">
        <v>55</v>
      </c>
      <c r="C6" s="80">
        <v>5.2</v>
      </c>
      <c r="D6" s="80">
        <v>1.1</v>
      </c>
      <c r="E6" s="79">
        <f aca="true" t="shared" si="0" ref="E6:E25">D6*100/C6</f>
        <v>21.153846153846157</v>
      </c>
      <c r="F6" s="80">
        <v>5.2</v>
      </c>
      <c r="G6" s="80">
        <v>1.1</v>
      </c>
      <c r="H6" s="80"/>
      <c r="I6" s="80"/>
      <c r="J6" s="80"/>
      <c r="K6" s="80"/>
      <c r="L6" s="19"/>
      <c r="M6" s="19"/>
    </row>
    <row r="7" spans="1:13" ht="16.5">
      <c r="A7" s="30">
        <v>2</v>
      </c>
      <c r="B7" s="30" t="s">
        <v>56</v>
      </c>
      <c r="C7" s="80">
        <v>0.25</v>
      </c>
      <c r="D7" s="80">
        <v>0.668</v>
      </c>
      <c r="E7" s="79">
        <f t="shared" si="0"/>
        <v>267.2</v>
      </c>
      <c r="F7" s="80">
        <v>0.25</v>
      </c>
      <c r="G7" s="80">
        <v>0.668</v>
      </c>
      <c r="H7" s="80"/>
      <c r="I7" s="80"/>
      <c r="J7" s="80"/>
      <c r="K7" s="80"/>
      <c r="L7" s="19"/>
      <c r="M7" s="19"/>
    </row>
    <row r="8" spans="1:13" ht="16.5">
      <c r="A8" s="30">
        <v>3</v>
      </c>
      <c r="B8" s="30" t="s">
        <v>57</v>
      </c>
      <c r="C8" s="80">
        <v>1.9</v>
      </c>
      <c r="D8" s="80">
        <v>1.4</v>
      </c>
      <c r="E8" s="79">
        <f t="shared" si="0"/>
        <v>73.6842105263158</v>
      </c>
      <c r="F8" s="80">
        <v>1.9</v>
      </c>
      <c r="G8" s="80">
        <v>1.4</v>
      </c>
      <c r="H8" s="80"/>
      <c r="I8" s="80"/>
      <c r="J8" s="80"/>
      <c r="K8" s="80"/>
      <c r="L8" s="19"/>
      <c r="M8" s="19"/>
    </row>
    <row r="9" spans="1:13" ht="16.5">
      <c r="A9" s="30">
        <v>4</v>
      </c>
      <c r="B9" s="40" t="s">
        <v>58</v>
      </c>
      <c r="C9" s="80">
        <v>10.1</v>
      </c>
      <c r="D9" s="80">
        <v>15.2</v>
      </c>
      <c r="E9" s="79">
        <f t="shared" si="0"/>
        <v>150.4950495049505</v>
      </c>
      <c r="F9" s="80">
        <v>9.8</v>
      </c>
      <c r="G9" s="80">
        <v>6.6</v>
      </c>
      <c r="H9" s="80">
        <v>0.3</v>
      </c>
      <c r="I9" s="80">
        <v>8.3</v>
      </c>
      <c r="J9" s="80"/>
      <c r="K9" s="80">
        <v>0.3</v>
      </c>
      <c r="L9" s="19"/>
      <c r="M9" s="19"/>
    </row>
    <row r="10" spans="1:13" ht="16.5">
      <c r="A10" s="30">
        <v>5</v>
      </c>
      <c r="B10" s="30" t="s">
        <v>59</v>
      </c>
      <c r="C10" s="80">
        <v>18.5</v>
      </c>
      <c r="D10" s="80">
        <v>3.4</v>
      </c>
      <c r="E10" s="79">
        <f t="shared" si="0"/>
        <v>18.37837837837838</v>
      </c>
      <c r="F10" s="80">
        <v>15</v>
      </c>
      <c r="G10" s="80">
        <v>2.6</v>
      </c>
      <c r="H10" s="80">
        <v>3.2</v>
      </c>
      <c r="I10" s="80">
        <v>0.8</v>
      </c>
      <c r="J10" s="80">
        <v>0.3</v>
      </c>
      <c r="K10" s="80"/>
      <c r="L10" s="19"/>
      <c r="M10" s="19"/>
    </row>
    <row r="11" spans="1:13" ht="16.5">
      <c r="A11" s="30">
        <v>6</v>
      </c>
      <c r="B11" s="31" t="s">
        <v>72</v>
      </c>
      <c r="C11" s="113">
        <v>2.1</v>
      </c>
      <c r="D11" s="113">
        <v>4.78</v>
      </c>
      <c r="E11" s="79">
        <f t="shared" si="0"/>
        <v>227.61904761904762</v>
      </c>
      <c r="F11" s="81">
        <v>2.1</v>
      </c>
      <c r="G11" s="81">
        <v>4.78</v>
      </c>
      <c r="H11" s="81"/>
      <c r="I11" s="81"/>
      <c r="J11" s="81"/>
      <c r="K11" s="81"/>
      <c r="L11" s="19"/>
      <c r="M11" s="19"/>
    </row>
    <row r="12" spans="1:13" ht="16.5">
      <c r="A12" s="30">
        <v>8</v>
      </c>
      <c r="B12" s="31" t="s">
        <v>85</v>
      </c>
      <c r="C12" s="80">
        <v>7.783</v>
      </c>
      <c r="D12" s="80">
        <v>3.107</v>
      </c>
      <c r="E12" s="79">
        <f t="shared" si="0"/>
        <v>39.92033920082231</v>
      </c>
      <c r="F12" s="81">
        <v>7.783</v>
      </c>
      <c r="G12" s="81">
        <v>3.107</v>
      </c>
      <c r="H12" s="81"/>
      <c r="I12" s="81"/>
      <c r="J12" s="81"/>
      <c r="K12" s="81"/>
      <c r="L12" s="19"/>
      <c r="M12" s="19"/>
    </row>
    <row r="13" spans="1:13" ht="16.5">
      <c r="A13" s="30">
        <v>9</v>
      </c>
      <c r="B13" s="31" t="s">
        <v>71</v>
      </c>
      <c r="C13" s="80">
        <v>1.89</v>
      </c>
      <c r="D13" s="80">
        <v>3.12</v>
      </c>
      <c r="E13" s="79">
        <f t="shared" si="0"/>
        <v>165.0793650793651</v>
      </c>
      <c r="F13" s="81">
        <v>1.49</v>
      </c>
      <c r="G13" s="81">
        <v>2.95</v>
      </c>
      <c r="H13" s="81"/>
      <c r="I13" s="81"/>
      <c r="J13" s="81">
        <v>0.4</v>
      </c>
      <c r="K13" s="81">
        <v>0.17</v>
      </c>
      <c r="L13" s="19"/>
      <c r="M13" s="19"/>
    </row>
    <row r="14" spans="1:13" ht="16.5">
      <c r="A14" s="30">
        <v>10</v>
      </c>
      <c r="B14" s="31" t="s">
        <v>60</v>
      </c>
      <c r="C14" s="80">
        <v>8.6</v>
      </c>
      <c r="D14" s="80">
        <v>5.9</v>
      </c>
      <c r="E14" s="79">
        <f t="shared" si="0"/>
        <v>68.6046511627907</v>
      </c>
      <c r="F14" s="81">
        <v>8.6</v>
      </c>
      <c r="G14" s="81">
        <v>5.9</v>
      </c>
      <c r="H14" s="81"/>
      <c r="I14" s="81"/>
      <c r="J14" s="81"/>
      <c r="K14" s="81"/>
      <c r="L14" s="19"/>
      <c r="M14" s="19"/>
    </row>
    <row r="15" spans="1:13" ht="16.5">
      <c r="A15" s="30">
        <v>11</v>
      </c>
      <c r="B15" s="31" t="s">
        <v>61</v>
      </c>
      <c r="C15" s="80">
        <v>1.6</v>
      </c>
      <c r="D15" s="80">
        <v>0.86</v>
      </c>
      <c r="E15" s="79">
        <f t="shared" si="0"/>
        <v>53.75</v>
      </c>
      <c r="F15" s="81">
        <v>1.6</v>
      </c>
      <c r="G15" s="81">
        <v>0.86</v>
      </c>
      <c r="H15" s="81"/>
      <c r="I15" s="81"/>
      <c r="J15" s="81"/>
      <c r="K15" s="81"/>
      <c r="L15" s="19"/>
      <c r="M15" s="19"/>
    </row>
    <row r="16" spans="1:13" ht="16.5">
      <c r="A16" s="30">
        <v>12</v>
      </c>
      <c r="B16" s="31" t="s">
        <v>62</v>
      </c>
      <c r="C16" s="80">
        <v>150</v>
      </c>
      <c r="D16" s="80">
        <v>248</v>
      </c>
      <c r="E16" s="79">
        <f t="shared" si="0"/>
        <v>165.33333333333334</v>
      </c>
      <c r="F16" s="81"/>
      <c r="G16" s="81"/>
      <c r="H16" s="81">
        <v>150</v>
      </c>
      <c r="I16" s="81">
        <v>248</v>
      </c>
      <c r="J16" s="81"/>
      <c r="K16" s="81"/>
      <c r="L16" s="19"/>
      <c r="M16" s="19"/>
    </row>
    <row r="17" spans="1:13" ht="16.5">
      <c r="A17" s="30">
        <v>13</v>
      </c>
      <c r="B17" s="31" t="s">
        <v>70</v>
      </c>
      <c r="C17" s="80"/>
      <c r="D17" s="80">
        <v>0.3</v>
      </c>
      <c r="E17" s="79"/>
      <c r="F17" s="81"/>
      <c r="G17" s="81"/>
      <c r="H17" s="81"/>
      <c r="I17" s="81"/>
      <c r="J17" s="81"/>
      <c r="K17" s="81">
        <v>0.3</v>
      </c>
      <c r="L17" s="19"/>
      <c r="M17" s="19"/>
    </row>
    <row r="18" spans="1:13" ht="16.5">
      <c r="A18" s="30">
        <v>14</v>
      </c>
      <c r="B18" s="31" t="s">
        <v>104</v>
      </c>
      <c r="C18" s="80"/>
      <c r="D18" s="80"/>
      <c r="E18" s="79"/>
      <c r="F18" s="81"/>
      <c r="G18" s="81"/>
      <c r="H18" s="81"/>
      <c r="I18" s="81"/>
      <c r="J18" s="81"/>
      <c r="K18" s="81"/>
      <c r="L18" s="19"/>
      <c r="M18" s="19"/>
    </row>
    <row r="19" spans="1:13" ht="46.5" customHeight="1">
      <c r="A19" s="214" t="s">
        <v>87</v>
      </c>
      <c r="B19" s="215"/>
      <c r="C19" s="80">
        <f>SUM(C6:C17)</f>
        <v>207.923</v>
      </c>
      <c r="D19" s="80">
        <f>SUM(D6:D18)</f>
        <v>287.835</v>
      </c>
      <c r="E19" s="79">
        <f t="shared" si="0"/>
        <v>138.43345853994026</v>
      </c>
      <c r="F19" s="81">
        <f>SUM(F6:F17)</f>
        <v>53.723000000000006</v>
      </c>
      <c r="G19" s="81">
        <f>SUM(G6:G17)</f>
        <v>29.964999999999996</v>
      </c>
      <c r="H19" s="81">
        <f>SUM(H6:H17)</f>
        <v>153.5</v>
      </c>
      <c r="I19" s="81">
        <f>SUM(I6:I17)</f>
        <v>257.1</v>
      </c>
      <c r="J19" s="81">
        <f>SUM(J6:J17)</f>
        <v>0.7</v>
      </c>
      <c r="K19" s="81">
        <f>SUM(K6:K18)</f>
        <v>0.77</v>
      </c>
      <c r="L19" s="19"/>
      <c r="M19" s="19"/>
    </row>
    <row r="20" spans="1:13" ht="16.5">
      <c r="A20" s="30">
        <v>1</v>
      </c>
      <c r="B20" s="31" t="s">
        <v>100</v>
      </c>
      <c r="C20" s="2"/>
      <c r="D20" s="80"/>
      <c r="E20" s="79"/>
      <c r="F20" s="2"/>
      <c r="G20" s="80"/>
      <c r="H20" s="2"/>
      <c r="I20" s="2"/>
      <c r="J20" s="81"/>
      <c r="K20" s="81"/>
      <c r="L20" s="19"/>
      <c r="M20" s="19"/>
    </row>
    <row r="21" spans="1:13" ht="16.5">
      <c r="A21" s="30">
        <v>2</v>
      </c>
      <c r="B21" s="31" t="s">
        <v>103</v>
      </c>
      <c r="C21" s="2"/>
      <c r="D21" s="2"/>
      <c r="E21" s="79"/>
      <c r="F21" s="2"/>
      <c r="G21" s="2"/>
      <c r="H21" s="2"/>
      <c r="I21" s="2"/>
      <c r="J21" s="81"/>
      <c r="K21" s="81"/>
      <c r="L21" s="19"/>
      <c r="M21" s="19"/>
    </row>
    <row r="22" spans="1:13" ht="16.5">
      <c r="A22" s="30">
        <v>3</v>
      </c>
      <c r="B22" s="31" t="s">
        <v>81</v>
      </c>
      <c r="C22" s="80"/>
      <c r="D22" s="80"/>
      <c r="E22" s="79"/>
      <c r="F22" s="81"/>
      <c r="G22" s="81"/>
      <c r="H22" s="81"/>
      <c r="I22" s="81"/>
      <c r="J22" s="81"/>
      <c r="K22" s="81"/>
      <c r="L22" s="19"/>
      <c r="M22" s="19"/>
    </row>
    <row r="23" spans="1:13" ht="18">
      <c r="A23" s="30">
        <v>4</v>
      </c>
      <c r="B23" s="31" t="s">
        <v>86</v>
      </c>
      <c r="C23" s="80"/>
      <c r="D23" s="80"/>
      <c r="E23" s="79"/>
      <c r="F23" s="15"/>
      <c r="G23" s="81"/>
      <c r="H23" s="15"/>
      <c r="I23" s="81"/>
      <c r="J23" s="81"/>
      <c r="K23" s="81"/>
      <c r="L23" s="19"/>
      <c r="M23" s="19"/>
    </row>
    <row r="24" spans="1:13" ht="18">
      <c r="A24" s="216" t="s">
        <v>88</v>
      </c>
      <c r="B24" s="217"/>
      <c r="C24" s="128">
        <f>SUM(C22:C23)</f>
        <v>0</v>
      </c>
      <c r="D24" s="128">
        <f>SUM(D20:D23)</f>
        <v>0</v>
      </c>
      <c r="E24" s="129"/>
      <c r="F24" s="130">
        <f>SUM(F22:F23)</f>
        <v>0</v>
      </c>
      <c r="G24" s="131">
        <f>SUM(G20:G23)</f>
        <v>0</v>
      </c>
      <c r="H24" s="130">
        <f>SUM(H22:H23)</f>
        <v>0</v>
      </c>
      <c r="I24" s="131">
        <f>SUM(I20:I23)</f>
        <v>0</v>
      </c>
      <c r="J24" s="131">
        <f>SUM(J20:J23)</f>
        <v>0</v>
      </c>
      <c r="K24" s="131">
        <f>SUM(K20:K23)</f>
        <v>0</v>
      </c>
      <c r="L24" s="19"/>
      <c r="M24" s="19"/>
    </row>
    <row r="25" spans="1:13" ht="16.5">
      <c r="A25" s="209" t="s">
        <v>89</v>
      </c>
      <c r="B25" s="210"/>
      <c r="C25" s="82">
        <f>C19+C24</f>
        <v>207.923</v>
      </c>
      <c r="D25" s="82">
        <f>D19+D24</f>
        <v>287.835</v>
      </c>
      <c r="E25" s="79">
        <f t="shared" si="0"/>
        <v>138.43345853994026</v>
      </c>
      <c r="F25" s="82">
        <f aca="true" t="shared" si="1" ref="F25:K25">F19+F24</f>
        <v>53.723000000000006</v>
      </c>
      <c r="G25" s="82">
        <f t="shared" si="1"/>
        <v>29.964999999999996</v>
      </c>
      <c r="H25" s="82">
        <f t="shared" si="1"/>
        <v>153.5</v>
      </c>
      <c r="I25" s="82">
        <f t="shared" si="1"/>
        <v>257.1</v>
      </c>
      <c r="J25" s="82">
        <f t="shared" si="1"/>
        <v>0.7</v>
      </c>
      <c r="K25" s="82">
        <f t="shared" si="1"/>
        <v>0.77</v>
      </c>
      <c r="L25" s="19"/>
      <c r="M25" s="19"/>
    </row>
  </sheetData>
  <sheetProtection/>
  <mergeCells count="5">
    <mergeCell ref="A25:B25"/>
    <mergeCell ref="A3:A5"/>
    <mergeCell ref="B3:B5"/>
    <mergeCell ref="A19:B19"/>
    <mergeCell ref="A24:B24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35" sqref="C3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0" ht="15.75">
      <c r="B2" s="19"/>
      <c r="C2" s="19"/>
      <c r="D2" s="19"/>
      <c r="E2" s="19"/>
      <c r="F2" s="19"/>
      <c r="G2" s="1" t="s">
        <v>123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>
      <c r="A4" s="75"/>
      <c r="B4" s="22" t="s">
        <v>3</v>
      </c>
      <c r="C4" s="25" t="s">
        <v>64</v>
      </c>
      <c r="D4" s="101"/>
      <c r="E4" s="101"/>
      <c r="F4" s="99"/>
      <c r="G4" s="99"/>
      <c r="H4" s="102"/>
      <c r="I4" s="94" t="s">
        <v>46</v>
      </c>
      <c r="J4" s="99"/>
      <c r="K4" s="101"/>
      <c r="L4" s="99"/>
      <c r="M4" s="99"/>
      <c r="N4" s="102"/>
      <c r="O4" s="94" t="s">
        <v>47</v>
      </c>
      <c r="P4" s="99"/>
      <c r="Q4" s="101"/>
      <c r="R4" s="99"/>
      <c r="S4" s="99"/>
      <c r="T4" s="102"/>
    </row>
    <row r="5" spans="1:20" ht="15" customHeight="1">
      <c r="A5" s="76" t="s">
        <v>2</v>
      </c>
      <c r="B5" s="32"/>
      <c r="C5" s="24" t="s">
        <v>48</v>
      </c>
      <c r="D5" s="99"/>
      <c r="E5" s="149" t="s">
        <v>114</v>
      </c>
      <c r="F5" s="94" t="s">
        <v>49</v>
      </c>
      <c r="G5" s="98"/>
      <c r="H5" s="149" t="s">
        <v>114</v>
      </c>
      <c r="I5" s="152" t="s">
        <v>48</v>
      </c>
      <c r="J5" s="152"/>
      <c r="K5" s="149" t="s">
        <v>114</v>
      </c>
      <c r="L5" s="152" t="s">
        <v>49</v>
      </c>
      <c r="M5" s="152"/>
      <c r="N5" s="149" t="s">
        <v>114</v>
      </c>
      <c r="O5" s="99" t="s">
        <v>48</v>
      </c>
      <c r="P5" s="99"/>
      <c r="Q5" s="149" t="s">
        <v>114</v>
      </c>
      <c r="R5" s="153" t="s">
        <v>49</v>
      </c>
      <c r="S5" s="154"/>
      <c r="T5" s="149" t="s">
        <v>114</v>
      </c>
    </row>
    <row r="6" spans="1:20" ht="15">
      <c r="A6" s="76" t="s">
        <v>69</v>
      </c>
      <c r="B6" s="32"/>
      <c r="C6" s="147">
        <v>2012</v>
      </c>
      <c r="D6" s="147">
        <v>2013</v>
      </c>
      <c r="E6" s="150"/>
      <c r="F6" s="147">
        <v>2012</v>
      </c>
      <c r="G6" s="147">
        <v>2013</v>
      </c>
      <c r="H6" s="150"/>
      <c r="I6" s="147">
        <v>2012</v>
      </c>
      <c r="J6" s="147">
        <v>2013</v>
      </c>
      <c r="K6" s="150"/>
      <c r="L6" s="147">
        <v>2012</v>
      </c>
      <c r="M6" s="147">
        <v>2013</v>
      </c>
      <c r="N6" s="150"/>
      <c r="O6" s="147">
        <v>2012</v>
      </c>
      <c r="P6" s="147">
        <v>2013</v>
      </c>
      <c r="Q6" s="150"/>
      <c r="R6" s="147">
        <v>2012</v>
      </c>
      <c r="S6" s="147">
        <v>2013</v>
      </c>
      <c r="T6" s="150"/>
    </row>
    <row r="7" spans="1:20" ht="15">
      <c r="A7" s="77"/>
      <c r="B7" s="28"/>
      <c r="C7" s="148"/>
      <c r="D7" s="148"/>
      <c r="E7" s="151"/>
      <c r="F7" s="148"/>
      <c r="G7" s="148"/>
      <c r="H7" s="151"/>
      <c r="I7" s="148"/>
      <c r="J7" s="148"/>
      <c r="K7" s="151"/>
      <c r="L7" s="148"/>
      <c r="M7" s="148"/>
      <c r="N7" s="151"/>
      <c r="O7" s="148"/>
      <c r="P7" s="148"/>
      <c r="Q7" s="151"/>
      <c r="R7" s="148"/>
      <c r="S7" s="148"/>
      <c r="T7" s="151"/>
    </row>
    <row r="8" spans="1:20" ht="15">
      <c r="A8" s="2">
        <v>1</v>
      </c>
      <c r="B8" s="21" t="s">
        <v>55</v>
      </c>
      <c r="C8" s="3">
        <v>45</v>
      </c>
      <c r="D8" s="3">
        <v>5.1</v>
      </c>
      <c r="E8" s="35">
        <f aca="true" t="shared" si="0" ref="E8:E17">D8/C8*100</f>
        <v>11.333333333333332</v>
      </c>
      <c r="F8" s="3"/>
      <c r="G8" s="3"/>
      <c r="H8" s="35"/>
      <c r="I8" s="3">
        <v>12498</v>
      </c>
      <c r="J8" s="3">
        <v>6735</v>
      </c>
      <c r="K8" s="35">
        <f>J8*100/I8</f>
        <v>53.888622179548726</v>
      </c>
      <c r="L8" s="3"/>
      <c r="M8" s="3"/>
      <c r="N8" s="35"/>
      <c r="O8" s="35">
        <f aca="true" t="shared" si="1" ref="O8:O17">C8/I8*100000</f>
        <v>360.0576092174748</v>
      </c>
      <c r="P8" s="35">
        <f aca="true" t="shared" si="2" ref="P8:P16">D8/J8*100000</f>
        <v>75.72383073496658</v>
      </c>
      <c r="Q8" s="35">
        <f aca="true" t="shared" si="3" ref="Q8:Q17">P8/O8*100</f>
        <v>21.031031922791385</v>
      </c>
      <c r="R8" s="35"/>
      <c r="S8" s="35"/>
      <c r="T8" s="35"/>
    </row>
    <row r="9" spans="1:20" ht="15">
      <c r="A9" s="2">
        <v>2</v>
      </c>
      <c r="B9" s="21" t="s">
        <v>56</v>
      </c>
      <c r="C9" s="3">
        <v>28.45</v>
      </c>
      <c r="D9" s="3">
        <v>29.72</v>
      </c>
      <c r="E9" s="35">
        <f t="shared" si="0"/>
        <v>104.46397188049208</v>
      </c>
      <c r="F9" s="3"/>
      <c r="G9" s="3"/>
      <c r="H9" s="35"/>
      <c r="I9" s="3">
        <v>6533</v>
      </c>
      <c r="J9" s="3">
        <v>6890</v>
      </c>
      <c r="K9" s="35">
        <f aca="true" t="shared" si="4" ref="K9:K23">J9*100/I9</f>
        <v>105.46456451859788</v>
      </c>
      <c r="L9" s="3"/>
      <c r="M9" s="3"/>
      <c r="N9" s="35"/>
      <c r="O9" s="35">
        <f t="shared" si="1"/>
        <v>435.48140211235267</v>
      </c>
      <c r="P9" s="35">
        <f t="shared" si="2"/>
        <v>431.34978229317846</v>
      </c>
      <c r="Q9" s="35">
        <f t="shared" si="3"/>
        <v>99.0512522924898</v>
      </c>
      <c r="R9" s="35"/>
      <c r="S9" s="35"/>
      <c r="T9" s="35"/>
    </row>
    <row r="10" spans="1:20" ht="15">
      <c r="A10" s="2">
        <v>3</v>
      </c>
      <c r="B10" s="36" t="s">
        <v>57</v>
      </c>
      <c r="C10" s="18">
        <v>16</v>
      </c>
      <c r="D10" s="18">
        <v>15</v>
      </c>
      <c r="E10" s="35">
        <f t="shared" si="0"/>
        <v>93.75</v>
      </c>
      <c r="F10" s="18"/>
      <c r="G10" s="18"/>
      <c r="H10" s="35"/>
      <c r="I10" s="3">
        <v>2435</v>
      </c>
      <c r="J10" s="3">
        <v>3249</v>
      </c>
      <c r="K10" s="35">
        <f t="shared" si="4"/>
        <v>133.42915811088295</v>
      </c>
      <c r="L10" s="18"/>
      <c r="M10" s="18"/>
      <c r="N10" s="84"/>
      <c r="O10" s="35">
        <f t="shared" si="1"/>
        <v>657.0841889117042</v>
      </c>
      <c r="P10" s="35">
        <f t="shared" si="2"/>
        <v>461.68051708217916</v>
      </c>
      <c r="Q10" s="35">
        <f t="shared" si="3"/>
        <v>70.26200369344416</v>
      </c>
      <c r="R10" s="84"/>
      <c r="S10" s="84"/>
      <c r="T10" s="84"/>
    </row>
    <row r="11" spans="1:20" ht="15">
      <c r="A11" s="2">
        <v>4</v>
      </c>
      <c r="B11" s="21" t="s">
        <v>58</v>
      </c>
      <c r="C11" s="3">
        <v>103</v>
      </c>
      <c r="D11" s="3">
        <v>142</v>
      </c>
      <c r="E11" s="35">
        <f t="shared" si="0"/>
        <v>137.8640776699029</v>
      </c>
      <c r="F11" s="3">
        <v>42</v>
      </c>
      <c r="G11" s="3">
        <v>38</v>
      </c>
      <c r="H11" s="35">
        <f>G11/F11*100</f>
        <v>90.47619047619048</v>
      </c>
      <c r="I11" s="3">
        <v>24536</v>
      </c>
      <c r="J11" s="3">
        <v>29523</v>
      </c>
      <c r="K11" s="35">
        <f t="shared" si="4"/>
        <v>120.32523638734921</v>
      </c>
      <c r="L11" s="3">
        <v>10773</v>
      </c>
      <c r="M11" s="3">
        <v>11301</v>
      </c>
      <c r="N11" s="35">
        <f>M11/L11*100</f>
        <v>104.90114174324701</v>
      </c>
      <c r="O11" s="35">
        <f t="shared" si="1"/>
        <v>419.7913270296707</v>
      </c>
      <c r="P11" s="35">
        <f t="shared" si="2"/>
        <v>480.9809301222776</v>
      </c>
      <c r="Q11" s="35">
        <f t="shared" si="3"/>
        <v>114.57619516000197</v>
      </c>
      <c r="R11" s="35">
        <f>F11/L11*100000</f>
        <v>389.8635477582846</v>
      </c>
      <c r="S11" s="35">
        <f>G11/M11*100000</f>
        <v>336.25342890009733</v>
      </c>
      <c r="T11" s="35">
        <f>S11/R11*100</f>
        <v>86.24900451287498</v>
      </c>
    </row>
    <row r="12" spans="1:20" ht="15">
      <c r="A12" s="2">
        <v>5</v>
      </c>
      <c r="B12" s="21" t="s">
        <v>59</v>
      </c>
      <c r="C12" s="85">
        <v>41</v>
      </c>
      <c r="D12" s="85">
        <v>18.5</v>
      </c>
      <c r="E12" s="86">
        <f t="shared" si="0"/>
        <v>45.1219512195122</v>
      </c>
      <c r="F12" s="85">
        <v>2</v>
      </c>
      <c r="G12" s="85">
        <v>0.43</v>
      </c>
      <c r="H12" s="35">
        <f>G12/F12*100</f>
        <v>21.5</v>
      </c>
      <c r="I12" s="3">
        <v>10114</v>
      </c>
      <c r="J12" s="3">
        <v>6170</v>
      </c>
      <c r="K12" s="35">
        <f t="shared" si="4"/>
        <v>61.004548151077714</v>
      </c>
      <c r="L12" s="3">
        <v>4800</v>
      </c>
      <c r="M12" s="3">
        <v>3200</v>
      </c>
      <c r="N12" s="35">
        <f>M12/L12*100</f>
        <v>66.66666666666666</v>
      </c>
      <c r="O12" s="35">
        <f t="shared" si="1"/>
        <v>405.37868301364443</v>
      </c>
      <c r="P12" s="35">
        <f t="shared" si="2"/>
        <v>299.837925445705</v>
      </c>
      <c r="Q12" s="35">
        <f t="shared" si="3"/>
        <v>73.96489702336245</v>
      </c>
      <c r="R12" s="35">
        <f>F12/L12*100000</f>
        <v>41.66666666666667</v>
      </c>
      <c r="S12" s="35">
        <f>G12/M12*100000</f>
        <v>13.4375</v>
      </c>
      <c r="T12" s="35">
        <f>S12/R12*100</f>
        <v>32.24999999999999</v>
      </c>
    </row>
    <row r="13" spans="1:20" ht="15">
      <c r="A13" s="2">
        <v>6</v>
      </c>
      <c r="B13" s="37" t="s">
        <v>72</v>
      </c>
      <c r="C13" s="85">
        <v>40.68</v>
      </c>
      <c r="D13" s="85">
        <v>26.71</v>
      </c>
      <c r="E13" s="86">
        <f t="shared" si="0"/>
        <v>65.65880039331367</v>
      </c>
      <c r="F13" s="85"/>
      <c r="G13" s="85"/>
      <c r="H13" s="86"/>
      <c r="I13" s="85">
        <v>6784</v>
      </c>
      <c r="J13" s="85">
        <v>6436</v>
      </c>
      <c r="K13" s="35">
        <f t="shared" si="4"/>
        <v>94.87028301886792</v>
      </c>
      <c r="L13" s="85"/>
      <c r="M13" s="85"/>
      <c r="N13" s="86"/>
      <c r="O13" s="35">
        <f t="shared" si="1"/>
        <v>599.6462264150944</v>
      </c>
      <c r="P13" s="35">
        <f t="shared" si="2"/>
        <v>415.0093225605967</v>
      </c>
      <c r="Q13" s="35">
        <f t="shared" si="3"/>
        <v>69.20902763645742</v>
      </c>
      <c r="R13" s="35"/>
      <c r="S13" s="35"/>
      <c r="T13" s="86"/>
    </row>
    <row r="14" spans="1:20" ht="15">
      <c r="A14" s="2">
        <v>8</v>
      </c>
      <c r="B14" s="31" t="s">
        <v>85</v>
      </c>
      <c r="C14" s="85">
        <v>34</v>
      </c>
      <c r="D14" s="85">
        <v>36.2</v>
      </c>
      <c r="E14" s="86">
        <f t="shared" si="0"/>
        <v>106.47058823529412</v>
      </c>
      <c r="F14" s="85"/>
      <c r="G14" s="85"/>
      <c r="H14" s="86"/>
      <c r="I14" s="85">
        <v>8640</v>
      </c>
      <c r="J14" s="85">
        <v>11181</v>
      </c>
      <c r="K14" s="35">
        <f t="shared" si="4"/>
        <v>129.40972222222223</v>
      </c>
      <c r="L14" s="85"/>
      <c r="M14" s="85"/>
      <c r="N14" s="86"/>
      <c r="O14" s="35">
        <f t="shared" si="1"/>
        <v>393.5185185185185</v>
      </c>
      <c r="P14" s="35">
        <f t="shared" si="2"/>
        <v>323.76352741257494</v>
      </c>
      <c r="Q14" s="88">
        <f t="shared" si="3"/>
        <v>82.27402578954846</v>
      </c>
      <c r="R14" s="35"/>
      <c r="S14" s="3"/>
      <c r="T14" s="86"/>
    </row>
    <row r="15" spans="1:20" s="68" customFormat="1" ht="15">
      <c r="A15" s="2">
        <v>9</v>
      </c>
      <c r="B15" s="31" t="s">
        <v>71</v>
      </c>
      <c r="C15" s="87">
        <v>41.81</v>
      </c>
      <c r="D15" s="87">
        <v>21.25</v>
      </c>
      <c r="E15" s="88">
        <f t="shared" si="0"/>
        <v>50.825161444630474</v>
      </c>
      <c r="F15" s="87"/>
      <c r="G15" s="87"/>
      <c r="H15" s="88"/>
      <c r="I15" s="87">
        <v>11972</v>
      </c>
      <c r="J15" s="87">
        <v>9362</v>
      </c>
      <c r="K15" s="35">
        <f t="shared" si="4"/>
        <v>78.19913130638156</v>
      </c>
      <c r="L15" s="87"/>
      <c r="M15" s="87"/>
      <c r="N15" s="88"/>
      <c r="O15" s="35">
        <f t="shared" si="1"/>
        <v>349.2315402606081</v>
      </c>
      <c r="P15" s="35">
        <f t="shared" si="2"/>
        <v>226.98141422772912</v>
      </c>
      <c r="Q15" s="88">
        <f t="shared" si="3"/>
        <v>64.99453458824141</v>
      </c>
      <c r="R15" s="35"/>
      <c r="S15" s="35"/>
      <c r="T15" s="35"/>
    </row>
    <row r="16" spans="1:20" ht="15">
      <c r="A16" s="2">
        <v>10</v>
      </c>
      <c r="B16" s="37" t="s">
        <v>60</v>
      </c>
      <c r="C16" s="85">
        <v>46</v>
      </c>
      <c r="D16" s="85">
        <v>33</v>
      </c>
      <c r="E16" s="86">
        <f t="shared" si="0"/>
        <v>71.73913043478261</v>
      </c>
      <c r="F16" s="85"/>
      <c r="G16" s="85"/>
      <c r="H16" s="86"/>
      <c r="I16" s="85">
        <v>7996</v>
      </c>
      <c r="J16" s="85">
        <v>7558</v>
      </c>
      <c r="K16" s="35">
        <f t="shared" si="4"/>
        <v>94.52226113056528</v>
      </c>
      <c r="L16" s="85"/>
      <c r="M16" s="85"/>
      <c r="N16" s="86"/>
      <c r="O16" s="35">
        <f t="shared" si="1"/>
        <v>575.287643821911</v>
      </c>
      <c r="P16" s="35">
        <f t="shared" si="2"/>
        <v>436.62344535591427</v>
      </c>
      <c r="Q16" s="86">
        <f t="shared" si="3"/>
        <v>75.89654497969326</v>
      </c>
      <c r="R16" s="35"/>
      <c r="S16" s="35"/>
      <c r="T16" s="86"/>
    </row>
    <row r="17" spans="1:20" ht="15">
      <c r="A17" s="2">
        <v>11</v>
      </c>
      <c r="B17" s="37" t="s">
        <v>61</v>
      </c>
      <c r="C17" s="85">
        <v>5.7</v>
      </c>
      <c r="D17" s="85">
        <v>3.35</v>
      </c>
      <c r="E17" s="86">
        <f t="shared" si="0"/>
        <v>58.77192982456141</v>
      </c>
      <c r="F17" s="85"/>
      <c r="G17" s="85"/>
      <c r="H17" s="86"/>
      <c r="I17" s="85">
        <v>830</v>
      </c>
      <c r="J17" s="85">
        <v>830</v>
      </c>
      <c r="K17" s="35">
        <f t="shared" si="4"/>
        <v>100</v>
      </c>
      <c r="L17" s="85"/>
      <c r="M17" s="85"/>
      <c r="N17" s="86"/>
      <c r="O17" s="35">
        <f t="shared" si="1"/>
        <v>686.7469879518072</v>
      </c>
      <c r="P17" s="35">
        <f>D17/J17*100000</f>
        <v>403.61445783132535</v>
      </c>
      <c r="Q17" s="86">
        <f t="shared" si="3"/>
        <v>58.77192982456141</v>
      </c>
      <c r="R17" s="35"/>
      <c r="S17" s="35"/>
      <c r="T17" s="86"/>
    </row>
    <row r="18" spans="1:20" ht="15">
      <c r="A18" s="2">
        <v>12</v>
      </c>
      <c r="B18" s="78" t="s">
        <v>62</v>
      </c>
      <c r="C18" s="118"/>
      <c r="D18" s="85"/>
      <c r="E18" s="86"/>
      <c r="F18" s="85">
        <v>1659</v>
      </c>
      <c r="G18" s="85">
        <v>2027</v>
      </c>
      <c r="H18" s="86">
        <f>G18/F18*100</f>
        <v>122.18203737191078</v>
      </c>
      <c r="I18" s="3"/>
      <c r="J18" s="85"/>
      <c r="K18" s="35"/>
      <c r="L18" s="85">
        <v>400142</v>
      </c>
      <c r="M18" s="85">
        <v>482092</v>
      </c>
      <c r="N18" s="86">
        <f>M18/L18*100</f>
        <v>120.48022951852093</v>
      </c>
      <c r="O18" s="35"/>
      <c r="P18" s="35"/>
      <c r="Q18" s="86"/>
      <c r="R18" s="35">
        <f aca="true" t="shared" si="5" ref="R18:S21">F18/L18*100000</f>
        <v>414.6028160003199</v>
      </c>
      <c r="S18" s="35">
        <f t="shared" si="5"/>
        <v>420.45916547049114</v>
      </c>
      <c r="T18" s="86">
        <f>S18/R18*100</f>
        <v>101.41252042778378</v>
      </c>
    </row>
    <row r="19" spans="1:20" ht="43.5" customHeight="1">
      <c r="A19" s="137" t="s">
        <v>97</v>
      </c>
      <c r="B19" s="138"/>
      <c r="C19" s="132">
        <f>SUM(C8:C18)</f>
        <v>401.64</v>
      </c>
      <c r="D19" s="3">
        <f>SUM(D8:D18)</f>
        <v>330.83000000000004</v>
      </c>
      <c r="E19" s="35">
        <f>D19/C19*100</f>
        <v>82.36978388606714</v>
      </c>
      <c r="F19" s="35">
        <f>SUM(F11:F18)</f>
        <v>1703</v>
      </c>
      <c r="G19" s="3">
        <f>SUM(G11:G18)</f>
        <v>2065.43</v>
      </c>
      <c r="H19" s="35">
        <f>G19/F19*100</f>
        <v>121.2818555490311</v>
      </c>
      <c r="I19" s="3">
        <f>SUM(I8:I18)</f>
        <v>92338</v>
      </c>
      <c r="J19" s="3">
        <f>SUM(J8:J18)</f>
        <v>87934</v>
      </c>
      <c r="K19" s="35">
        <f t="shared" si="4"/>
        <v>95.2305659641751</v>
      </c>
      <c r="L19" s="3">
        <f>SUM(L11:L18)</f>
        <v>415715</v>
      </c>
      <c r="M19" s="3">
        <f>SUM(M11:M18)</f>
        <v>496593</v>
      </c>
      <c r="N19" s="35">
        <f>M19/L19*100</f>
        <v>119.45515557533406</v>
      </c>
      <c r="O19" s="35">
        <f aca="true" t="shared" si="6" ref="O19:P23">C19/I19*100000</f>
        <v>434.9671857740042</v>
      </c>
      <c r="P19" s="35">
        <f t="shared" si="6"/>
        <v>376.2253508313053</v>
      </c>
      <c r="Q19" s="35">
        <f>P19/O19*100</f>
        <v>86.49511115690936</v>
      </c>
      <c r="R19" s="35">
        <f t="shared" si="5"/>
        <v>409.65565351262285</v>
      </c>
      <c r="S19" s="35">
        <f t="shared" si="5"/>
        <v>415.9200794211759</v>
      </c>
      <c r="T19" s="35">
        <f>S19/R19*100</f>
        <v>101.52919308078341</v>
      </c>
    </row>
    <row r="20" spans="1:20" ht="17.25" customHeight="1">
      <c r="A20" s="127">
        <v>13</v>
      </c>
      <c r="B20" s="31" t="s">
        <v>100</v>
      </c>
      <c r="C20" s="119"/>
      <c r="D20" s="3">
        <v>1.08</v>
      </c>
      <c r="E20" s="35"/>
      <c r="F20" s="35"/>
      <c r="G20" s="3"/>
      <c r="H20" s="35"/>
      <c r="I20" s="3"/>
      <c r="J20" s="3">
        <v>268</v>
      </c>
      <c r="K20" s="35"/>
      <c r="L20" s="3"/>
      <c r="M20" s="3"/>
      <c r="N20" s="35"/>
      <c r="O20" s="35"/>
      <c r="P20" s="35">
        <f t="shared" si="6"/>
        <v>402.9850746268657</v>
      </c>
      <c r="Q20" s="35"/>
      <c r="R20" s="35"/>
      <c r="S20" s="35"/>
      <c r="T20" s="35"/>
    </row>
    <row r="21" spans="1:20" ht="15">
      <c r="A21" s="2">
        <v>13</v>
      </c>
      <c r="B21" s="31" t="s">
        <v>81</v>
      </c>
      <c r="C21" s="93"/>
      <c r="D21" s="85"/>
      <c r="E21" s="35"/>
      <c r="F21" s="85">
        <v>15</v>
      </c>
      <c r="G21" s="85"/>
      <c r="H21" s="35"/>
      <c r="I21" s="3"/>
      <c r="J21" s="85"/>
      <c r="K21" s="35"/>
      <c r="L21" s="85">
        <v>6023</v>
      </c>
      <c r="M21" s="85"/>
      <c r="N21" s="86">
        <f>M21/L21*100</f>
        <v>0</v>
      </c>
      <c r="O21" s="35"/>
      <c r="P21" s="35"/>
      <c r="Q21" s="35"/>
      <c r="R21" s="35">
        <f t="shared" si="5"/>
        <v>249.04532624937738</v>
      </c>
      <c r="S21" s="35"/>
      <c r="T21" s="35"/>
    </row>
    <row r="22" spans="1:20" ht="18" customHeight="1">
      <c r="A22" s="139" t="s">
        <v>88</v>
      </c>
      <c r="B22" s="140"/>
      <c r="C22" s="85"/>
      <c r="D22" s="85">
        <f>SUM(D20:D21)</f>
        <v>1.08</v>
      </c>
      <c r="E22" s="85"/>
      <c r="F22" s="85">
        <f>SUM(F21)</f>
        <v>15</v>
      </c>
      <c r="G22" s="85">
        <f>SUM(G21)</f>
        <v>0</v>
      </c>
      <c r="H22" s="35"/>
      <c r="I22" s="3"/>
      <c r="J22" s="85">
        <f>SUM(J20:J21)</f>
        <v>268</v>
      </c>
      <c r="K22" s="35"/>
      <c r="L22" s="85">
        <f>SUM(L21)</f>
        <v>6023</v>
      </c>
      <c r="M22" s="85">
        <f>SUM(M21)</f>
        <v>0</v>
      </c>
      <c r="N22" s="86">
        <f>M22/L22*100</f>
        <v>0</v>
      </c>
      <c r="O22" s="35"/>
      <c r="P22" s="35">
        <f t="shared" si="6"/>
        <v>402.9850746268657</v>
      </c>
      <c r="Q22" s="35"/>
      <c r="R22" s="35">
        <f>F22/L22*100000</f>
        <v>249.04532624937738</v>
      </c>
      <c r="S22" s="35"/>
      <c r="T22" s="35"/>
    </row>
    <row r="23" spans="1:20" ht="36.75" customHeight="1">
      <c r="A23" s="135" t="s">
        <v>89</v>
      </c>
      <c r="B23" s="136"/>
      <c r="C23" s="86">
        <f>C19+C22</f>
        <v>401.64</v>
      </c>
      <c r="D23" s="86">
        <f>D19+D22</f>
        <v>331.91</v>
      </c>
      <c r="E23" s="35">
        <f>D23/C23*100</f>
        <v>82.63868140623445</v>
      </c>
      <c r="F23" s="86">
        <f>F19+F22</f>
        <v>1718</v>
      </c>
      <c r="G23" s="86">
        <f>G19+G22</f>
        <v>2065.43</v>
      </c>
      <c r="H23" s="35">
        <f>G23/F23*100</f>
        <v>120.22293364377181</v>
      </c>
      <c r="I23" s="86">
        <f>I19+I22</f>
        <v>92338</v>
      </c>
      <c r="J23" s="86">
        <f>J19+J22</f>
        <v>88202</v>
      </c>
      <c r="K23" s="35">
        <f t="shared" si="4"/>
        <v>95.52080400268578</v>
      </c>
      <c r="L23" s="86">
        <f>L19+L22</f>
        <v>421738</v>
      </c>
      <c r="M23" s="86">
        <f>M19+M22</f>
        <v>496593</v>
      </c>
      <c r="N23" s="86"/>
      <c r="O23" s="35">
        <f t="shared" si="6"/>
        <v>434.9671857740042</v>
      </c>
      <c r="P23" s="35">
        <f t="shared" si="6"/>
        <v>376.3066597129317</v>
      </c>
      <c r="Q23" s="35">
        <f>P23/O23*100</f>
        <v>86.51380426394954</v>
      </c>
      <c r="R23" s="35">
        <f>F23/L23*100000</f>
        <v>407.36191664018895</v>
      </c>
      <c r="S23" s="35">
        <f>G23/M23*100000</f>
        <v>415.9200794211759</v>
      </c>
      <c r="T23" s="35">
        <f>S23/R23*100</f>
        <v>102.10087453721064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19:B19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Normal="50" zoomScaleSheetLayoutView="75" zoomScalePageLayoutView="0" workbookViewId="0" topLeftCell="A1">
      <selection activeCell="L30" sqref="L30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9.75390625" style="0" customWidth="1"/>
    <col min="7" max="7" width="7.125" style="0" customWidth="1"/>
    <col min="8" max="8" width="7.375" style="0" customWidth="1"/>
    <col min="9" max="9" width="8.75390625" style="0" customWidth="1"/>
    <col min="10" max="10" width="8.375" style="0" customWidth="1"/>
    <col min="11" max="11" width="9.625" style="0" customWidth="1"/>
    <col min="12" max="12" width="13.75390625" style="0" customWidth="1"/>
    <col min="13" max="13" width="14.375" style="0" customWidth="1"/>
  </cols>
  <sheetData>
    <row r="1" ht="15.75">
      <c r="C1" s="1" t="s">
        <v>122</v>
      </c>
    </row>
    <row r="2" spans="1:13" ht="15">
      <c r="A2" s="19"/>
      <c r="B2" s="19"/>
      <c r="C2" s="19"/>
      <c r="D2" s="19"/>
      <c r="E2" s="19"/>
      <c r="F2" s="19"/>
      <c r="G2" s="19"/>
      <c r="H2" s="19"/>
      <c r="I2" s="10" t="s">
        <v>54</v>
      </c>
      <c r="J2" s="19"/>
      <c r="K2" s="19"/>
      <c r="L2" s="19"/>
      <c r="M2" s="19"/>
    </row>
    <row r="3" spans="1:13" ht="15" customHeight="1">
      <c r="A3" s="22" t="s">
        <v>2</v>
      </c>
      <c r="B3" s="22" t="s">
        <v>3</v>
      </c>
      <c r="C3" s="24"/>
      <c r="D3" s="24" t="s">
        <v>51</v>
      </c>
      <c r="E3" s="26"/>
      <c r="F3" s="166" t="s">
        <v>105</v>
      </c>
      <c r="G3" s="159" t="s">
        <v>10</v>
      </c>
      <c r="H3" s="160"/>
      <c r="I3" s="161"/>
      <c r="J3" s="24" t="s">
        <v>6</v>
      </c>
      <c r="K3" s="20" t="s">
        <v>7</v>
      </c>
      <c r="L3" s="162" t="s">
        <v>67</v>
      </c>
      <c r="M3" s="163"/>
    </row>
    <row r="4" spans="1:13" ht="15" customHeight="1">
      <c r="A4" s="32"/>
      <c r="B4" s="32"/>
      <c r="C4" s="9">
        <v>2012</v>
      </c>
      <c r="D4" s="41">
        <v>2013</v>
      </c>
      <c r="E4" s="18" t="s">
        <v>4</v>
      </c>
      <c r="F4" s="167"/>
      <c r="G4" s="9">
        <v>2012</v>
      </c>
      <c r="H4" s="41">
        <v>2013</v>
      </c>
      <c r="I4" s="18" t="s">
        <v>4</v>
      </c>
      <c r="J4" s="9">
        <v>2012</v>
      </c>
      <c r="K4" s="41">
        <v>2013</v>
      </c>
      <c r="L4" s="164" t="s">
        <v>1</v>
      </c>
      <c r="M4" s="164" t="s">
        <v>68</v>
      </c>
    </row>
    <row r="5" spans="1:13" ht="15">
      <c r="A5" s="28"/>
      <c r="B5" s="28"/>
      <c r="C5" s="27"/>
      <c r="D5" s="34"/>
      <c r="E5" s="11">
        <v>2012</v>
      </c>
      <c r="F5" s="168"/>
      <c r="G5" s="27"/>
      <c r="H5" s="34"/>
      <c r="I5" s="11">
        <v>2012</v>
      </c>
      <c r="J5" s="34"/>
      <c r="K5" s="28"/>
      <c r="L5" s="165"/>
      <c r="M5" s="165"/>
    </row>
    <row r="6" spans="1:13" ht="15">
      <c r="A6" s="3">
        <v>1</v>
      </c>
      <c r="B6" s="21" t="s">
        <v>55</v>
      </c>
      <c r="C6" s="3"/>
      <c r="D6" s="3"/>
      <c r="E6" s="35"/>
      <c r="F6" s="35"/>
      <c r="G6" s="3">
        <v>14</v>
      </c>
      <c r="H6" s="3">
        <v>8</v>
      </c>
      <c r="I6" s="86">
        <f aca="true" t="shared" si="0" ref="I6:I19">H6*100/G6</f>
        <v>57.142857142857146</v>
      </c>
      <c r="J6" s="117">
        <f>G6+(C6*0.2)+('численность 1'!M6*0.3)+'численность 1'!G6+(('численность 1'!C6-'численность 1'!G6)*0.6)</f>
        <v>271.4</v>
      </c>
      <c r="K6" s="117">
        <f>H6+(D6*0.2)+('численность 1'!N6*0.3)+'численность 1'!H6+(('численность 1'!D6-'численность 1'!H6)*0.6)</f>
        <v>254.6</v>
      </c>
      <c r="L6" s="3">
        <v>2554</v>
      </c>
      <c r="M6" s="3">
        <v>574</v>
      </c>
    </row>
    <row r="7" spans="1:13" ht="15">
      <c r="A7" s="3">
        <v>2</v>
      </c>
      <c r="B7" s="21" t="s">
        <v>56</v>
      </c>
      <c r="C7" s="3"/>
      <c r="D7" s="3"/>
      <c r="E7" s="35"/>
      <c r="F7" s="35"/>
      <c r="G7" s="3">
        <v>4</v>
      </c>
      <c r="H7" s="3">
        <v>4</v>
      </c>
      <c r="I7" s="86">
        <f t="shared" si="0"/>
        <v>100</v>
      </c>
      <c r="J7" s="117">
        <f>G7+(C7*0.2)+('численность 1'!M7*0.3)+'численность 1'!G7+(('численность 1'!C7-'численность 1'!G7)*0.6)</f>
        <v>179.8</v>
      </c>
      <c r="K7" s="117">
        <f>H7+(D7*0.2)+('численность 1'!N7*0.3)+'численность 1'!H7+(('численность 1'!D7-'численность 1'!H7)*0.6)</f>
        <v>190</v>
      </c>
      <c r="L7" s="3">
        <v>9794</v>
      </c>
      <c r="M7" s="3">
        <v>2096</v>
      </c>
    </row>
    <row r="8" spans="1:13" ht="15">
      <c r="A8" s="3">
        <v>3</v>
      </c>
      <c r="B8" s="21" t="s">
        <v>57</v>
      </c>
      <c r="C8" s="3"/>
      <c r="D8" s="3"/>
      <c r="E8" s="35"/>
      <c r="F8" s="35"/>
      <c r="G8" s="3">
        <v>1</v>
      </c>
      <c r="H8" s="3">
        <v>1</v>
      </c>
      <c r="I8" s="86">
        <f t="shared" si="0"/>
        <v>100</v>
      </c>
      <c r="J8" s="117">
        <f>G8+(C8*0.2)+('численность 1'!M8*0.3)+'численность 1'!G8+(('численность 1'!C8-'численность 1'!G8)*0.6)</f>
        <v>95.8</v>
      </c>
      <c r="K8" s="117">
        <f>H8+(D8*0.2)+('численность 1'!N8*0.3)+'численность 1'!H8+(('численность 1'!D8-'численность 1'!H8)*0.6)</f>
        <v>105.4</v>
      </c>
      <c r="L8" s="3">
        <v>1814</v>
      </c>
      <c r="M8" s="3">
        <v>520</v>
      </c>
    </row>
    <row r="9" spans="1:13" ht="15">
      <c r="A9" s="3">
        <v>4</v>
      </c>
      <c r="B9" s="21" t="s">
        <v>58</v>
      </c>
      <c r="C9" s="3"/>
      <c r="D9" s="3"/>
      <c r="E9" s="3"/>
      <c r="F9" s="3"/>
      <c r="G9" s="3">
        <v>20</v>
      </c>
      <c r="H9" s="3">
        <v>20</v>
      </c>
      <c r="I9" s="86">
        <f t="shared" si="0"/>
        <v>100</v>
      </c>
      <c r="J9" s="117">
        <f>G9+(C9*0.2)+('численность 1'!M9*0.3)+'численность 1'!G9+(('численность 1'!C9-'численность 1'!G9)*0.6)</f>
        <v>767.8</v>
      </c>
      <c r="K9" s="117">
        <f>H9+(D9*0.2)+('численность 1'!N9*0.3)+'численность 1'!H9+(('численность 1'!D9-'численность 1'!H9)*0.6)</f>
        <v>807.4</v>
      </c>
      <c r="L9" s="85">
        <v>8616</v>
      </c>
      <c r="M9" s="85">
        <v>4160</v>
      </c>
    </row>
    <row r="10" spans="1:13" ht="15">
      <c r="A10" s="3">
        <v>5</v>
      </c>
      <c r="B10" s="21" t="s">
        <v>59</v>
      </c>
      <c r="C10" s="3">
        <v>155</v>
      </c>
      <c r="D10" s="3"/>
      <c r="E10" s="86"/>
      <c r="F10" s="86"/>
      <c r="G10" s="3">
        <v>16</v>
      </c>
      <c r="H10" s="3">
        <v>10</v>
      </c>
      <c r="I10" s="86">
        <f t="shared" si="0"/>
        <v>62.5</v>
      </c>
      <c r="J10" s="117">
        <f>G10+(C10*0.2)+('численность 1'!M10*0.3)+'численность 1'!G10+(('численность 1'!C10-'численность 1'!G10)*0.6)</f>
        <v>421.5</v>
      </c>
      <c r="K10" s="117">
        <f>H10+(D10*0.2)+('численность 1'!N10*0.3)+'численность 1'!H10+(('численность 1'!D10-'численность 1'!H10)*0.6)</f>
        <v>292.2</v>
      </c>
      <c r="L10" s="3">
        <v>2375</v>
      </c>
      <c r="M10" s="3">
        <v>275</v>
      </c>
    </row>
    <row r="11" spans="1:13" ht="15">
      <c r="A11" s="3">
        <v>6</v>
      </c>
      <c r="B11" s="37" t="s">
        <v>72</v>
      </c>
      <c r="C11" s="85"/>
      <c r="D11" s="85"/>
      <c r="E11" s="86"/>
      <c r="F11" s="86"/>
      <c r="G11" s="3">
        <v>9</v>
      </c>
      <c r="H11" s="3">
        <v>8</v>
      </c>
      <c r="I11" s="86">
        <f t="shared" si="0"/>
        <v>88.88888888888889</v>
      </c>
      <c r="J11" s="117">
        <f>G11+(C11*0.2)+('численность 1'!M11*0.3)+'численность 1'!G11+(('численность 1'!C11-'численность 1'!G11)*0.6)</f>
        <v>209.2</v>
      </c>
      <c r="K11" s="117">
        <f>H11+(D11*0.2)+('численность 1'!N11*0.3)+'численность 1'!H11+(('численность 1'!D11-'численность 1'!H11)*0.6)</f>
        <v>187.2</v>
      </c>
      <c r="L11" s="85">
        <v>8980</v>
      </c>
      <c r="M11" s="85">
        <v>1420</v>
      </c>
    </row>
    <row r="12" spans="1:13" ht="15">
      <c r="A12" s="3">
        <v>8</v>
      </c>
      <c r="B12" s="31" t="s">
        <v>85</v>
      </c>
      <c r="C12" s="85"/>
      <c r="D12" s="85"/>
      <c r="E12" s="86"/>
      <c r="F12" s="86"/>
      <c r="G12" s="85">
        <v>3</v>
      </c>
      <c r="H12" s="85">
        <v>3</v>
      </c>
      <c r="I12" s="86">
        <f t="shared" si="0"/>
        <v>100</v>
      </c>
      <c r="J12" s="117">
        <f>G12+(C12*0.2)+('численность 1'!M12*0.3)+'численность 1'!G12+(('численность 1'!C12-'численность 1'!G12)*0.6)</f>
        <v>168.8</v>
      </c>
      <c r="K12" s="117">
        <f>H12+(D12*0.2)+('численность 1'!N12*0.3)+'численность 1'!H12+(('численность 1'!D12-'численность 1'!H12)*0.6)</f>
        <v>192.2</v>
      </c>
      <c r="L12" s="85">
        <v>3122</v>
      </c>
      <c r="M12" s="114">
        <v>1175</v>
      </c>
    </row>
    <row r="13" spans="1:13" ht="15">
      <c r="A13" s="3">
        <v>9</v>
      </c>
      <c r="B13" s="31" t="s">
        <v>71</v>
      </c>
      <c r="C13" s="85">
        <v>266</v>
      </c>
      <c r="D13" s="85">
        <v>253</v>
      </c>
      <c r="E13" s="86">
        <f>D13*100/C13</f>
        <v>95.11278195488721</v>
      </c>
      <c r="F13" s="86">
        <v>111</v>
      </c>
      <c r="G13" s="3">
        <v>3</v>
      </c>
      <c r="H13" s="3">
        <v>3</v>
      </c>
      <c r="I13" s="86">
        <f t="shared" si="0"/>
        <v>100</v>
      </c>
      <c r="J13" s="117">
        <f>G13+(C13*0.2)+('численность 1'!M13*0.3)+'численность 1'!G13+(('численность 1'!C13-'численность 1'!G13)*0.6)</f>
        <v>245.79999999999998</v>
      </c>
      <c r="K13" s="117">
        <f>H13+(D13*0.2)+('численность 1'!N13*0.3)+'численность 1'!H13+(('численность 1'!D13-'численность 1'!H13)*0.6)</f>
        <v>229.39999999999998</v>
      </c>
      <c r="L13" s="85">
        <v>2387</v>
      </c>
      <c r="M13" s="85">
        <v>735</v>
      </c>
    </row>
    <row r="14" spans="1:13" ht="15">
      <c r="A14" s="3">
        <v>10</v>
      </c>
      <c r="B14" s="21" t="s">
        <v>60</v>
      </c>
      <c r="C14" s="85"/>
      <c r="D14" s="85"/>
      <c r="E14" s="86"/>
      <c r="F14" s="86"/>
      <c r="G14" s="3">
        <v>5</v>
      </c>
      <c r="H14" s="3">
        <v>4</v>
      </c>
      <c r="I14" s="86">
        <f t="shared" si="0"/>
        <v>80</v>
      </c>
      <c r="J14" s="117">
        <f>G14+(C14*0.2)+('численность 1'!M14*0.3)+'численность 1'!G14+(('численность 1'!C14-'численность 1'!G14)*0.6)</f>
        <v>189.6</v>
      </c>
      <c r="K14" s="117">
        <f>H14+(D14*0.2)+('численность 1'!N14*0.3)+'численность 1'!H14+(('численность 1'!D14-'численность 1'!H14)*0.6)</f>
        <v>190.39999999999998</v>
      </c>
      <c r="L14" s="85">
        <v>2990</v>
      </c>
      <c r="M14" s="85">
        <v>570</v>
      </c>
    </row>
    <row r="15" spans="1:13" ht="15">
      <c r="A15" s="3">
        <v>11</v>
      </c>
      <c r="B15" s="21" t="s">
        <v>61</v>
      </c>
      <c r="C15" s="85"/>
      <c r="D15" s="85"/>
      <c r="E15" s="86"/>
      <c r="F15" s="86"/>
      <c r="G15" s="3">
        <v>1</v>
      </c>
      <c r="H15" s="3">
        <v>1</v>
      </c>
      <c r="I15" s="86">
        <f t="shared" si="0"/>
        <v>100</v>
      </c>
      <c r="J15" s="117">
        <f>G15+(C15*0.2)+('численность 1'!M15*0.3)+'численность 1'!G15+(('численность 1'!C15-'численность 1'!G15)*0.6)</f>
        <v>56.8</v>
      </c>
      <c r="K15" s="117">
        <f>H15+(D15*0.2)+('численность 1'!N15*0.3)+'численность 1'!H15+(('численность 1'!D15-'численность 1'!H15)*0.6)</f>
        <v>48.2</v>
      </c>
      <c r="L15" s="85">
        <v>1230</v>
      </c>
      <c r="M15" s="85">
        <v>320</v>
      </c>
    </row>
    <row r="16" spans="1:13" ht="15">
      <c r="A16" s="3">
        <v>12</v>
      </c>
      <c r="B16" s="21" t="s">
        <v>62</v>
      </c>
      <c r="C16" s="85"/>
      <c r="D16" s="85"/>
      <c r="E16" s="86"/>
      <c r="F16" s="86"/>
      <c r="G16" s="3">
        <v>1</v>
      </c>
      <c r="H16" s="3">
        <v>1</v>
      </c>
      <c r="I16" s="86">
        <f t="shared" si="0"/>
        <v>100</v>
      </c>
      <c r="J16" s="117">
        <f>G16+(C16*0.2)+('численность 1'!M16*0.3)+'численность 1'!G16+(('численность 1'!C16-'численность 1'!G16)*0.6)</f>
        <v>2852.7999999999997</v>
      </c>
      <c r="K16" s="117">
        <f>H16+(D16*0.2)+('численность 1'!N16*0.3)+'численность 1'!H16+(('численность 1'!D16-'численность 1'!H16)*0.6)</f>
        <v>2842</v>
      </c>
      <c r="L16" s="85">
        <v>5450</v>
      </c>
      <c r="M16" s="85">
        <v>5450</v>
      </c>
    </row>
    <row r="17" spans="1:13" ht="15">
      <c r="A17" s="3">
        <v>13</v>
      </c>
      <c r="B17" s="31" t="s">
        <v>70</v>
      </c>
      <c r="C17" s="85"/>
      <c r="D17" s="85"/>
      <c r="E17" s="86"/>
      <c r="F17" s="86"/>
      <c r="G17" s="3">
        <v>154</v>
      </c>
      <c r="H17" s="3">
        <v>166</v>
      </c>
      <c r="I17" s="86">
        <f t="shared" si="0"/>
        <v>107.79220779220779</v>
      </c>
      <c r="J17" s="117">
        <f>G17+(C17*0.2)+('численность 1'!M17*0.3)+'численность 1'!G17+(('численность 1'!C17-'численность 1'!G17)*0.6)</f>
        <v>154</v>
      </c>
      <c r="K17" s="117">
        <f>H17+(D17*0.2)+('численность 1'!N17*0.3)+'численность 1'!H17+(('численность 1'!D17-'численность 1'!H17)*0.6)</f>
        <v>166</v>
      </c>
      <c r="L17" s="85">
        <v>9819</v>
      </c>
      <c r="M17" s="85"/>
    </row>
    <row r="18" spans="1:13" ht="15">
      <c r="A18" s="30">
        <v>14</v>
      </c>
      <c r="B18" s="31" t="s">
        <v>104</v>
      </c>
      <c r="C18" s="85"/>
      <c r="D18" s="85">
        <v>330</v>
      </c>
      <c r="E18" s="86"/>
      <c r="F18" s="86">
        <v>180</v>
      </c>
      <c r="G18" s="3"/>
      <c r="H18" s="3"/>
      <c r="I18" s="86"/>
      <c r="J18" s="117"/>
      <c r="K18" s="117">
        <f>H18+(D18*0.2)+('численность 1'!N18*0.3)+'численность 1'!H18+(('численность 1'!D18-'численность 1'!H18)*0.6)</f>
        <v>66</v>
      </c>
      <c r="L18" s="85">
        <v>300</v>
      </c>
      <c r="M18" s="85">
        <v>100</v>
      </c>
    </row>
    <row r="19" spans="1:13" ht="60" customHeight="1">
      <c r="A19" s="155" t="s">
        <v>97</v>
      </c>
      <c r="B19" s="156"/>
      <c r="C19" s="85">
        <f>SUM(C10:C17)</f>
        <v>421</v>
      </c>
      <c r="D19" s="85">
        <f>SUM(D6:D18)</f>
        <v>583</v>
      </c>
      <c r="E19" s="86">
        <f>D19*100/C19</f>
        <v>138.47980997624703</v>
      </c>
      <c r="F19" s="86">
        <f>SUM(F6:F18)</f>
        <v>291</v>
      </c>
      <c r="G19" s="3">
        <f>SUM(G6:G17)</f>
        <v>231</v>
      </c>
      <c r="H19" s="3">
        <f>SUM(H6:H17)</f>
        <v>229</v>
      </c>
      <c r="I19" s="86">
        <f t="shared" si="0"/>
        <v>99.13419913419914</v>
      </c>
      <c r="J19" s="117">
        <f>SUM(J6:J17)</f>
        <v>5613.3</v>
      </c>
      <c r="K19" s="117">
        <f>SUM(K6:K18)</f>
        <v>5571</v>
      </c>
      <c r="L19" s="85">
        <f>SUM(L6:L18)</f>
        <v>59431</v>
      </c>
      <c r="M19" s="85">
        <f>SUM(M6:M18)</f>
        <v>17395</v>
      </c>
    </row>
    <row r="20" spans="1:13" ht="15.75" customHeight="1">
      <c r="A20" s="126">
        <v>1</v>
      </c>
      <c r="B20" s="31" t="s">
        <v>100</v>
      </c>
      <c r="C20" s="85"/>
      <c r="D20" s="85"/>
      <c r="E20" s="86"/>
      <c r="F20" s="86"/>
      <c r="G20" s="3"/>
      <c r="H20" s="3"/>
      <c r="I20" s="86"/>
      <c r="J20" s="117"/>
      <c r="K20" s="117">
        <f>H20+(D20*0.2)+('численность 1'!N20*0.3)+'численность 1'!H20+(('численность 1'!D20-'численность 1'!H20)*0.6)</f>
        <v>16.8</v>
      </c>
      <c r="L20" s="85">
        <v>184</v>
      </c>
      <c r="M20" s="85">
        <v>25</v>
      </c>
    </row>
    <row r="21" spans="1:13" ht="15.75" customHeight="1">
      <c r="A21" s="126">
        <v>2</v>
      </c>
      <c r="B21" s="31" t="s">
        <v>103</v>
      </c>
      <c r="C21" s="85"/>
      <c r="D21" s="85">
        <v>129</v>
      </c>
      <c r="E21" s="86"/>
      <c r="F21" s="86">
        <v>67</v>
      </c>
      <c r="G21" s="3"/>
      <c r="H21" s="3"/>
      <c r="I21" s="86"/>
      <c r="J21" s="117"/>
      <c r="K21" s="117">
        <f>H21+(D21*0.2)+('численность 1'!N21*0.3)+'численность 1'!H21+(('численность 1'!D21-'численность 1'!H21)*0.6)</f>
        <v>25.8</v>
      </c>
      <c r="L21" s="85">
        <v>190</v>
      </c>
      <c r="M21" s="85">
        <v>50</v>
      </c>
    </row>
    <row r="22" spans="1:13" ht="15">
      <c r="A22" s="3">
        <v>3</v>
      </c>
      <c r="B22" s="31" t="s">
        <v>81</v>
      </c>
      <c r="C22" s="85"/>
      <c r="D22" s="85"/>
      <c r="E22" s="86"/>
      <c r="F22" s="86"/>
      <c r="G22" s="3"/>
      <c r="H22" s="3"/>
      <c r="I22" s="86"/>
      <c r="J22" s="117">
        <f>G22+(C22*0.2)+('численность 1'!M22*0.3)+'численность 1'!G22+(('численность 1'!C22-'численность 1'!G22)*0.6)</f>
        <v>30.599999999999998</v>
      </c>
      <c r="K22" s="117">
        <f>H22+(D22*0.2)+('численность 1'!N22*0.3)+'численность 1'!H22+(('численность 1'!D22-'численность 1'!H22)*0.6)</f>
        <v>0</v>
      </c>
      <c r="L22" s="114"/>
      <c r="M22" s="85"/>
    </row>
    <row r="23" spans="1:13" ht="15">
      <c r="A23" s="3">
        <v>4</v>
      </c>
      <c r="B23" s="31" t="s">
        <v>86</v>
      </c>
      <c r="C23" s="3">
        <v>54</v>
      </c>
      <c r="D23" s="3">
        <v>110</v>
      </c>
      <c r="E23" s="86">
        <f>D23*100/C23</f>
        <v>203.7037037037037</v>
      </c>
      <c r="F23" s="35">
        <v>56</v>
      </c>
      <c r="G23" s="3"/>
      <c r="H23" s="3">
        <v>6</v>
      </c>
      <c r="I23" s="86"/>
      <c r="J23" s="117">
        <f>G23+(C23*0.2)+('численность 1'!M23*0.3)+'численность 1'!G23+(('численность 1'!C23-'численность 1'!G23)*0.6)</f>
        <v>10.8</v>
      </c>
      <c r="K23" s="117">
        <f>H23+(D23*0.2)+('численность 1'!N23*0.3)+'численность 1'!H23+(('численность 1'!D23-'численность 1'!H23)*0.6)</f>
        <v>28</v>
      </c>
      <c r="L23" s="3">
        <v>350</v>
      </c>
      <c r="M23" s="3">
        <v>60</v>
      </c>
    </row>
    <row r="24" spans="1:13" ht="25.5" customHeight="1">
      <c r="A24" s="155" t="s">
        <v>88</v>
      </c>
      <c r="B24" s="156"/>
      <c r="C24" s="85">
        <f>SUM(C23)</f>
        <v>54</v>
      </c>
      <c r="D24" s="85">
        <f>SUM(D20:D23)</f>
        <v>239</v>
      </c>
      <c r="E24" s="86">
        <f>D24*100/C24</f>
        <v>442.5925925925926</v>
      </c>
      <c r="F24" s="85">
        <f>SUM(F20:F23)</f>
        <v>123</v>
      </c>
      <c r="G24" s="85">
        <f>SUM(G22:G23)</f>
        <v>0</v>
      </c>
      <c r="H24" s="85">
        <f>SUM(H22:H23)</f>
        <v>6</v>
      </c>
      <c r="I24" s="86"/>
      <c r="J24" s="117">
        <f>SUM(J20:J23)</f>
        <v>41.4</v>
      </c>
      <c r="K24" s="117">
        <f>SUM(K20:K23)</f>
        <v>70.6</v>
      </c>
      <c r="L24" s="117">
        <f>SUM(L20:L23)</f>
        <v>724</v>
      </c>
      <c r="M24" s="117">
        <f>SUM(M20:M23)</f>
        <v>135</v>
      </c>
    </row>
    <row r="25" spans="1:13" ht="41.25" customHeight="1">
      <c r="A25" s="157" t="s">
        <v>89</v>
      </c>
      <c r="B25" s="158"/>
      <c r="C25" s="85">
        <f>C19+C24</f>
        <v>475</v>
      </c>
      <c r="D25" s="85">
        <f>D19+D24</f>
        <v>822</v>
      </c>
      <c r="E25" s="35">
        <f>D25/C25*100</f>
        <v>173.05263157894737</v>
      </c>
      <c r="F25" s="85">
        <f>F19+F24</f>
        <v>414</v>
      </c>
      <c r="G25" s="85">
        <f>G19+G24</f>
        <v>231</v>
      </c>
      <c r="H25" s="85">
        <f>H19+H24</f>
        <v>235</v>
      </c>
      <c r="I25" s="86">
        <f>H25*100/G25</f>
        <v>101.73160173160173</v>
      </c>
      <c r="J25" s="114">
        <f>J19+J24</f>
        <v>5654.7</v>
      </c>
      <c r="K25" s="117">
        <f>K19+K24</f>
        <v>5641.6</v>
      </c>
      <c r="L25" s="86">
        <f>L19+L24</f>
        <v>60155</v>
      </c>
      <c r="M25" s="85">
        <f>M19+M24</f>
        <v>17530</v>
      </c>
    </row>
  </sheetData>
  <sheetProtection/>
  <mergeCells count="8">
    <mergeCell ref="A24:B24"/>
    <mergeCell ref="A25:B25"/>
    <mergeCell ref="G3:I3"/>
    <mergeCell ref="L3:M3"/>
    <mergeCell ref="L4:L5"/>
    <mergeCell ref="M4:M5"/>
    <mergeCell ref="A19:B19"/>
    <mergeCell ref="F3:F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="60" zoomScaleNormal="50" zoomScalePageLayoutView="0" workbookViewId="0" topLeftCell="A1">
      <selection activeCell="K36" sqref="K36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6" t="s">
        <v>121</v>
      </c>
      <c r="F1" s="46"/>
      <c r="G1" s="46"/>
      <c r="H1" s="45"/>
      <c r="I1" s="45"/>
      <c r="J1" s="45"/>
      <c r="K1" s="45"/>
      <c r="L1" s="45"/>
      <c r="M1" s="45"/>
      <c r="N1" s="45"/>
      <c r="O1" s="45"/>
      <c r="P1" s="14"/>
      <c r="Q1" s="42"/>
      <c r="R1" s="1"/>
    </row>
    <row r="2" spans="5:17" ht="20.25">
      <c r="E2" s="45"/>
      <c r="F2" s="45"/>
      <c r="G2" s="45"/>
      <c r="H2" s="47" t="s">
        <v>53</v>
      </c>
      <c r="I2" s="47"/>
      <c r="J2" s="47"/>
      <c r="K2" s="47"/>
      <c r="L2" s="47"/>
      <c r="M2" s="47"/>
      <c r="N2" s="45"/>
      <c r="O2" s="45"/>
      <c r="P2" s="14"/>
      <c r="Q2" s="14"/>
    </row>
    <row r="3" spans="1:21" s="19" customFormat="1" ht="44.25" customHeight="1">
      <c r="A3" s="22" t="s">
        <v>2</v>
      </c>
      <c r="B3" s="147" t="s">
        <v>3</v>
      </c>
      <c r="C3" s="142" t="s">
        <v>74</v>
      </c>
      <c r="D3" s="172"/>
      <c r="E3" s="173"/>
      <c r="F3" s="149" t="s">
        <v>73</v>
      </c>
      <c r="G3" s="142" t="s">
        <v>8</v>
      </c>
      <c r="H3" s="172"/>
      <c r="I3" s="173"/>
      <c r="J3" s="174" t="s">
        <v>66</v>
      </c>
      <c r="K3" s="175"/>
      <c r="L3" s="176"/>
      <c r="M3" s="142" t="s">
        <v>9</v>
      </c>
      <c r="N3" s="172"/>
      <c r="O3" s="172"/>
      <c r="P3" s="172"/>
      <c r="Q3" s="172"/>
      <c r="R3" s="172"/>
      <c r="S3" s="172"/>
      <c r="T3" s="172"/>
      <c r="U3" s="173"/>
    </row>
    <row r="4" spans="1:21" s="19" customFormat="1" ht="23.25" customHeight="1">
      <c r="A4" s="32"/>
      <c r="B4" s="171"/>
      <c r="C4" s="147">
        <v>2012</v>
      </c>
      <c r="D4" s="147">
        <v>2013</v>
      </c>
      <c r="E4" s="97" t="s">
        <v>4</v>
      </c>
      <c r="F4" s="150"/>
      <c r="G4" s="147">
        <v>2012</v>
      </c>
      <c r="H4" s="147">
        <v>2013</v>
      </c>
      <c r="I4" s="97" t="s">
        <v>4</v>
      </c>
      <c r="J4" s="147">
        <v>2012</v>
      </c>
      <c r="K4" s="147">
        <v>2013</v>
      </c>
      <c r="L4" s="97" t="s">
        <v>4</v>
      </c>
      <c r="M4" s="147">
        <v>2012</v>
      </c>
      <c r="N4" s="147">
        <v>2013</v>
      </c>
      <c r="O4" s="97" t="s">
        <v>4</v>
      </c>
      <c r="P4" s="94" t="s">
        <v>5</v>
      </c>
      <c r="Q4" s="98" t="s">
        <v>65</v>
      </c>
      <c r="R4" s="149" t="s">
        <v>113</v>
      </c>
      <c r="S4" s="94" t="s">
        <v>50</v>
      </c>
      <c r="T4" s="99"/>
      <c r="U4" s="149" t="s">
        <v>113</v>
      </c>
    </row>
    <row r="5" spans="1:21" s="19" customFormat="1" ht="23.25" customHeight="1">
      <c r="A5" s="28"/>
      <c r="B5" s="148"/>
      <c r="C5" s="170"/>
      <c r="D5" s="170"/>
      <c r="E5" s="100">
        <v>2012</v>
      </c>
      <c r="F5" s="151"/>
      <c r="G5" s="170"/>
      <c r="H5" s="170"/>
      <c r="I5" s="100">
        <v>2012</v>
      </c>
      <c r="J5" s="170"/>
      <c r="K5" s="170"/>
      <c r="L5" s="100">
        <v>2012</v>
      </c>
      <c r="M5" s="170"/>
      <c r="N5" s="170"/>
      <c r="O5" s="100">
        <v>2012</v>
      </c>
      <c r="P5" s="95">
        <v>2012</v>
      </c>
      <c r="Q5" s="95">
        <v>2013</v>
      </c>
      <c r="R5" s="169"/>
      <c r="S5" s="95">
        <v>2012</v>
      </c>
      <c r="T5" s="95">
        <v>2013</v>
      </c>
      <c r="U5" s="169"/>
    </row>
    <row r="6" spans="1:34" s="19" customFormat="1" ht="24.75" customHeight="1">
      <c r="A6" s="3">
        <v>1</v>
      </c>
      <c r="B6" s="21" t="s">
        <v>55</v>
      </c>
      <c r="C6" s="3">
        <v>309</v>
      </c>
      <c r="D6" s="3">
        <v>291</v>
      </c>
      <c r="E6" s="35">
        <f aca="true" t="shared" si="0" ref="E6:E15">D6*100/C6</f>
        <v>94.1747572815534</v>
      </c>
      <c r="F6" s="3">
        <v>8</v>
      </c>
      <c r="G6" s="3">
        <v>180</v>
      </c>
      <c r="H6" s="3">
        <v>180</v>
      </c>
      <c r="I6" s="35">
        <f aca="true" t="shared" si="1" ref="I6:I15">H6*100/G6</f>
        <v>100</v>
      </c>
      <c r="J6" s="3">
        <v>180</v>
      </c>
      <c r="K6" s="3">
        <v>180</v>
      </c>
      <c r="L6" s="35">
        <f aca="true" t="shared" si="2" ref="L6:L25">K6*100/J6</f>
        <v>100</v>
      </c>
      <c r="M6" s="3"/>
      <c r="N6" s="3"/>
      <c r="O6" s="35"/>
      <c r="P6" s="3"/>
      <c r="Q6" s="3"/>
      <c r="R6" s="35"/>
      <c r="S6" s="35"/>
      <c r="T6" s="35"/>
      <c r="U6" s="35"/>
      <c r="AH6" s="83"/>
    </row>
    <row r="7" spans="1:34" s="19" customFormat="1" ht="24.75" customHeight="1">
      <c r="A7" s="3">
        <v>2</v>
      </c>
      <c r="B7" s="21" t="s">
        <v>56</v>
      </c>
      <c r="C7" s="3">
        <v>223</v>
      </c>
      <c r="D7" s="3">
        <v>240</v>
      </c>
      <c r="E7" s="35">
        <f t="shared" si="0"/>
        <v>107.62331838565022</v>
      </c>
      <c r="F7" s="3">
        <v>16</v>
      </c>
      <c r="G7" s="3">
        <v>105</v>
      </c>
      <c r="H7" s="3">
        <v>105</v>
      </c>
      <c r="I7" s="35">
        <f t="shared" si="1"/>
        <v>100</v>
      </c>
      <c r="J7" s="3">
        <v>105</v>
      </c>
      <c r="K7" s="3">
        <v>105</v>
      </c>
      <c r="L7" s="35">
        <f t="shared" si="2"/>
        <v>100</v>
      </c>
      <c r="M7" s="3"/>
      <c r="N7" s="3"/>
      <c r="O7" s="35"/>
      <c r="P7" s="3"/>
      <c r="Q7" s="3"/>
      <c r="R7" s="35"/>
      <c r="S7" s="35"/>
      <c r="T7" s="35"/>
      <c r="U7" s="35"/>
      <c r="AH7" s="83"/>
    </row>
    <row r="8" spans="1:34" s="19" customFormat="1" ht="24.75" customHeight="1">
      <c r="A8" s="3">
        <v>3</v>
      </c>
      <c r="B8" s="21" t="s">
        <v>57</v>
      </c>
      <c r="C8" s="3">
        <v>118</v>
      </c>
      <c r="D8" s="3">
        <v>134</v>
      </c>
      <c r="E8" s="35">
        <f t="shared" si="0"/>
        <v>113.55932203389831</v>
      </c>
      <c r="F8" s="85">
        <v>3</v>
      </c>
      <c r="G8" s="3">
        <v>60</v>
      </c>
      <c r="H8" s="3">
        <v>60</v>
      </c>
      <c r="I8" s="35">
        <f t="shared" si="1"/>
        <v>100</v>
      </c>
      <c r="J8" s="3">
        <v>60</v>
      </c>
      <c r="K8" s="3">
        <v>60</v>
      </c>
      <c r="L8" s="35">
        <f t="shared" si="2"/>
        <v>100</v>
      </c>
      <c r="M8" s="3"/>
      <c r="N8" s="3"/>
      <c r="O8" s="96"/>
      <c r="P8" s="3"/>
      <c r="Q8" s="3"/>
      <c r="R8" s="35"/>
      <c r="S8" s="35"/>
      <c r="T8" s="35"/>
      <c r="U8" s="35"/>
      <c r="AH8" s="83"/>
    </row>
    <row r="9" spans="1:34" s="19" customFormat="1" ht="24.75" customHeight="1">
      <c r="A9" s="3">
        <v>4</v>
      </c>
      <c r="B9" s="21" t="s">
        <v>58</v>
      </c>
      <c r="C9" s="3">
        <v>806</v>
      </c>
      <c r="D9" s="3">
        <v>914</v>
      </c>
      <c r="E9" s="35">
        <f t="shared" si="0"/>
        <v>113.39950372208436</v>
      </c>
      <c r="F9" s="3">
        <v>42</v>
      </c>
      <c r="G9" s="3">
        <v>308</v>
      </c>
      <c r="H9" s="3">
        <v>308</v>
      </c>
      <c r="I9" s="35">
        <f t="shared" si="1"/>
        <v>100</v>
      </c>
      <c r="J9" s="3">
        <v>308</v>
      </c>
      <c r="K9" s="3">
        <v>308</v>
      </c>
      <c r="L9" s="35">
        <f t="shared" si="2"/>
        <v>100</v>
      </c>
      <c r="M9" s="3">
        <v>470</v>
      </c>
      <c r="N9" s="3">
        <v>386</v>
      </c>
      <c r="O9" s="35">
        <f>N9*100/M9</f>
        <v>82.12765957446808</v>
      </c>
      <c r="P9" s="3">
        <v>28</v>
      </c>
      <c r="Q9" s="3">
        <v>28</v>
      </c>
      <c r="R9" s="35">
        <f>Q9*100/P9</f>
        <v>100</v>
      </c>
      <c r="S9" s="3">
        <v>39</v>
      </c>
      <c r="T9" s="3">
        <v>28</v>
      </c>
      <c r="U9" s="35">
        <f>T9*100/S9</f>
        <v>71.7948717948718</v>
      </c>
      <c r="AH9" s="83"/>
    </row>
    <row r="10" spans="1:34" s="19" customFormat="1" ht="24.75" customHeight="1">
      <c r="A10" s="3">
        <v>5</v>
      </c>
      <c r="B10" s="21" t="s">
        <v>59</v>
      </c>
      <c r="C10" s="3">
        <v>359</v>
      </c>
      <c r="D10" s="3">
        <v>276</v>
      </c>
      <c r="E10" s="35">
        <f t="shared" si="0"/>
        <v>76.88022284122563</v>
      </c>
      <c r="F10" s="114"/>
      <c r="G10" s="3">
        <v>250</v>
      </c>
      <c r="H10" s="3">
        <v>200</v>
      </c>
      <c r="I10" s="35">
        <f t="shared" si="1"/>
        <v>80</v>
      </c>
      <c r="J10" s="3">
        <v>250</v>
      </c>
      <c r="K10" s="3">
        <v>200</v>
      </c>
      <c r="L10" s="35">
        <f t="shared" si="2"/>
        <v>80</v>
      </c>
      <c r="M10" s="3">
        <v>197</v>
      </c>
      <c r="N10" s="3">
        <v>122</v>
      </c>
      <c r="O10" s="35">
        <f>N10*100/M10</f>
        <v>61.92893401015228</v>
      </c>
      <c r="P10" s="3">
        <v>80</v>
      </c>
      <c r="Q10" s="3">
        <v>40</v>
      </c>
      <c r="R10" s="35">
        <f>Q10*100/P10</f>
        <v>50</v>
      </c>
      <c r="S10" s="3">
        <v>7</v>
      </c>
      <c r="T10" s="3">
        <v>1</v>
      </c>
      <c r="U10" s="35">
        <f>T10*100/S10</f>
        <v>14.285714285714286</v>
      </c>
      <c r="AH10" s="83"/>
    </row>
    <row r="11" spans="1:34" s="19" customFormat="1" ht="24.75" customHeight="1">
      <c r="A11" s="3">
        <v>6</v>
      </c>
      <c r="B11" s="37" t="s">
        <v>72</v>
      </c>
      <c r="C11" s="3">
        <v>277</v>
      </c>
      <c r="D11" s="3">
        <v>242</v>
      </c>
      <c r="E11" s="35">
        <f t="shared" si="0"/>
        <v>87.36462093862816</v>
      </c>
      <c r="F11" s="114">
        <v>23</v>
      </c>
      <c r="G11" s="3">
        <v>85</v>
      </c>
      <c r="H11" s="3">
        <v>85</v>
      </c>
      <c r="I11" s="35">
        <f t="shared" si="1"/>
        <v>100</v>
      </c>
      <c r="J11" s="3">
        <v>85</v>
      </c>
      <c r="K11" s="3">
        <v>85</v>
      </c>
      <c r="L11" s="35">
        <f t="shared" si="2"/>
        <v>100</v>
      </c>
      <c r="M11" s="3"/>
      <c r="N11" s="3"/>
      <c r="O11" s="35"/>
      <c r="P11" s="3"/>
      <c r="Q11" s="3"/>
      <c r="R11" s="35"/>
      <c r="S11" s="3"/>
      <c r="T11" s="3"/>
      <c r="U11" s="35"/>
      <c r="AH11" s="83"/>
    </row>
    <row r="12" spans="1:34" s="19" customFormat="1" ht="24.75" customHeight="1">
      <c r="A12" s="3">
        <v>8</v>
      </c>
      <c r="B12" s="31" t="s">
        <v>85</v>
      </c>
      <c r="C12" s="3">
        <v>233</v>
      </c>
      <c r="D12" s="3">
        <v>272</v>
      </c>
      <c r="E12" s="35">
        <f t="shared" si="0"/>
        <v>116.7381974248927</v>
      </c>
      <c r="F12" s="3">
        <v>15</v>
      </c>
      <c r="G12" s="3">
        <v>65</v>
      </c>
      <c r="H12" s="3">
        <v>65</v>
      </c>
      <c r="I12" s="35">
        <f t="shared" si="1"/>
        <v>100</v>
      </c>
      <c r="J12" s="3">
        <v>65</v>
      </c>
      <c r="K12" s="3">
        <v>65</v>
      </c>
      <c r="L12" s="35"/>
      <c r="M12" s="3"/>
      <c r="N12" s="3"/>
      <c r="O12" s="35"/>
      <c r="P12" s="3"/>
      <c r="Q12" s="3"/>
      <c r="R12" s="35"/>
      <c r="S12" s="3"/>
      <c r="T12" s="3"/>
      <c r="U12" s="35"/>
      <c r="AH12" s="83"/>
    </row>
    <row r="13" spans="1:34" s="19" customFormat="1" ht="24.75" customHeight="1">
      <c r="A13" s="3">
        <v>9</v>
      </c>
      <c r="B13" s="31" t="s">
        <v>71</v>
      </c>
      <c r="C13" s="3">
        <v>264</v>
      </c>
      <c r="D13" s="3">
        <v>241</v>
      </c>
      <c r="E13" s="35">
        <f t="shared" si="0"/>
        <v>91.28787878787878</v>
      </c>
      <c r="F13" s="3">
        <v>17</v>
      </c>
      <c r="G13" s="3">
        <v>78</v>
      </c>
      <c r="H13" s="3">
        <v>78</v>
      </c>
      <c r="I13" s="35">
        <f t="shared" si="1"/>
        <v>100</v>
      </c>
      <c r="J13" s="3">
        <v>78</v>
      </c>
      <c r="K13" s="3">
        <v>78</v>
      </c>
      <c r="L13" s="35">
        <f t="shared" si="2"/>
        <v>100</v>
      </c>
      <c r="M13" s="3"/>
      <c r="N13" s="3"/>
      <c r="O13" s="35"/>
      <c r="P13" s="3"/>
      <c r="Q13" s="3"/>
      <c r="R13" s="35"/>
      <c r="S13" s="3"/>
      <c r="T13" s="3"/>
      <c r="U13" s="35"/>
      <c r="AH13" s="83"/>
    </row>
    <row r="14" spans="1:34" s="19" customFormat="1" ht="24.75" customHeight="1">
      <c r="A14" s="3">
        <v>10</v>
      </c>
      <c r="B14" s="21" t="s">
        <v>60</v>
      </c>
      <c r="C14" s="3">
        <v>241</v>
      </c>
      <c r="D14" s="3">
        <v>244</v>
      </c>
      <c r="E14" s="35">
        <f t="shared" si="0"/>
        <v>101.2448132780083</v>
      </c>
      <c r="F14" s="3">
        <v>16</v>
      </c>
      <c r="G14" s="3">
        <v>100</v>
      </c>
      <c r="H14" s="3">
        <v>100</v>
      </c>
      <c r="I14" s="35">
        <f t="shared" si="1"/>
        <v>100</v>
      </c>
      <c r="J14" s="3">
        <v>100</v>
      </c>
      <c r="K14" s="3">
        <v>100</v>
      </c>
      <c r="L14" s="35">
        <f t="shared" si="2"/>
        <v>100</v>
      </c>
      <c r="M14" s="3"/>
      <c r="N14" s="3"/>
      <c r="O14" s="35"/>
      <c r="P14" s="3"/>
      <c r="Q14" s="3"/>
      <c r="R14" s="35"/>
      <c r="S14" s="3"/>
      <c r="T14" s="3"/>
      <c r="U14" s="35"/>
      <c r="AH14" s="83"/>
    </row>
    <row r="15" spans="1:34" s="19" customFormat="1" ht="24.75" customHeight="1">
      <c r="A15" s="3">
        <v>11</v>
      </c>
      <c r="B15" s="21" t="s">
        <v>61</v>
      </c>
      <c r="C15" s="3">
        <v>65</v>
      </c>
      <c r="D15" s="3">
        <v>52</v>
      </c>
      <c r="E15" s="35">
        <f t="shared" si="0"/>
        <v>80</v>
      </c>
      <c r="F15" s="3"/>
      <c r="G15" s="3">
        <v>42</v>
      </c>
      <c r="H15" s="3">
        <v>40</v>
      </c>
      <c r="I15" s="35">
        <f t="shared" si="1"/>
        <v>95.23809523809524</v>
      </c>
      <c r="J15" s="3">
        <v>42</v>
      </c>
      <c r="K15" s="3">
        <v>41</v>
      </c>
      <c r="L15" s="35">
        <f t="shared" si="2"/>
        <v>97.61904761904762</v>
      </c>
      <c r="M15" s="3"/>
      <c r="N15" s="3"/>
      <c r="O15" s="35"/>
      <c r="P15" s="3"/>
      <c r="Q15" s="3"/>
      <c r="R15" s="35"/>
      <c r="S15" s="3"/>
      <c r="T15" s="3"/>
      <c r="U15" s="35"/>
      <c r="AH15" s="83"/>
    </row>
    <row r="16" spans="1:34" s="19" customFormat="1" ht="24.75" customHeight="1">
      <c r="A16" s="3">
        <v>12</v>
      </c>
      <c r="B16" s="21" t="s">
        <v>62</v>
      </c>
      <c r="C16" s="3"/>
      <c r="D16" s="3"/>
      <c r="E16" s="35"/>
      <c r="F16" s="3"/>
      <c r="G16" s="3"/>
      <c r="H16" s="3"/>
      <c r="I16" s="35"/>
      <c r="J16" s="3"/>
      <c r="K16" s="3"/>
      <c r="L16" s="35"/>
      <c r="M16" s="3">
        <v>9506</v>
      </c>
      <c r="N16" s="3">
        <v>9470</v>
      </c>
      <c r="O16" s="35">
        <f>N16*100/M16</f>
        <v>99.62129181569534</v>
      </c>
      <c r="P16" s="3">
        <v>240</v>
      </c>
      <c r="Q16" s="3">
        <v>274</v>
      </c>
      <c r="R16" s="35">
        <f>Q16*100/P16</f>
        <v>114.16666666666667</v>
      </c>
      <c r="S16" s="3">
        <v>384</v>
      </c>
      <c r="T16" s="3">
        <v>345</v>
      </c>
      <c r="U16" s="35">
        <f>T16*100/S16</f>
        <v>89.84375</v>
      </c>
      <c r="AH16" s="83"/>
    </row>
    <row r="17" spans="1:34" s="19" customFormat="1" ht="24.75" customHeight="1">
      <c r="A17" s="3">
        <v>13</v>
      </c>
      <c r="B17" s="31" t="s">
        <v>70</v>
      </c>
      <c r="C17" s="3"/>
      <c r="D17" s="3"/>
      <c r="E17" s="35"/>
      <c r="F17" s="3"/>
      <c r="G17" s="3"/>
      <c r="H17" s="3"/>
      <c r="I17" s="35"/>
      <c r="J17" s="3"/>
      <c r="K17" s="3"/>
      <c r="L17" s="35"/>
      <c r="M17" s="3"/>
      <c r="N17" s="3"/>
      <c r="O17" s="35"/>
      <c r="P17" s="3"/>
      <c r="Q17" s="3"/>
      <c r="R17" s="35"/>
      <c r="S17" s="3"/>
      <c r="T17" s="3"/>
      <c r="U17" s="35"/>
      <c r="AH17" s="83"/>
    </row>
    <row r="18" spans="1:34" s="19" customFormat="1" ht="24.75" customHeight="1">
      <c r="A18" s="30">
        <v>14</v>
      </c>
      <c r="B18" s="31" t="s">
        <v>104</v>
      </c>
      <c r="C18" s="3"/>
      <c r="D18" s="3"/>
      <c r="E18" s="35"/>
      <c r="F18" s="3"/>
      <c r="G18" s="3"/>
      <c r="H18" s="3"/>
      <c r="I18" s="35"/>
      <c r="J18" s="3"/>
      <c r="K18" s="3"/>
      <c r="L18" s="35"/>
      <c r="M18" s="3"/>
      <c r="N18" s="3"/>
      <c r="O18" s="35"/>
      <c r="P18" s="3"/>
      <c r="Q18" s="3"/>
      <c r="R18" s="35"/>
      <c r="S18" s="3"/>
      <c r="T18" s="3"/>
      <c r="U18" s="35"/>
      <c r="AH18" s="83"/>
    </row>
    <row r="19" spans="1:21" s="19" customFormat="1" ht="57" customHeight="1">
      <c r="A19" s="155" t="s">
        <v>97</v>
      </c>
      <c r="B19" s="156"/>
      <c r="C19" s="3">
        <f>SUM(C6:C17)</f>
        <v>2895</v>
      </c>
      <c r="D19" s="3">
        <f>SUM(D6:D17)</f>
        <v>2906</v>
      </c>
      <c r="E19" s="35">
        <f>D19*100/C19</f>
        <v>100.37996545768567</v>
      </c>
      <c r="F19" s="3">
        <f>SUM(F6:F17)</f>
        <v>140</v>
      </c>
      <c r="G19" s="3">
        <f>SUM(G6:G17)</f>
        <v>1273</v>
      </c>
      <c r="H19" s="3">
        <f>SUM(H6:H17)</f>
        <v>1221</v>
      </c>
      <c r="I19" s="35">
        <f>H19*100/G19</f>
        <v>95.91516103692067</v>
      </c>
      <c r="J19" s="3">
        <f>SUM(J6:J17)</f>
        <v>1273</v>
      </c>
      <c r="K19" s="3">
        <f>SUM(K6:K17)</f>
        <v>1222</v>
      </c>
      <c r="L19" s="35">
        <f t="shared" si="2"/>
        <v>95.9937156323645</v>
      </c>
      <c r="M19" s="3">
        <f>SUM(M9:M17)</f>
        <v>10173</v>
      </c>
      <c r="N19" s="3">
        <f>SUM(N9:N17)</f>
        <v>9978</v>
      </c>
      <c r="O19" s="35">
        <f>N19*100/M19</f>
        <v>98.08316130934827</v>
      </c>
      <c r="P19" s="3">
        <f>SUM(P9:P17)</f>
        <v>348</v>
      </c>
      <c r="Q19" s="3">
        <f>SUM(Q9:Q17)</f>
        <v>342</v>
      </c>
      <c r="R19" s="35">
        <f>Q19*100/P19</f>
        <v>98.27586206896552</v>
      </c>
      <c r="S19" s="3">
        <f>SUM(S9:S17)</f>
        <v>430</v>
      </c>
      <c r="T19" s="35">
        <f>SUM(T9:T17)</f>
        <v>374</v>
      </c>
      <c r="U19" s="35">
        <f>T19*100/S19</f>
        <v>86.97674418604652</v>
      </c>
    </row>
    <row r="20" spans="1:21" s="19" customFormat="1" ht="24.75" customHeight="1">
      <c r="A20" s="126">
        <v>1</v>
      </c>
      <c r="B20" s="31" t="s">
        <v>100</v>
      </c>
      <c r="C20" s="3"/>
      <c r="D20" s="3">
        <v>18</v>
      </c>
      <c r="E20" s="35"/>
      <c r="F20" s="3"/>
      <c r="G20" s="3"/>
      <c r="H20" s="3">
        <v>15</v>
      </c>
      <c r="I20" s="35"/>
      <c r="J20" s="3"/>
      <c r="K20" s="3">
        <v>15</v>
      </c>
      <c r="L20" s="35"/>
      <c r="M20" s="3"/>
      <c r="N20" s="3"/>
      <c r="O20" s="35"/>
      <c r="P20" s="3"/>
      <c r="Q20" s="3"/>
      <c r="R20" s="35"/>
      <c r="S20" s="3"/>
      <c r="T20" s="35"/>
      <c r="U20" s="35"/>
    </row>
    <row r="21" spans="1:21" s="19" customFormat="1" ht="24.75" customHeight="1">
      <c r="A21" s="126">
        <v>2</v>
      </c>
      <c r="B21" s="31" t="s">
        <v>103</v>
      </c>
      <c r="C21" s="3"/>
      <c r="D21" s="3"/>
      <c r="E21" s="35"/>
      <c r="F21" s="3"/>
      <c r="G21" s="3"/>
      <c r="H21" s="3"/>
      <c r="I21" s="35"/>
      <c r="J21" s="3"/>
      <c r="K21" s="3"/>
      <c r="L21" s="35"/>
      <c r="M21" s="3"/>
      <c r="N21" s="3"/>
      <c r="O21" s="35"/>
      <c r="P21" s="3"/>
      <c r="Q21" s="3"/>
      <c r="R21" s="35"/>
      <c r="S21" s="3"/>
      <c r="T21" s="35"/>
      <c r="U21" s="35"/>
    </row>
    <row r="22" spans="1:34" s="19" customFormat="1" ht="24.75" customHeight="1">
      <c r="A22" s="3">
        <v>3</v>
      </c>
      <c r="B22" s="31" t="s">
        <v>81</v>
      </c>
      <c r="C22" s="3"/>
      <c r="D22" s="3"/>
      <c r="E22" s="35"/>
      <c r="F22" s="3"/>
      <c r="G22" s="3"/>
      <c r="H22" s="3"/>
      <c r="I22" s="35"/>
      <c r="J22" s="3"/>
      <c r="K22" s="3"/>
      <c r="L22" s="35"/>
      <c r="M22" s="3">
        <v>102</v>
      </c>
      <c r="N22" s="3"/>
      <c r="O22" s="35">
        <f>N22*100/M22</f>
        <v>0</v>
      </c>
      <c r="P22" s="3">
        <v>10</v>
      </c>
      <c r="Q22" s="3"/>
      <c r="R22" s="35">
        <f>Q22*100/P22</f>
        <v>0</v>
      </c>
      <c r="S22" s="3"/>
      <c r="T22" s="3"/>
      <c r="U22" s="35"/>
      <c r="AH22" s="83"/>
    </row>
    <row r="23" spans="1:34" s="19" customFormat="1" ht="24.75" customHeight="1">
      <c r="A23" s="3">
        <v>4</v>
      </c>
      <c r="B23" s="31" t="s">
        <v>86</v>
      </c>
      <c r="C23" s="3"/>
      <c r="D23" s="3"/>
      <c r="E23" s="35"/>
      <c r="F23" s="3"/>
      <c r="G23" s="3"/>
      <c r="H23" s="3"/>
      <c r="I23" s="35"/>
      <c r="J23" s="3"/>
      <c r="K23" s="3"/>
      <c r="L23" s="35"/>
      <c r="M23" s="3"/>
      <c r="N23" s="3"/>
      <c r="O23" s="35"/>
      <c r="P23" s="3"/>
      <c r="Q23" s="3"/>
      <c r="R23" s="35"/>
      <c r="S23" s="3"/>
      <c r="T23" s="3"/>
      <c r="U23" s="35"/>
      <c r="AH23" s="83"/>
    </row>
    <row r="24" spans="1:34" s="19" customFormat="1" ht="24.75" customHeight="1">
      <c r="A24" s="155" t="s">
        <v>88</v>
      </c>
      <c r="B24" s="156"/>
      <c r="C24" s="3"/>
      <c r="D24" s="3">
        <f>SUM(D20:D23)</f>
        <v>18</v>
      </c>
      <c r="E24" s="35"/>
      <c r="F24" s="3"/>
      <c r="G24" s="3"/>
      <c r="H24" s="3">
        <f>SUM(H20:H23)</f>
        <v>15</v>
      </c>
      <c r="I24" s="35"/>
      <c r="J24" s="3"/>
      <c r="K24" s="35">
        <f>SUM(K20:K23)</f>
        <v>15</v>
      </c>
      <c r="L24" s="35"/>
      <c r="M24" s="3">
        <f>SUM(M22:M23)</f>
        <v>102</v>
      </c>
      <c r="N24" s="3">
        <f>SUM(N22:N23)</f>
        <v>0</v>
      </c>
      <c r="O24" s="35">
        <f>N24*100/M24</f>
        <v>0</v>
      </c>
      <c r="P24" s="3">
        <f>SUM(P22:P23)</f>
        <v>10</v>
      </c>
      <c r="Q24" s="3">
        <f>SUM(Q22:Q23)</f>
        <v>0</v>
      </c>
      <c r="R24" s="35">
        <f>Q24*100/P24</f>
        <v>0</v>
      </c>
      <c r="S24" s="3">
        <f>SUM(S22:S23)</f>
        <v>0</v>
      </c>
      <c r="T24" s="3">
        <f>SUM(T22:T23)</f>
        <v>0</v>
      </c>
      <c r="U24" s="35"/>
      <c r="AH24" s="83"/>
    </row>
    <row r="25" spans="1:34" s="19" customFormat="1" ht="36" customHeight="1">
      <c r="A25" s="157" t="s">
        <v>89</v>
      </c>
      <c r="B25" s="158"/>
      <c r="C25" s="3">
        <f>C19+C24</f>
        <v>2895</v>
      </c>
      <c r="D25" s="3">
        <f>D19+D24</f>
        <v>2924</v>
      </c>
      <c r="E25" s="35">
        <f>D25*100/C25</f>
        <v>101.00172711571675</v>
      </c>
      <c r="F25" s="3">
        <f>F19+F24</f>
        <v>140</v>
      </c>
      <c r="G25" s="3">
        <f>G19+G24</f>
        <v>1273</v>
      </c>
      <c r="H25" s="3">
        <f>H19+H24</f>
        <v>1236</v>
      </c>
      <c r="I25" s="35">
        <f>H25*100/G25</f>
        <v>97.09347996857817</v>
      </c>
      <c r="J25" s="3">
        <f>J19+J24</f>
        <v>1273</v>
      </c>
      <c r="K25" s="35">
        <f>K19+K24</f>
        <v>1237</v>
      </c>
      <c r="L25" s="35">
        <f t="shared" si="2"/>
        <v>97.172034564022</v>
      </c>
      <c r="M25" s="3">
        <f>M19+M24</f>
        <v>10275</v>
      </c>
      <c r="N25" s="3">
        <f>N19+N24</f>
        <v>9978</v>
      </c>
      <c r="O25" s="35">
        <f>N25*100/M25</f>
        <v>97.1094890510949</v>
      </c>
      <c r="P25" s="3">
        <f>P19+P24</f>
        <v>358</v>
      </c>
      <c r="Q25" s="3">
        <f>Q19+Q24</f>
        <v>342</v>
      </c>
      <c r="R25" s="35">
        <f>Q25*100/P25</f>
        <v>95.53072625698324</v>
      </c>
      <c r="S25" s="3">
        <f>S19+S24</f>
        <v>430</v>
      </c>
      <c r="T25" s="3">
        <f>T19+T24</f>
        <v>374</v>
      </c>
      <c r="U25" s="35">
        <f>T25*100/S25</f>
        <v>86.97674418604652</v>
      </c>
      <c r="AH25" s="83"/>
    </row>
  </sheetData>
  <sheetProtection/>
  <mergeCells count="19">
    <mergeCell ref="M3:U3"/>
    <mergeCell ref="N4:N5"/>
    <mergeCell ref="R4:R5"/>
    <mergeCell ref="F3:F5"/>
    <mergeCell ref="C3:E3"/>
    <mergeCell ref="A19:B19"/>
    <mergeCell ref="J3:L3"/>
    <mergeCell ref="J4:J5"/>
    <mergeCell ref="K4:K5"/>
    <mergeCell ref="A24:B24"/>
    <mergeCell ref="A25:B25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view="pageBreakPreview" zoomScale="75" zoomScaleNormal="75" zoomScaleSheetLayoutView="75" zoomScalePageLayoutView="0" workbookViewId="0" topLeftCell="A1">
      <selection activeCell="M18" sqref="M1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19"/>
      <c r="B2" s="19"/>
      <c r="C2" s="19"/>
      <c r="D2" s="1" t="s">
        <v>120</v>
      </c>
      <c r="E2" s="1"/>
      <c r="F2" s="1"/>
      <c r="G2" s="1"/>
      <c r="H2" s="1"/>
      <c r="I2" s="1"/>
      <c r="J2" s="1"/>
      <c r="K2" s="1"/>
      <c r="L2" s="19"/>
      <c r="M2" s="19"/>
      <c r="N2" s="19"/>
    </row>
    <row r="3" spans="1:14" ht="15">
      <c r="A3" s="180" t="s">
        <v>98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2.75">
      <c r="A4" s="147" t="s">
        <v>2</v>
      </c>
      <c r="B4" s="149" t="s">
        <v>3</v>
      </c>
      <c r="C4" s="153" t="s">
        <v>78</v>
      </c>
      <c r="D4" s="189"/>
      <c r="E4" s="186"/>
      <c r="F4" s="181" t="s">
        <v>63</v>
      </c>
      <c r="G4" s="182"/>
      <c r="H4" s="181" t="s">
        <v>77</v>
      </c>
      <c r="I4" s="185"/>
      <c r="J4" s="186"/>
      <c r="K4" s="181" t="s">
        <v>75</v>
      </c>
      <c r="L4" s="182"/>
      <c r="M4" s="181" t="s">
        <v>76</v>
      </c>
      <c r="N4" s="182"/>
    </row>
    <row r="5" spans="1:14" ht="31.5" customHeight="1">
      <c r="A5" s="171"/>
      <c r="B5" s="150"/>
      <c r="C5" s="190"/>
      <c r="D5" s="191"/>
      <c r="E5" s="192"/>
      <c r="F5" s="183"/>
      <c r="G5" s="184"/>
      <c r="H5" s="183"/>
      <c r="I5" s="187"/>
      <c r="J5" s="188"/>
      <c r="K5" s="183"/>
      <c r="L5" s="184"/>
      <c r="M5" s="183"/>
      <c r="N5" s="184"/>
    </row>
    <row r="6" spans="1:14" ht="30">
      <c r="A6" s="148"/>
      <c r="B6" s="151"/>
      <c r="C6" s="3">
        <v>2012</v>
      </c>
      <c r="D6" s="18">
        <v>2013</v>
      </c>
      <c r="E6" s="92" t="s">
        <v>112</v>
      </c>
      <c r="F6" s="3">
        <v>2012</v>
      </c>
      <c r="G6" s="18">
        <v>2013</v>
      </c>
      <c r="H6" s="3">
        <v>2012</v>
      </c>
      <c r="I6" s="18">
        <v>2013</v>
      </c>
      <c r="J6" s="92" t="s">
        <v>112</v>
      </c>
      <c r="K6" s="21" t="s">
        <v>1</v>
      </c>
      <c r="L6" s="23" t="s">
        <v>32</v>
      </c>
      <c r="M6" s="37" t="s">
        <v>44</v>
      </c>
      <c r="N6" s="50" t="s">
        <v>45</v>
      </c>
    </row>
    <row r="7" spans="1:14" ht="16.5" customHeight="1">
      <c r="A7" s="30">
        <v>1</v>
      </c>
      <c r="B7" s="21" t="s">
        <v>58</v>
      </c>
      <c r="C7" s="30">
        <v>94</v>
      </c>
      <c r="D7" s="30"/>
      <c r="E7" s="30">
        <f aca="true" t="shared" si="0" ref="E7:E13">D7-C7</f>
        <v>-94</v>
      </c>
      <c r="F7" s="30">
        <v>94</v>
      </c>
      <c r="G7" s="30"/>
      <c r="H7" s="73">
        <f>F7*100/20</f>
        <v>470</v>
      </c>
      <c r="I7" s="73">
        <f>G7*100/28</f>
        <v>0</v>
      </c>
      <c r="J7" s="72">
        <f aca="true" t="shared" si="1" ref="J7:J13">I7-H7</f>
        <v>-470</v>
      </c>
      <c r="K7" s="30"/>
      <c r="L7" s="30"/>
      <c r="M7" s="90"/>
      <c r="N7" s="90"/>
    </row>
    <row r="8" spans="1:14" ht="16.5" customHeight="1">
      <c r="A8" s="30">
        <v>2</v>
      </c>
      <c r="B8" s="30" t="s">
        <v>59</v>
      </c>
      <c r="C8" s="30">
        <v>51</v>
      </c>
      <c r="D8" s="30">
        <v>20</v>
      </c>
      <c r="E8" s="30">
        <f t="shared" si="0"/>
        <v>-31</v>
      </c>
      <c r="F8" s="30">
        <v>51</v>
      </c>
      <c r="G8" s="30">
        <v>20</v>
      </c>
      <c r="H8" s="73">
        <f>F8*100/80</f>
        <v>63.75</v>
      </c>
      <c r="I8" s="73">
        <f>G8*100/80</f>
        <v>25</v>
      </c>
      <c r="J8" s="72">
        <f t="shared" si="1"/>
        <v>-38.75</v>
      </c>
      <c r="K8" s="31">
        <v>4</v>
      </c>
      <c r="L8" s="31">
        <v>4</v>
      </c>
      <c r="M8" s="90">
        <f aca="true" t="shared" si="2" ref="M8:M13">G8/L8</f>
        <v>5</v>
      </c>
      <c r="N8" s="90"/>
    </row>
    <row r="9" spans="1:14" ht="16.5" customHeight="1">
      <c r="A9" s="30">
        <v>3</v>
      </c>
      <c r="B9" s="31" t="s">
        <v>62</v>
      </c>
      <c r="C9" s="30">
        <v>1530</v>
      </c>
      <c r="D9" s="30">
        <v>1681</v>
      </c>
      <c r="E9" s="30">
        <f t="shared" si="0"/>
        <v>151</v>
      </c>
      <c r="F9" s="30">
        <v>950</v>
      </c>
      <c r="G9" s="30">
        <v>731</v>
      </c>
      <c r="H9" s="73">
        <f>F9*100/226</f>
        <v>420.353982300885</v>
      </c>
      <c r="I9" s="73">
        <f>G9*100/240</f>
        <v>304.5833333333333</v>
      </c>
      <c r="J9" s="72">
        <f t="shared" si="1"/>
        <v>-115.77064896755167</v>
      </c>
      <c r="K9" s="31">
        <v>189</v>
      </c>
      <c r="L9" s="31">
        <v>77</v>
      </c>
      <c r="M9" s="112">
        <f t="shared" si="2"/>
        <v>9.493506493506494</v>
      </c>
      <c r="N9" s="112">
        <f>(D9-G9)/(K9-L9)</f>
        <v>8.482142857142858</v>
      </c>
    </row>
    <row r="10" spans="1:14" ht="42.75" customHeight="1">
      <c r="A10" s="178" t="s">
        <v>96</v>
      </c>
      <c r="B10" s="179"/>
      <c r="C10" s="30">
        <f>SUM(C7:C9)</f>
        <v>1675</v>
      </c>
      <c r="D10" s="30">
        <f>SUM(D7:D9)</f>
        <v>1701</v>
      </c>
      <c r="E10" s="30">
        <f t="shared" si="0"/>
        <v>26</v>
      </c>
      <c r="F10" s="30">
        <f>SUM(F7:F9)</f>
        <v>1095</v>
      </c>
      <c r="G10" s="30">
        <f>SUM(G7:G9)</f>
        <v>751</v>
      </c>
      <c r="H10" s="73">
        <f>F10*100/326</f>
        <v>335.88957055214723</v>
      </c>
      <c r="I10" s="73">
        <f>G10*100/348</f>
        <v>215.80459770114942</v>
      </c>
      <c r="J10" s="72">
        <f t="shared" si="1"/>
        <v>-120.08497285099781</v>
      </c>
      <c r="K10" s="72">
        <f>SUM(K7:K9)</f>
        <v>193</v>
      </c>
      <c r="L10" s="72">
        <f>SUM(L7:L9)</f>
        <v>81</v>
      </c>
      <c r="M10" s="90">
        <f t="shared" si="2"/>
        <v>9.271604938271604</v>
      </c>
      <c r="N10" s="90">
        <f>(D10-G10)/(K10-L10)</f>
        <v>8.482142857142858</v>
      </c>
    </row>
    <row r="11" spans="1:14" ht="15">
      <c r="A11" s="30">
        <v>1</v>
      </c>
      <c r="B11" s="31" t="s">
        <v>81</v>
      </c>
      <c r="C11" s="30"/>
      <c r="D11" s="30"/>
      <c r="E11" s="30"/>
      <c r="F11" s="21"/>
      <c r="G11" s="21"/>
      <c r="H11" s="73"/>
      <c r="I11" s="73"/>
      <c r="J11" s="72"/>
      <c r="K11" s="72"/>
      <c r="L11" s="21"/>
      <c r="M11" s="90"/>
      <c r="N11" s="90"/>
    </row>
    <row r="12" spans="1:14" ht="25.5" customHeight="1">
      <c r="A12" s="155" t="s">
        <v>88</v>
      </c>
      <c r="B12" s="156"/>
      <c r="C12" s="30">
        <f>SUM(C11)</f>
        <v>0</v>
      </c>
      <c r="D12" s="30">
        <f>SUM(D11)</f>
        <v>0</v>
      </c>
      <c r="E12" s="30">
        <f t="shared" si="0"/>
        <v>0</v>
      </c>
      <c r="F12" s="30">
        <f>SUM(F11)</f>
        <v>0</v>
      </c>
      <c r="G12" s="30">
        <f>SUM(G11)</f>
        <v>0</v>
      </c>
      <c r="H12" s="73">
        <f>F12*100/11</f>
        <v>0</v>
      </c>
      <c r="I12" s="73">
        <f>G12*100/10</f>
        <v>0</v>
      </c>
      <c r="J12" s="72">
        <f t="shared" si="1"/>
        <v>0</v>
      </c>
      <c r="K12" s="30">
        <f>SUM(K11)</f>
        <v>0</v>
      </c>
      <c r="L12" s="30">
        <f>SUM(L11)</f>
        <v>0</v>
      </c>
      <c r="M12" s="90"/>
      <c r="N12" s="90"/>
    </row>
    <row r="13" spans="1:14" ht="28.5" customHeight="1">
      <c r="A13" s="177" t="s">
        <v>89</v>
      </c>
      <c r="B13" s="177"/>
      <c r="C13" s="30">
        <f>C10+C12</f>
        <v>1675</v>
      </c>
      <c r="D13" s="30">
        <f>SUM(D10:D11)</f>
        <v>1701</v>
      </c>
      <c r="E13" s="30">
        <f t="shared" si="0"/>
        <v>26</v>
      </c>
      <c r="F13" s="30">
        <f>F10+F12</f>
        <v>1095</v>
      </c>
      <c r="G13" s="30">
        <f>SUM(G10:G11)</f>
        <v>751</v>
      </c>
      <c r="H13" s="73">
        <f>F13*100/337</f>
        <v>324.9258160237389</v>
      </c>
      <c r="I13" s="73">
        <f>G13*100/358</f>
        <v>209.77653631284917</v>
      </c>
      <c r="J13" s="72">
        <f t="shared" si="1"/>
        <v>-115.14927971088972</v>
      </c>
      <c r="K13" s="30">
        <f>K10+K12</f>
        <v>193</v>
      </c>
      <c r="L13" s="30">
        <f>SUM(L10:L11)</f>
        <v>81</v>
      </c>
      <c r="M13" s="90">
        <f t="shared" si="2"/>
        <v>9.271604938271604</v>
      </c>
      <c r="N13" s="90">
        <f>(D13-G13)/(K13-L13)</f>
        <v>8.482142857142858</v>
      </c>
    </row>
    <row r="15" spans="2:15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15" ht="15">
      <c r="B16" s="71"/>
      <c r="C16" s="107"/>
      <c r="D16" s="107"/>
      <c r="E16" s="107"/>
      <c r="F16" s="107"/>
      <c r="G16" s="107"/>
      <c r="H16" s="108"/>
      <c r="I16" s="109"/>
      <c r="J16" s="108"/>
      <c r="K16" s="107"/>
      <c r="L16" s="107"/>
      <c r="M16" s="110"/>
      <c r="N16" s="110"/>
      <c r="O16" s="71"/>
    </row>
    <row r="17" spans="2:15" ht="15">
      <c r="B17" s="71"/>
      <c r="C17" s="107"/>
      <c r="D17" s="107"/>
      <c r="E17" s="107"/>
      <c r="F17" s="107"/>
      <c r="G17" s="107"/>
      <c r="H17" s="109"/>
      <c r="I17" s="109"/>
      <c r="J17" s="108"/>
      <c r="K17" s="111"/>
      <c r="L17" s="111"/>
      <c r="M17" s="110"/>
      <c r="N17" s="110"/>
      <c r="O17" s="71"/>
    </row>
    <row r="18" spans="2:15" ht="15">
      <c r="B18" s="71"/>
      <c r="C18" s="107"/>
      <c r="D18" s="107"/>
      <c r="E18" s="107"/>
      <c r="F18" s="107"/>
      <c r="G18" s="107"/>
      <c r="H18" s="108"/>
      <c r="I18" s="109"/>
      <c r="J18" s="108"/>
      <c r="K18" s="111"/>
      <c r="L18" s="111"/>
      <c r="M18" s="110"/>
      <c r="N18" s="110"/>
      <c r="O18" s="71"/>
    </row>
    <row r="19" spans="2:15" ht="15">
      <c r="B19" s="71"/>
      <c r="C19" s="107"/>
      <c r="D19" s="107"/>
      <c r="E19" s="107"/>
      <c r="F19" s="107"/>
      <c r="G19" s="107"/>
      <c r="H19" s="108"/>
      <c r="I19" s="109"/>
      <c r="J19" s="108"/>
      <c r="K19" s="111"/>
      <c r="L19" s="111"/>
      <c r="M19" s="110"/>
      <c r="N19" s="110"/>
      <c r="O19" s="71"/>
    </row>
    <row r="20" spans="2:15" ht="15">
      <c r="B20" s="71"/>
      <c r="C20" s="107"/>
      <c r="D20" s="107"/>
      <c r="E20" s="107"/>
      <c r="F20" s="107"/>
      <c r="G20" s="107"/>
      <c r="H20" s="108"/>
      <c r="I20" s="109"/>
      <c r="J20" s="108"/>
      <c r="K20" s="111"/>
      <c r="L20" s="111"/>
      <c r="M20" s="110"/>
      <c r="N20" s="110"/>
      <c r="O20" s="71"/>
    </row>
    <row r="21" spans="2:15" ht="15">
      <c r="B21" s="71"/>
      <c r="C21" s="107"/>
      <c r="D21" s="107"/>
      <c r="E21" s="107"/>
      <c r="F21" s="107"/>
      <c r="G21" s="107"/>
      <c r="H21" s="108"/>
      <c r="I21" s="109"/>
      <c r="J21" s="108"/>
      <c r="K21" s="109"/>
      <c r="L21" s="109"/>
      <c r="M21" s="110"/>
      <c r="N21" s="110"/>
      <c r="O21" s="71"/>
    </row>
    <row r="22" spans="2:15" ht="15">
      <c r="B22" s="71"/>
      <c r="C22" s="107"/>
      <c r="D22" s="107"/>
      <c r="E22" s="107"/>
      <c r="F22" s="107"/>
      <c r="G22" s="107"/>
      <c r="H22" s="108"/>
      <c r="I22" s="109"/>
      <c r="J22" s="108"/>
      <c r="K22" s="111"/>
      <c r="L22" s="111"/>
      <c r="M22" s="110"/>
      <c r="N22" s="110"/>
      <c r="O22" s="71"/>
    </row>
    <row r="23" spans="2:15" ht="15">
      <c r="B23" s="71"/>
      <c r="C23" s="107"/>
      <c r="D23" s="107"/>
      <c r="E23" s="107"/>
      <c r="F23" s="107"/>
      <c r="G23" s="107"/>
      <c r="H23" s="109"/>
      <c r="I23" s="109"/>
      <c r="J23" s="108"/>
      <c r="K23" s="111"/>
      <c r="L23" s="111"/>
      <c r="M23" s="110"/>
      <c r="N23" s="110"/>
      <c r="O23" s="71"/>
    </row>
    <row r="24" spans="2:15" ht="12.7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ht="12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ht="12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</sheetData>
  <sheetProtection/>
  <mergeCells count="11"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zoomScalePageLayoutView="0" workbookViewId="0" topLeftCell="A1">
      <selection activeCell="K33" sqref="K33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19"/>
      <c r="B1" s="19"/>
      <c r="C1" s="121" t="s">
        <v>119</v>
      </c>
      <c r="D1" s="121"/>
      <c r="E1" s="121"/>
      <c r="F1" s="121"/>
      <c r="G1" s="121"/>
      <c r="H1" s="121"/>
      <c r="I1" s="121"/>
      <c r="J1" s="121"/>
      <c r="K1" s="121"/>
      <c r="L1" s="19"/>
      <c r="M1" s="19"/>
      <c r="N1" s="19"/>
    </row>
    <row r="2" spans="1:14" ht="15">
      <c r="A2" s="147" t="s">
        <v>2</v>
      </c>
      <c r="B2" s="147" t="s">
        <v>3</v>
      </c>
      <c r="C2" s="23" t="s">
        <v>34</v>
      </c>
      <c r="D2" s="24"/>
      <c r="E2" s="26"/>
      <c r="F2" s="48" t="s">
        <v>35</v>
      </c>
      <c r="G2" s="24"/>
      <c r="H2" s="26"/>
      <c r="I2" s="23" t="s">
        <v>36</v>
      </c>
      <c r="J2" s="24"/>
      <c r="K2" s="26"/>
      <c r="L2" s="23" t="s">
        <v>37</v>
      </c>
      <c r="M2" s="24"/>
      <c r="N2" s="26"/>
    </row>
    <row r="3" spans="1:14" ht="15">
      <c r="A3" s="171"/>
      <c r="B3" s="171"/>
      <c r="C3" s="17">
        <v>2012</v>
      </c>
      <c r="D3" s="18">
        <v>2013</v>
      </c>
      <c r="E3" s="9" t="s">
        <v>33</v>
      </c>
      <c r="F3" s="17">
        <v>2012</v>
      </c>
      <c r="G3" s="18">
        <v>2013</v>
      </c>
      <c r="H3" s="9" t="s">
        <v>33</v>
      </c>
      <c r="I3" s="17">
        <v>2012</v>
      </c>
      <c r="J3" s="18">
        <v>2013</v>
      </c>
      <c r="K3" s="9" t="s">
        <v>33</v>
      </c>
      <c r="L3" s="17">
        <v>2012</v>
      </c>
      <c r="M3" s="18">
        <v>2013</v>
      </c>
      <c r="N3" s="9" t="s">
        <v>33</v>
      </c>
    </row>
    <row r="4" spans="1:14" ht="15">
      <c r="A4" s="148"/>
      <c r="B4" s="148"/>
      <c r="C4" s="28"/>
      <c r="D4" s="28"/>
      <c r="E4" s="44" t="s">
        <v>111</v>
      </c>
      <c r="F4" s="28"/>
      <c r="G4" s="28"/>
      <c r="H4" s="44" t="s">
        <v>111</v>
      </c>
      <c r="I4" s="28"/>
      <c r="J4" s="28"/>
      <c r="K4" s="44" t="s">
        <v>111</v>
      </c>
      <c r="L4" s="28"/>
      <c r="M4" s="28"/>
      <c r="N4" s="44" t="s">
        <v>111</v>
      </c>
    </row>
    <row r="5" spans="1:14" ht="16.5" customHeight="1">
      <c r="A5" s="30">
        <v>1</v>
      </c>
      <c r="B5" s="30" t="s">
        <v>55</v>
      </c>
      <c r="C5" s="12">
        <v>39</v>
      </c>
      <c r="D5" s="12">
        <v>18</v>
      </c>
      <c r="E5" s="15">
        <f aca="true" t="shared" si="0" ref="E5:E14">D5-C5</f>
        <v>-21</v>
      </c>
      <c r="F5" s="12">
        <v>7</v>
      </c>
      <c r="G5" s="12">
        <v>2</v>
      </c>
      <c r="H5" s="15">
        <f aca="true" t="shared" si="1" ref="H5:H14">G5-F5</f>
        <v>-5</v>
      </c>
      <c r="I5" s="12"/>
      <c r="J5" s="12"/>
      <c r="K5" s="12"/>
      <c r="L5" s="12"/>
      <c r="M5" s="12"/>
      <c r="N5" s="12"/>
    </row>
    <row r="6" spans="1:14" ht="16.5" customHeight="1">
      <c r="A6" s="30">
        <v>2</v>
      </c>
      <c r="B6" s="30" t="s">
        <v>56</v>
      </c>
      <c r="C6" s="12">
        <v>9</v>
      </c>
      <c r="D6" s="12">
        <v>5</v>
      </c>
      <c r="E6" s="15">
        <f t="shared" si="0"/>
        <v>-4</v>
      </c>
      <c r="F6" s="12"/>
      <c r="G6" s="12"/>
      <c r="H6" s="15">
        <f t="shared" si="1"/>
        <v>0</v>
      </c>
      <c r="I6" s="12"/>
      <c r="J6" s="12"/>
      <c r="K6" s="12"/>
      <c r="L6" s="12"/>
      <c r="M6" s="12"/>
      <c r="N6" s="12"/>
    </row>
    <row r="7" spans="1:14" ht="16.5" customHeight="1">
      <c r="A7" s="30">
        <v>3</v>
      </c>
      <c r="B7" s="30" t="s">
        <v>57</v>
      </c>
      <c r="C7" s="12">
        <v>19</v>
      </c>
      <c r="D7" s="12">
        <v>14</v>
      </c>
      <c r="E7" s="15">
        <f t="shared" si="0"/>
        <v>-5</v>
      </c>
      <c r="F7" s="12"/>
      <c r="G7" s="12"/>
      <c r="H7" s="15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0">
        <v>4</v>
      </c>
      <c r="B8" s="21" t="s">
        <v>58</v>
      </c>
      <c r="C8" s="12">
        <v>81</v>
      </c>
      <c r="D8" s="12">
        <v>73</v>
      </c>
      <c r="E8" s="15">
        <f t="shared" si="0"/>
        <v>-8</v>
      </c>
      <c r="F8" s="12"/>
      <c r="G8" s="12"/>
      <c r="H8" s="15">
        <f t="shared" si="1"/>
        <v>0</v>
      </c>
      <c r="I8" s="15">
        <v>21</v>
      </c>
      <c r="J8" s="15">
        <v>16</v>
      </c>
      <c r="K8" s="12">
        <f>J8-I8</f>
        <v>-5</v>
      </c>
      <c r="L8" s="12">
        <v>15</v>
      </c>
      <c r="M8" s="12">
        <v>8</v>
      </c>
      <c r="N8" s="12">
        <f>M8-L8</f>
        <v>-7</v>
      </c>
    </row>
    <row r="9" spans="1:14" ht="16.5" customHeight="1">
      <c r="A9" s="30">
        <v>5</v>
      </c>
      <c r="B9" s="30" t="s">
        <v>59</v>
      </c>
      <c r="C9" s="12">
        <v>15</v>
      </c>
      <c r="D9" s="12">
        <v>22</v>
      </c>
      <c r="E9" s="15">
        <f t="shared" si="0"/>
        <v>7</v>
      </c>
      <c r="F9" s="12"/>
      <c r="G9" s="12"/>
      <c r="H9" s="15">
        <f t="shared" si="1"/>
        <v>0</v>
      </c>
      <c r="I9" s="12">
        <v>24</v>
      </c>
      <c r="J9" s="12">
        <v>12</v>
      </c>
      <c r="K9" s="12">
        <f>J9-I9</f>
        <v>-12</v>
      </c>
      <c r="L9" s="15">
        <v>7</v>
      </c>
      <c r="M9" s="15">
        <v>3</v>
      </c>
      <c r="N9" s="12">
        <f>M9-L9</f>
        <v>-4</v>
      </c>
    </row>
    <row r="10" spans="1:14" ht="16.5" customHeight="1">
      <c r="A10" s="30">
        <v>6</v>
      </c>
      <c r="B10" s="31" t="s">
        <v>72</v>
      </c>
      <c r="C10" s="12">
        <v>5</v>
      </c>
      <c r="D10" s="12">
        <v>15</v>
      </c>
      <c r="E10" s="15">
        <f t="shared" si="0"/>
        <v>10</v>
      </c>
      <c r="F10" s="12"/>
      <c r="G10" s="12"/>
      <c r="H10" s="15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0">
        <v>8</v>
      </c>
      <c r="B11" s="31" t="s">
        <v>85</v>
      </c>
      <c r="C11" s="12">
        <v>16</v>
      </c>
      <c r="D11" s="12">
        <v>6</v>
      </c>
      <c r="E11" s="15">
        <f t="shared" si="0"/>
        <v>-10</v>
      </c>
      <c r="F11" s="12">
        <v>4</v>
      </c>
      <c r="G11" s="12">
        <v>2</v>
      </c>
      <c r="H11" s="15"/>
      <c r="I11" s="12"/>
      <c r="J11" s="12"/>
      <c r="K11" s="12"/>
      <c r="L11" s="12"/>
      <c r="M11" s="12"/>
      <c r="N11" s="12"/>
    </row>
    <row r="12" spans="1:14" ht="16.5" customHeight="1">
      <c r="A12" s="30">
        <v>9</v>
      </c>
      <c r="B12" s="31" t="s">
        <v>71</v>
      </c>
      <c r="C12" s="12">
        <v>61</v>
      </c>
      <c r="D12" s="12">
        <v>41</v>
      </c>
      <c r="E12" s="15">
        <f t="shared" si="0"/>
        <v>-20</v>
      </c>
      <c r="F12" s="12">
        <v>20</v>
      </c>
      <c r="G12" s="12">
        <v>3</v>
      </c>
      <c r="H12" s="15">
        <f t="shared" si="1"/>
        <v>-17</v>
      </c>
      <c r="I12" s="12"/>
      <c r="J12" s="12"/>
      <c r="K12" s="12"/>
      <c r="L12" s="12"/>
      <c r="M12" s="12"/>
      <c r="N12" s="12"/>
    </row>
    <row r="13" spans="1:14" ht="16.5" customHeight="1">
      <c r="A13" s="30">
        <v>10</v>
      </c>
      <c r="B13" s="31" t="s">
        <v>60</v>
      </c>
      <c r="C13" s="12">
        <v>11</v>
      </c>
      <c r="D13" s="12">
        <v>11</v>
      </c>
      <c r="E13" s="15">
        <f t="shared" si="0"/>
        <v>0</v>
      </c>
      <c r="F13" s="12"/>
      <c r="G13" s="12"/>
      <c r="H13" s="15">
        <f t="shared" si="1"/>
        <v>0</v>
      </c>
      <c r="I13" s="12"/>
      <c r="J13" s="12"/>
      <c r="K13" s="12"/>
      <c r="L13" s="12"/>
      <c r="M13" s="12"/>
      <c r="N13" s="12"/>
    </row>
    <row r="14" spans="1:14" ht="16.5" customHeight="1">
      <c r="A14" s="30">
        <v>11</v>
      </c>
      <c r="B14" s="31" t="s">
        <v>61</v>
      </c>
      <c r="C14" s="12">
        <v>5</v>
      </c>
      <c r="D14" s="12"/>
      <c r="E14" s="15">
        <f t="shared" si="0"/>
        <v>-5</v>
      </c>
      <c r="F14" s="12"/>
      <c r="G14" s="12"/>
      <c r="H14" s="15">
        <f t="shared" si="1"/>
        <v>0</v>
      </c>
      <c r="I14" s="12"/>
      <c r="J14" s="12"/>
      <c r="K14" s="12"/>
      <c r="L14" s="12"/>
      <c r="M14" s="12"/>
      <c r="N14" s="12"/>
    </row>
    <row r="15" spans="1:14" ht="16.5" customHeight="1">
      <c r="A15" s="30">
        <v>12</v>
      </c>
      <c r="B15" s="31" t="s">
        <v>62</v>
      </c>
      <c r="C15" s="15"/>
      <c r="D15" s="15"/>
      <c r="E15" s="15"/>
      <c r="F15" s="15"/>
      <c r="G15" s="15"/>
      <c r="H15" s="15"/>
      <c r="I15" s="12">
        <v>312</v>
      </c>
      <c r="J15" s="12">
        <v>350</v>
      </c>
      <c r="K15" s="12">
        <f>J15-I15</f>
        <v>38</v>
      </c>
      <c r="L15" s="12">
        <v>147</v>
      </c>
      <c r="M15" s="12">
        <v>106</v>
      </c>
      <c r="N15" s="12">
        <f>M15-L15</f>
        <v>-41</v>
      </c>
    </row>
    <row r="16" spans="1:14" ht="60.75" customHeight="1">
      <c r="A16" s="155" t="s">
        <v>95</v>
      </c>
      <c r="B16" s="156"/>
      <c r="C16" s="12">
        <f>SUM(C5:C14)</f>
        <v>261</v>
      </c>
      <c r="D16" s="12">
        <f>SUM(D5:D15)</f>
        <v>205</v>
      </c>
      <c r="E16" s="12">
        <f>D16-C16</f>
        <v>-56</v>
      </c>
      <c r="F16" s="12">
        <f>SUM(F5:F15)</f>
        <v>31</v>
      </c>
      <c r="G16" s="12">
        <f>SUM(G5:G15)</f>
        <v>7</v>
      </c>
      <c r="H16" s="12">
        <f>G16-F16</f>
        <v>-24</v>
      </c>
      <c r="I16" s="12">
        <f>SUM(I8:I15)</f>
        <v>357</v>
      </c>
      <c r="J16" s="12">
        <f>SUM(J8:J15)</f>
        <v>378</v>
      </c>
      <c r="K16" s="12">
        <f>J16-I16</f>
        <v>21</v>
      </c>
      <c r="L16" s="12">
        <f>SUM(L8:L15)</f>
        <v>169</v>
      </c>
      <c r="M16" s="12">
        <f>SUM(M8:M15)</f>
        <v>117</v>
      </c>
      <c r="N16" s="12">
        <f>M16-L16</f>
        <v>-52</v>
      </c>
    </row>
    <row r="17" spans="1:14" ht="16.5" customHeight="1">
      <c r="A17" s="30">
        <v>1</v>
      </c>
      <c r="B17" s="31" t="s">
        <v>81</v>
      </c>
      <c r="C17" s="12"/>
      <c r="D17" s="15"/>
      <c r="E17" s="12"/>
      <c r="F17" s="15"/>
      <c r="G17" s="15"/>
      <c r="H17" s="12"/>
      <c r="I17" s="12"/>
      <c r="J17" s="12"/>
      <c r="K17" s="12"/>
      <c r="L17" s="12"/>
      <c r="M17" s="12"/>
      <c r="N17" s="12"/>
    </row>
    <row r="18" spans="1:14" ht="18.75" customHeight="1">
      <c r="A18" s="155" t="s">
        <v>88</v>
      </c>
      <c r="B18" s="15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39" customHeight="1">
      <c r="A19" s="157" t="s">
        <v>89</v>
      </c>
      <c r="B19" s="158"/>
      <c r="C19" s="12">
        <f>C16+C18</f>
        <v>261</v>
      </c>
      <c r="D19" s="12">
        <f>D16+D18</f>
        <v>205</v>
      </c>
      <c r="E19" s="12">
        <f>D19-C19</f>
        <v>-56</v>
      </c>
      <c r="F19" s="12">
        <f>F16+F18</f>
        <v>31</v>
      </c>
      <c r="G19" s="12">
        <f>G16+G18</f>
        <v>7</v>
      </c>
      <c r="H19" s="12">
        <f>G19-F19</f>
        <v>-24</v>
      </c>
      <c r="I19" s="12">
        <f>I16+I18</f>
        <v>357</v>
      </c>
      <c r="J19" s="12">
        <f>J16+J18</f>
        <v>378</v>
      </c>
      <c r="K19" s="12">
        <f>J19-I19</f>
        <v>21</v>
      </c>
      <c r="L19" s="12">
        <f>L16+L18</f>
        <v>169</v>
      </c>
      <c r="M19" s="12">
        <f>M16+M18</f>
        <v>117</v>
      </c>
      <c r="N19" s="12">
        <f>M19-L19</f>
        <v>-52</v>
      </c>
    </row>
  </sheetData>
  <sheetProtection/>
  <mergeCells count="5">
    <mergeCell ref="B2:B4"/>
    <mergeCell ref="A2:A4"/>
    <mergeCell ref="A16:B16"/>
    <mergeCell ref="A18:B18"/>
    <mergeCell ref="A19:B19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5" zoomScaleNormal="75" zoomScaleSheetLayoutView="65" zoomScalePageLayoutView="0" workbookViewId="0" topLeftCell="A1">
      <selection activeCell="N49" sqref="N49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52" t="s">
        <v>2</v>
      </c>
      <c r="B3" s="152" t="s">
        <v>3</v>
      </c>
      <c r="C3" s="23" t="s">
        <v>24</v>
      </c>
      <c r="D3" s="24"/>
      <c r="E3" s="26"/>
      <c r="F3" s="5" t="s">
        <v>25</v>
      </c>
      <c r="G3" s="7"/>
      <c r="H3" s="22" t="s">
        <v>27</v>
      </c>
      <c r="I3" s="33" t="s">
        <v>28</v>
      </c>
      <c r="J3" s="20"/>
      <c r="K3" s="22" t="s">
        <v>27</v>
      </c>
      <c r="L3" s="49" t="s">
        <v>30</v>
      </c>
      <c r="M3" s="20"/>
      <c r="N3" s="22" t="s">
        <v>27</v>
      </c>
    </row>
    <row r="4" spans="1:14" ht="15">
      <c r="A4" s="196"/>
      <c r="B4" s="196"/>
      <c r="C4" s="17">
        <v>2012</v>
      </c>
      <c r="D4" s="18">
        <v>2013</v>
      </c>
      <c r="E4" s="18" t="s">
        <v>106</v>
      </c>
      <c r="F4" s="17">
        <v>2012</v>
      </c>
      <c r="G4" s="18">
        <v>2013</v>
      </c>
      <c r="H4" s="43" t="s">
        <v>26</v>
      </c>
      <c r="I4" s="29" t="s">
        <v>29</v>
      </c>
      <c r="J4" s="27"/>
      <c r="K4" s="43" t="s">
        <v>26</v>
      </c>
      <c r="L4" s="51" t="s">
        <v>31</v>
      </c>
      <c r="M4" s="27"/>
      <c r="N4" s="43" t="s">
        <v>26</v>
      </c>
    </row>
    <row r="5" spans="1:14" ht="15">
      <c r="A5" s="196"/>
      <c r="B5" s="196"/>
      <c r="C5" s="39"/>
      <c r="D5" s="11"/>
      <c r="E5" s="11" t="s">
        <v>109</v>
      </c>
      <c r="F5" s="28"/>
      <c r="G5" s="27"/>
      <c r="H5" s="28" t="s">
        <v>110</v>
      </c>
      <c r="I5" s="17">
        <v>2012</v>
      </c>
      <c r="J5" s="18">
        <v>2013</v>
      </c>
      <c r="K5" s="28" t="s">
        <v>110</v>
      </c>
      <c r="L5" s="17">
        <v>2012</v>
      </c>
      <c r="M5" s="18">
        <v>2013</v>
      </c>
      <c r="N5" s="28" t="s">
        <v>110</v>
      </c>
    </row>
    <row r="6" spans="1:14" ht="16.5" customHeight="1">
      <c r="A6" s="30">
        <v>1</v>
      </c>
      <c r="B6" s="30" t="s">
        <v>55</v>
      </c>
      <c r="C6" s="35">
        <v>19</v>
      </c>
      <c r="D6" s="35">
        <v>30</v>
      </c>
      <c r="E6" s="35">
        <f aca="true" t="shared" si="0" ref="E6:E16">D6*100/C6</f>
        <v>157.89473684210526</v>
      </c>
      <c r="F6" s="35">
        <v>19</v>
      </c>
      <c r="G6" s="35">
        <v>30</v>
      </c>
      <c r="H6" s="35">
        <f aca="true" t="shared" si="1" ref="H6:H16">G6-F6</f>
        <v>11</v>
      </c>
      <c r="I6" s="35">
        <f>F6*100/180</f>
        <v>10.555555555555555</v>
      </c>
      <c r="J6" s="35">
        <f>G6*100/180</f>
        <v>16.666666666666668</v>
      </c>
      <c r="K6" s="35">
        <f aca="true" t="shared" si="2" ref="K6:K16">J6-I6</f>
        <v>6.1111111111111125</v>
      </c>
      <c r="L6" s="35">
        <f>(C6-F6)*100/180</f>
        <v>0</v>
      </c>
      <c r="M6" s="35">
        <f>(D6-G6)*100/180</f>
        <v>0</v>
      </c>
      <c r="N6" s="35">
        <f>M6-L6</f>
        <v>0</v>
      </c>
    </row>
    <row r="7" spans="1:14" ht="16.5" customHeight="1">
      <c r="A7" s="30">
        <v>2</v>
      </c>
      <c r="B7" s="30" t="s">
        <v>56</v>
      </c>
      <c r="C7" s="35">
        <v>17</v>
      </c>
      <c r="D7" s="35">
        <v>25</v>
      </c>
      <c r="E7" s="35">
        <f t="shared" si="0"/>
        <v>147.05882352941177</v>
      </c>
      <c r="F7" s="35">
        <v>17</v>
      </c>
      <c r="G7" s="35">
        <v>20</v>
      </c>
      <c r="H7" s="35">
        <f t="shared" si="1"/>
        <v>3</v>
      </c>
      <c r="I7" s="35">
        <f>F7*100/105</f>
        <v>16.19047619047619</v>
      </c>
      <c r="J7" s="35">
        <f>G7*100/105</f>
        <v>19.047619047619047</v>
      </c>
      <c r="K7" s="35">
        <f>J7-I7</f>
        <v>2.8571428571428577</v>
      </c>
      <c r="L7" s="35">
        <f>(C7-F7)*100/105</f>
        <v>0</v>
      </c>
      <c r="M7" s="35">
        <f>(D7-G7)*100/105</f>
        <v>4.761904761904762</v>
      </c>
      <c r="N7" s="35">
        <f>M7-L7</f>
        <v>4.761904761904762</v>
      </c>
    </row>
    <row r="8" spans="1:14" ht="16.5" customHeight="1">
      <c r="A8" s="30">
        <v>3</v>
      </c>
      <c r="B8" s="30" t="s">
        <v>57</v>
      </c>
      <c r="C8" s="35">
        <v>14</v>
      </c>
      <c r="D8" s="35">
        <v>18</v>
      </c>
      <c r="E8" s="35">
        <f t="shared" si="0"/>
        <v>128.57142857142858</v>
      </c>
      <c r="F8" s="35">
        <v>14</v>
      </c>
      <c r="G8" s="35">
        <v>18</v>
      </c>
      <c r="H8" s="35">
        <f t="shared" si="1"/>
        <v>4</v>
      </c>
      <c r="I8" s="35">
        <f>F8*100/60</f>
        <v>23.333333333333332</v>
      </c>
      <c r="J8" s="35">
        <f>G8*100/60</f>
        <v>30</v>
      </c>
      <c r="K8" s="35">
        <f>J8-I8</f>
        <v>6.666666666666668</v>
      </c>
      <c r="L8" s="35">
        <f>(C8-F8)*100/60</f>
        <v>0</v>
      </c>
      <c r="M8" s="35">
        <f>(D8-G8)*100/60</f>
        <v>0</v>
      </c>
      <c r="N8" s="35">
        <f>M8-L8</f>
        <v>0</v>
      </c>
    </row>
    <row r="9" spans="1:14" ht="16.5" customHeight="1">
      <c r="A9" s="30">
        <v>4</v>
      </c>
      <c r="B9" s="21" t="s">
        <v>58</v>
      </c>
      <c r="C9" s="35">
        <v>46</v>
      </c>
      <c r="D9" s="35">
        <v>72</v>
      </c>
      <c r="E9" s="35">
        <f t="shared" si="0"/>
        <v>156.52173913043478</v>
      </c>
      <c r="F9" s="35">
        <v>36</v>
      </c>
      <c r="G9" s="35">
        <v>61</v>
      </c>
      <c r="H9" s="35">
        <f t="shared" si="1"/>
        <v>25</v>
      </c>
      <c r="I9" s="35">
        <f>F9*100/308</f>
        <v>11.688311688311689</v>
      </c>
      <c r="J9" s="35">
        <f>G9*100/308</f>
        <v>19.805194805194805</v>
      </c>
      <c r="K9" s="35">
        <f t="shared" si="2"/>
        <v>8.116883116883116</v>
      </c>
      <c r="L9" s="35">
        <f>(C9-F9)*100/308</f>
        <v>3.2467532467532467</v>
      </c>
      <c r="M9" s="35">
        <f>(D9-G9)*100/308</f>
        <v>3.5714285714285716</v>
      </c>
      <c r="N9" s="35">
        <f aca="true" t="shared" si="3" ref="N9:N16">M9-L9</f>
        <v>0.3246753246753249</v>
      </c>
    </row>
    <row r="10" spans="1:14" ht="16.5" customHeight="1">
      <c r="A10" s="30">
        <v>5</v>
      </c>
      <c r="B10" s="30" t="s">
        <v>59</v>
      </c>
      <c r="C10" s="35">
        <v>40</v>
      </c>
      <c r="D10" s="35">
        <v>26</v>
      </c>
      <c r="E10" s="35">
        <f t="shared" si="0"/>
        <v>65</v>
      </c>
      <c r="F10" s="35">
        <v>30</v>
      </c>
      <c r="G10" s="35">
        <v>26</v>
      </c>
      <c r="H10" s="35">
        <f t="shared" si="1"/>
        <v>-4</v>
      </c>
      <c r="I10" s="35">
        <f>F10*100/280</f>
        <v>10.714285714285714</v>
      </c>
      <c r="J10" s="35">
        <f>G10*100/280</f>
        <v>9.285714285714286</v>
      </c>
      <c r="K10" s="35">
        <f t="shared" si="2"/>
        <v>-1.428571428571427</v>
      </c>
      <c r="L10" s="35">
        <f>(C10-F10)*100/280</f>
        <v>3.5714285714285716</v>
      </c>
      <c r="M10" s="35">
        <f>(D10-G10)*100/280</f>
        <v>0</v>
      </c>
      <c r="N10" s="35">
        <f t="shared" si="3"/>
        <v>-3.5714285714285716</v>
      </c>
    </row>
    <row r="11" spans="1:14" ht="16.5" customHeight="1">
      <c r="A11" s="30">
        <v>6</v>
      </c>
      <c r="B11" s="31" t="s">
        <v>72</v>
      </c>
      <c r="C11" s="86">
        <v>24</v>
      </c>
      <c r="D11" s="86">
        <v>25</v>
      </c>
      <c r="E11" s="35">
        <f t="shared" si="0"/>
        <v>104.16666666666667</v>
      </c>
      <c r="F11" s="86">
        <v>23</v>
      </c>
      <c r="G11" s="86">
        <v>23</v>
      </c>
      <c r="H11" s="35">
        <f t="shared" si="1"/>
        <v>0</v>
      </c>
      <c r="I11" s="86">
        <f>F11*100/85</f>
        <v>27.058823529411764</v>
      </c>
      <c r="J11" s="86">
        <f>G11*100/85</f>
        <v>27.058823529411764</v>
      </c>
      <c r="K11" s="35">
        <f t="shared" si="2"/>
        <v>0</v>
      </c>
      <c r="L11" s="35">
        <f>(C11-F11)*100/85</f>
        <v>1.1764705882352942</v>
      </c>
      <c r="M11" s="35">
        <f>(D11-G11)*100/85</f>
        <v>2.3529411764705883</v>
      </c>
      <c r="N11" s="86">
        <f t="shared" si="3"/>
        <v>1.1764705882352942</v>
      </c>
    </row>
    <row r="12" spans="1:14" ht="16.5" customHeight="1">
      <c r="A12" s="30">
        <v>8</v>
      </c>
      <c r="B12" s="31" t="s">
        <v>85</v>
      </c>
      <c r="C12" s="86">
        <v>50</v>
      </c>
      <c r="D12" s="86">
        <v>43</v>
      </c>
      <c r="E12" s="35">
        <f>D12*100/C13</f>
        <v>179.16666666666666</v>
      </c>
      <c r="F12" s="86">
        <v>45</v>
      </c>
      <c r="G12" s="86">
        <v>38</v>
      </c>
      <c r="H12" s="35">
        <f t="shared" si="1"/>
        <v>-7</v>
      </c>
      <c r="I12" s="86"/>
      <c r="J12" s="86">
        <f>G12*100/65</f>
        <v>58.46153846153846</v>
      </c>
      <c r="K12" s="35"/>
      <c r="L12" s="35"/>
      <c r="M12" s="35">
        <f>(D12-G12)*100/65</f>
        <v>7.6923076923076925</v>
      </c>
      <c r="N12" s="86"/>
    </row>
    <row r="13" spans="1:14" ht="16.5" customHeight="1">
      <c r="A13" s="30">
        <v>9</v>
      </c>
      <c r="B13" s="31" t="s">
        <v>71</v>
      </c>
      <c r="C13" s="86">
        <v>24</v>
      </c>
      <c r="D13" s="86">
        <v>11</v>
      </c>
      <c r="E13" s="35">
        <f>D13*100/C14</f>
        <v>28.94736842105263</v>
      </c>
      <c r="F13" s="86">
        <v>24</v>
      </c>
      <c r="G13" s="86">
        <v>9</v>
      </c>
      <c r="H13" s="35">
        <f t="shared" si="1"/>
        <v>-15</v>
      </c>
      <c r="I13" s="86">
        <f>F13*100/78</f>
        <v>30.76923076923077</v>
      </c>
      <c r="J13" s="86">
        <f>G13*100/78</f>
        <v>11.538461538461538</v>
      </c>
      <c r="K13" s="35">
        <f t="shared" si="2"/>
        <v>-19.230769230769234</v>
      </c>
      <c r="L13" s="35">
        <f>(C13-F13)*100/78</f>
        <v>0</v>
      </c>
      <c r="M13" s="35">
        <f>(D13-G13)*100/78</f>
        <v>2.5641025641025643</v>
      </c>
      <c r="N13" s="86">
        <f t="shared" si="3"/>
        <v>2.5641025641025643</v>
      </c>
    </row>
    <row r="14" spans="1:14" ht="16.5" customHeight="1">
      <c r="A14" s="30">
        <v>10</v>
      </c>
      <c r="B14" s="31" t="s">
        <v>60</v>
      </c>
      <c r="C14" s="86">
        <v>38</v>
      </c>
      <c r="D14" s="86">
        <v>29</v>
      </c>
      <c r="E14" s="35">
        <f>D14*100/C15</f>
        <v>207.14285714285714</v>
      </c>
      <c r="F14" s="86">
        <v>38</v>
      </c>
      <c r="G14" s="86">
        <v>29</v>
      </c>
      <c r="H14" s="35">
        <f t="shared" si="1"/>
        <v>-9</v>
      </c>
      <c r="I14" s="86">
        <f>F14*100/100</f>
        <v>38</v>
      </c>
      <c r="J14" s="86">
        <f>G14*100/100</f>
        <v>29</v>
      </c>
      <c r="K14" s="35">
        <f t="shared" si="2"/>
        <v>-9</v>
      </c>
      <c r="L14" s="35">
        <f>(C14-F14)*100/100</f>
        <v>0</v>
      </c>
      <c r="M14" s="35">
        <f>(D14-G14)*100/100</f>
        <v>0</v>
      </c>
      <c r="N14" s="86">
        <f t="shared" si="3"/>
        <v>0</v>
      </c>
    </row>
    <row r="15" spans="1:14" ht="16.5" customHeight="1">
      <c r="A15" s="30">
        <v>11</v>
      </c>
      <c r="B15" s="31" t="s">
        <v>61</v>
      </c>
      <c r="C15" s="117">
        <v>14</v>
      </c>
      <c r="D15" s="86">
        <v>24</v>
      </c>
      <c r="E15" s="35">
        <f>D15*100/C16</f>
        <v>8.391608391608392</v>
      </c>
      <c r="F15" s="117">
        <v>14</v>
      </c>
      <c r="G15" s="86">
        <v>24</v>
      </c>
      <c r="H15" s="35">
        <f t="shared" si="1"/>
        <v>10</v>
      </c>
      <c r="I15" s="86">
        <f>F15*100/42</f>
        <v>33.333333333333336</v>
      </c>
      <c r="J15" s="86">
        <f>G15*100/42</f>
        <v>57.142857142857146</v>
      </c>
      <c r="K15" s="35">
        <f t="shared" si="2"/>
        <v>23.80952380952381</v>
      </c>
      <c r="L15" s="35">
        <f>(C15-F15)*100/42</f>
        <v>0</v>
      </c>
      <c r="M15" s="35">
        <f>(D15-G15)*100/42</f>
        <v>0</v>
      </c>
      <c r="N15" s="86">
        <f t="shared" si="3"/>
        <v>0</v>
      </c>
    </row>
    <row r="16" spans="1:14" ht="61.5" customHeight="1">
      <c r="A16" s="194" t="s">
        <v>94</v>
      </c>
      <c r="B16" s="195"/>
      <c r="C16" s="35">
        <f>SUM(C6:C15)</f>
        <v>286</v>
      </c>
      <c r="D16" s="3">
        <f>SUM(D6:D15)</f>
        <v>303</v>
      </c>
      <c r="E16" s="35">
        <f t="shared" si="0"/>
        <v>105.94405594405595</v>
      </c>
      <c r="F16" s="3">
        <f>SUM(F6:F15)</f>
        <v>260</v>
      </c>
      <c r="G16" s="3">
        <f>SUM(G6:G15)</f>
        <v>278</v>
      </c>
      <c r="H16" s="35">
        <f t="shared" si="1"/>
        <v>18</v>
      </c>
      <c r="I16" s="35">
        <f>F16*100/1303</f>
        <v>19.95395241749808</v>
      </c>
      <c r="J16" s="35">
        <f>G16*100/1223</f>
        <v>22.730989370400653</v>
      </c>
      <c r="K16" s="35">
        <f t="shared" si="2"/>
        <v>2.7770369529025736</v>
      </c>
      <c r="L16" s="35">
        <f>(C16-F16)*100/1303</f>
        <v>1.9953952417498082</v>
      </c>
      <c r="M16" s="35">
        <f>(D16-G16)*100/1223</f>
        <v>2.044153720359771</v>
      </c>
      <c r="N16" s="35">
        <f t="shared" si="3"/>
        <v>0.04875847860996285</v>
      </c>
    </row>
  </sheetData>
  <sheetProtection/>
  <mergeCells count="4">
    <mergeCell ref="A1:N1"/>
    <mergeCell ref="A16:B16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F21" sqref="F21"/>
    </sheetView>
  </sheetViews>
  <sheetFormatPr defaultColWidth="9.00390625" defaultRowHeight="12.75"/>
  <cols>
    <col min="1" max="1" width="3.75390625" style="19" customWidth="1"/>
    <col min="2" max="2" width="29.75390625" style="19" customWidth="1"/>
    <col min="3" max="3" width="12.125" style="19" customWidth="1"/>
    <col min="4" max="4" width="14.625" style="19" customWidth="1"/>
    <col min="5" max="5" width="13.00390625" style="19" customWidth="1"/>
    <col min="6" max="6" width="13.25390625" style="19" customWidth="1"/>
    <col min="7" max="16384" width="9.125" style="19" customWidth="1"/>
  </cols>
  <sheetData>
    <row r="1" spans="1:9" ht="15.75" customHeight="1">
      <c r="A1" s="197" t="s">
        <v>99</v>
      </c>
      <c r="B1" s="197"/>
      <c r="C1" s="197"/>
      <c r="D1" s="197"/>
      <c r="E1" s="197"/>
      <c r="F1" s="197"/>
      <c r="G1" s="74"/>
      <c r="H1" s="74"/>
      <c r="I1" s="74"/>
    </row>
    <row r="2" spans="1:9" ht="15.75">
      <c r="A2" s="198" t="s">
        <v>117</v>
      </c>
      <c r="B2" s="198"/>
      <c r="C2" s="198"/>
      <c r="D2" s="198"/>
      <c r="E2" s="198"/>
      <c r="F2" s="198"/>
      <c r="G2" s="74"/>
      <c r="H2" s="74"/>
      <c r="I2" s="74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4"/>
      <c r="H3" s="74"/>
      <c r="I3" s="74"/>
    </row>
    <row r="4" spans="1:9" ht="15">
      <c r="A4" s="8"/>
      <c r="B4" s="8"/>
      <c r="C4" s="17">
        <v>2012</v>
      </c>
      <c r="D4" s="18">
        <v>2013</v>
      </c>
      <c r="E4" s="17">
        <v>2012</v>
      </c>
      <c r="F4" s="18">
        <v>2013</v>
      </c>
      <c r="G4" s="74"/>
      <c r="H4" s="74"/>
      <c r="I4" s="74"/>
    </row>
    <row r="5" spans="1:9" ht="15">
      <c r="A5" s="3">
        <v>1</v>
      </c>
      <c r="B5" s="21" t="s">
        <v>55</v>
      </c>
      <c r="C5" s="35">
        <f>(молоко!C7*1000)/1875</f>
        <v>28.426666666666666</v>
      </c>
      <c r="D5" s="35">
        <f>(молоко!D7*1000)/1875</f>
        <v>25.226666666666667</v>
      </c>
      <c r="E5" s="35">
        <f>(мясо!C6*1000)/1875</f>
        <v>2.7733333333333334</v>
      </c>
      <c r="F5" s="35">
        <f>(мясо!D6*1000)/1875</f>
        <v>0.5866666666666667</v>
      </c>
      <c r="H5" s="74"/>
      <c r="I5" s="74"/>
    </row>
    <row r="6" spans="1:9" ht="15">
      <c r="A6" s="3">
        <v>2</v>
      </c>
      <c r="B6" s="21" t="s">
        <v>56</v>
      </c>
      <c r="C6" s="35">
        <f>(молоко!C8*1000)/799</f>
        <v>22.919899874843555</v>
      </c>
      <c r="D6" s="35">
        <f>(молоко!D8*1000)/799</f>
        <v>38.03379224030038</v>
      </c>
      <c r="E6" s="35">
        <f>(мясо!C7*1000)/799</f>
        <v>0.31289111389236546</v>
      </c>
      <c r="F6" s="35">
        <f>(мясо!D7*1000)/799</f>
        <v>0.8360450563204005</v>
      </c>
      <c r="H6" s="74"/>
      <c r="I6" s="74"/>
    </row>
    <row r="7" spans="1:9" ht="15">
      <c r="A7" s="3">
        <v>3</v>
      </c>
      <c r="B7" s="21" t="s">
        <v>57</v>
      </c>
      <c r="C7" s="35">
        <f>(молоко!C9*1000)/2025</f>
        <v>14.320987654320987</v>
      </c>
      <c r="D7" s="35">
        <f>(молоко!D9*1000)/2025</f>
        <v>13.333333333333334</v>
      </c>
      <c r="E7" s="35">
        <f>(мясо!C8*1000)/2025</f>
        <v>0.9382716049382716</v>
      </c>
      <c r="F7" s="35">
        <f>(мясо!D8*1000)/2025</f>
        <v>0.691358024691358</v>
      </c>
      <c r="H7" s="74"/>
      <c r="I7" s="74"/>
    </row>
    <row r="8" spans="1:9" ht="15">
      <c r="A8" s="3">
        <v>4</v>
      </c>
      <c r="B8" s="37" t="s">
        <v>58</v>
      </c>
      <c r="C8" s="35">
        <f>(молоко!C10*1000)/2478</f>
        <v>57.869249394673126</v>
      </c>
      <c r="D8" s="35">
        <f>(молоко!D10*1000)/2478</f>
        <v>59.84665052461663</v>
      </c>
      <c r="E8" s="35">
        <f>(мясо!C9*1000)/2478</f>
        <v>4.075867635189669</v>
      </c>
      <c r="F8" s="35">
        <f>(мясо!D9*1000)/2478</f>
        <v>6.133979015334948</v>
      </c>
      <c r="H8" s="74"/>
      <c r="I8" s="74"/>
    </row>
    <row r="9" spans="1:9" ht="15">
      <c r="A9" s="3">
        <v>5</v>
      </c>
      <c r="B9" s="21" t="s">
        <v>59</v>
      </c>
      <c r="C9" s="35">
        <f>(молоко!C11*1000)/2157</f>
        <v>17.153453871117293</v>
      </c>
      <c r="D9" s="35">
        <f>(молоко!D11*1000)/2157</f>
        <v>15.391747797867408</v>
      </c>
      <c r="E9" s="35">
        <f>(мясо!C10*1000)/2157</f>
        <v>8.576726935558646</v>
      </c>
      <c r="F9" s="35">
        <f>(мясо!D10*1000)/2157</f>
        <v>1.5762633286972647</v>
      </c>
      <c r="H9" s="74"/>
      <c r="I9" s="74"/>
    </row>
    <row r="10" spans="1:9" ht="15">
      <c r="A10" s="3">
        <v>6</v>
      </c>
      <c r="B10" s="37" t="s">
        <v>72</v>
      </c>
      <c r="C10" s="35">
        <f>(молоко!C12*1000)/859</f>
        <v>68.21885913853318</v>
      </c>
      <c r="D10" s="35">
        <f>(молоко!D12*1000)/859</f>
        <v>36.670547147846335</v>
      </c>
      <c r="E10" s="35">
        <f>(мясо!C11*1000)/859</f>
        <v>2.4447031431897557</v>
      </c>
      <c r="F10" s="35">
        <f>(мясо!D11*1000)/859</f>
        <v>5.564610011641443</v>
      </c>
      <c r="H10" s="74"/>
      <c r="I10" s="74"/>
    </row>
    <row r="11" spans="1:9" ht="15">
      <c r="A11" s="3">
        <v>8</v>
      </c>
      <c r="B11" s="31" t="s">
        <v>85</v>
      </c>
      <c r="C11" s="35"/>
      <c r="D11" s="35">
        <f>(молоко!D13*1000)/1482</f>
        <v>26.588394062078272</v>
      </c>
      <c r="E11" s="35"/>
      <c r="F11" s="35">
        <f>(мясо!D12*1000)/1482</f>
        <v>2.0964912280701755</v>
      </c>
      <c r="H11" s="74"/>
      <c r="I11" s="74"/>
    </row>
    <row r="12" spans="1:9" ht="15.75" customHeight="1">
      <c r="A12" s="3">
        <v>9</v>
      </c>
      <c r="B12" s="31" t="s">
        <v>71</v>
      </c>
      <c r="C12" s="35">
        <f>(молоко!C14*1000)/1077</f>
        <v>68.74930362116991</v>
      </c>
      <c r="D12" s="35">
        <f>(молоко!D14*1000)/1077</f>
        <v>69.03435468895078</v>
      </c>
      <c r="E12" s="35">
        <f>(мясо!C13*1000)/1077</f>
        <v>1.7548746518105849</v>
      </c>
      <c r="F12" s="35">
        <f>(мясо!D13*1000)/1077</f>
        <v>2.896935933147632</v>
      </c>
      <c r="H12" s="74"/>
      <c r="I12" s="74"/>
    </row>
    <row r="13" spans="1:9" ht="15">
      <c r="A13" s="3">
        <v>10</v>
      </c>
      <c r="B13" s="37" t="s">
        <v>60</v>
      </c>
      <c r="C13" s="35">
        <f>(молоко!C15*1000)/1084</f>
        <v>33.11808118081181</v>
      </c>
      <c r="D13" s="35">
        <f>(молоко!D15*1000)/1084</f>
        <v>34.87084870848709</v>
      </c>
      <c r="E13" s="35">
        <f>(мясо!C14*1000)/1084</f>
        <v>7.9335793357933575</v>
      </c>
      <c r="F13" s="35">
        <f>(мясо!D14*1000)/1084</f>
        <v>5.442804428044281</v>
      </c>
      <c r="H13" s="74"/>
      <c r="I13" s="74"/>
    </row>
    <row r="14" spans="1:9" ht="15">
      <c r="A14" s="3">
        <v>11</v>
      </c>
      <c r="B14" s="37" t="s">
        <v>61</v>
      </c>
      <c r="C14" s="35">
        <f>(молоко!C16*1000)/674</f>
        <v>24.480712166172108</v>
      </c>
      <c r="D14" s="35">
        <f>(молоко!D16*1000)/674</f>
        <v>23.88724035608309</v>
      </c>
      <c r="E14" s="35">
        <f>(мясо!C15*1000)/674</f>
        <v>2.373887240356083</v>
      </c>
      <c r="F14" s="35">
        <f>(мясо!D15*1000)/674</f>
        <v>1.2759643916913948</v>
      </c>
      <c r="H14" s="74"/>
      <c r="I14" s="74"/>
    </row>
    <row r="15" spans="1:9" ht="15">
      <c r="A15" s="3">
        <v>12</v>
      </c>
      <c r="B15" s="37" t="s">
        <v>62</v>
      </c>
      <c r="C15" s="35"/>
      <c r="D15" s="35"/>
      <c r="E15" s="35">
        <f>(мясо!C16*1000)/983</f>
        <v>152.5940996948118</v>
      </c>
      <c r="F15" s="35">
        <f>(мясо!D16*1000)/983</f>
        <v>252.28891149542218</v>
      </c>
      <c r="H15" s="74"/>
      <c r="I15" s="74"/>
    </row>
    <row r="16" spans="1:6" ht="63.75" customHeight="1">
      <c r="A16" s="194" t="s">
        <v>94</v>
      </c>
      <c r="B16" s="195"/>
      <c r="C16" s="35">
        <f>(молоко!C17*1000)/22877</f>
        <v>22.093980854132973</v>
      </c>
      <c r="D16" s="35">
        <f>(молоко!D17*1000)/22877</f>
        <v>21.215325436027452</v>
      </c>
      <c r="E16" s="35">
        <f>(мясо!C25*1000)/22877</f>
        <v>9.088735411111596</v>
      </c>
      <c r="F16" s="35">
        <f>(мясо!D25*1000)/22877</f>
        <v>12.581850767146042</v>
      </c>
    </row>
  </sheetData>
  <sheetProtection/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0" zoomScaleNormal="75" zoomScaleSheetLayoutView="70" zoomScalePageLayoutView="0" workbookViewId="0" topLeftCell="A1">
      <selection activeCell="J31" sqref="J3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19"/>
      <c r="B1" s="14"/>
      <c r="C1" s="42" t="s">
        <v>116</v>
      </c>
      <c r="D1" s="42"/>
      <c r="E1" s="42"/>
      <c r="F1" s="14"/>
      <c r="G1" s="14"/>
      <c r="H1" s="14"/>
      <c r="I1" s="14"/>
      <c r="J1" s="14"/>
      <c r="K1" s="14"/>
    </row>
    <row r="2" spans="1:11" ht="18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7" t="s">
        <v>2</v>
      </c>
      <c r="B3" s="201" t="s">
        <v>3</v>
      </c>
      <c r="C3" s="202" t="s">
        <v>90</v>
      </c>
      <c r="D3" s="203"/>
      <c r="E3" s="204"/>
      <c r="F3" s="53" t="s">
        <v>11</v>
      </c>
      <c r="G3" s="54" t="s">
        <v>14</v>
      </c>
      <c r="H3" s="55" t="s">
        <v>16</v>
      </c>
      <c r="I3" s="56"/>
      <c r="J3" s="52"/>
      <c r="K3" s="52" t="s">
        <v>17</v>
      </c>
    </row>
    <row r="4" spans="1:11" ht="18">
      <c r="A4" s="171"/>
      <c r="B4" s="171"/>
      <c r="C4" s="57">
        <v>2012</v>
      </c>
      <c r="D4" s="53">
        <v>2013</v>
      </c>
      <c r="E4" s="53" t="s">
        <v>106</v>
      </c>
      <c r="F4" s="58" t="s">
        <v>12</v>
      </c>
      <c r="G4" s="59" t="s">
        <v>15</v>
      </c>
      <c r="H4" s="57">
        <v>2012</v>
      </c>
      <c r="I4" s="53">
        <v>2013</v>
      </c>
      <c r="J4" s="53" t="s">
        <v>106</v>
      </c>
      <c r="K4" s="60" t="s">
        <v>18</v>
      </c>
    </row>
    <row r="5" spans="1:11" ht="18">
      <c r="A5" s="148"/>
      <c r="B5" s="148"/>
      <c r="C5" s="61"/>
      <c r="D5" s="62"/>
      <c r="E5" s="62" t="s">
        <v>108</v>
      </c>
      <c r="F5" s="62" t="s">
        <v>13</v>
      </c>
      <c r="G5" s="63"/>
      <c r="H5" s="61"/>
      <c r="I5" s="62"/>
      <c r="J5" s="62" t="s">
        <v>108</v>
      </c>
      <c r="K5" s="64" t="s">
        <v>0</v>
      </c>
    </row>
    <row r="6" spans="1:11" ht="18" customHeight="1">
      <c r="A6" s="205" t="s">
        <v>91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6.5" customHeight="1">
      <c r="A7" s="30">
        <v>1</v>
      </c>
      <c r="B7" s="65" t="s">
        <v>55</v>
      </c>
      <c r="C7" s="12">
        <v>53.3</v>
      </c>
      <c r="D7" s="12">
        <v>47.3</v>
      </c>
      <c r="E7" s="13">
        <f aca="true" t="shared" si="0" ref="E7:E16">D7/C7*100</f>
        <v>88.74296435272045</v>
      </c>
      <c r="F7" s="12">
        <v>36.7</v>
      </c>
      <c r="G7" s="13">
        <f aca="true" t="shared" si="1" ref="G7:G16">F7/D7*100</f>
        <v>77.58985200845667</v>
      </c>
      <c r="H7" s="16">
        <f>C7/'численность 1'!J6*1000</f>
        <v>296.1111111111111</v>
      </c>
      <c r="I7" s="16">
        <f>D7/'численность 1'!K6*1000</f>
        <v>262.77777777777777</v>
      </c>
      <c r="J7" s="13">
        <f aca="true" t="shared" si="2" ref="J7:J21">I7/H7*100</f>
        <v>88.74296435272045</v>
      </c>
      <c r="K7" s="12"/>
    </row>
    <row r="8" spans="1:11" ht="16.5" customHeight="1">
      <c r="A8" s="30">
        <v>2</v>
      </c>
      <c r="B8" s="65" t="s">
        <v>56</v>
      </c>
      <c r="C8" s="12">
        <v>18.313</v>
      </c>
      <c r="D8" s="12">
        <v>30.389</v>
      </c>
      <c r="E8" s="13">
        <f t="shared" si="0"/>
        <v>165.94222683339706</v>
      </c>
      <c r="F8" s="12">
        <v>24.284</v>
      </c>
      <c r="G8" s="13">
        <f t="shared" si="1"/>
        <v>79.91049392872421</v>
      </c>
      <c r="H8" s="16">
        <f>C8/'численность 1'!J7*1000</f>
        <v>174.4095238095238</v>
      </c>
      <c r="I8" s="13">
        <f>D8/'численность 1'!K7*1000</f>
        <v>289.4190476190476</v>
      </c>
      <c r="J8" s="13">
        <f t="shared" si="2"/>
        <v>165.94222683339706</v>
      </c>
      <c r="K8" s="12"/>
    </row>
    <row r="9" spans="1:11" ht="16.5" customHeight="1">
      <c r="A9" s="30">
        <v>3</v>
      </c>
      <c r="B9" s="65" t="s">
        <v>57</v>
      </c>
      <c r="C9" s="12">
        <v>29</v>
      </c>
      <c r="D9" s="12">
        <v>27</v>
      </c>
      <c r="E9" s="13">
        <f t="shared" si="0"/>
        <v>93.10344827586206</v>
      </c>
      <c r="F9" s="12">
        <v>18</v>
      </c>
      <c r="G9" s="13">
        <f t="shared" si="1"/>
        <v>66.66666666666666</v>
      </c>
      <c r="H9" s="16">
        <f>C9/'численность 1'!J8*1000</f>
        <v>483.3333333333333</v>
      </c>
      <c r="I9" s="13">
        <f>D9/'численность 1'!K8*1000</f>
        <v>450</v>
      </c>
      <c r="J9" s="13">
        <f t="shared" si="2"/>
        <v>93.10344827586208</v>
      </c>
      <c r="K9" s="12"/>
    </row>
    <row r="10" spans="1:11" ht="16.5" customHeight="1">
      <c r="A10" s="30">
        <v>4</v>
      </c>
      <c r="B10" s="65" t="s">
        <v>58</v>
      </c>
      <c r="C10" s="12">
        <v>143.4</v>
      </c>
      <c r="D10" s="12">
        <v>148.3</v>
      </c>
      <c r="E10" s="13">
        <f t="shared" si="0"/>
        <v>103.41701534170153</v>
      </c>
      <c r="F10" s="12">
        <v>136</v>
      </c>
      <c r="G10" s="13">
        <f t="shared" si="1"/>
        <v>91.70600134861766</v>
      </c>
      <c r="H10" s="16">
        <f>C10/'численность 1'!J9*1000</f>
        <v>465.5844155844156</v>
      </c>
      <c r="I10" s="13">
        <f>D10/'численность 1'!K9*1000</f>
        <v>481.4935064935065</v>
      </c>
      <c r="J10" s="13">
        <f t="shared" si="2"/>
        <v>103.41701534170153</v>
      </c>
      <c r="K10" s="12"/>
    </row>
    <row r="11" spans="1:11" ht="16.5" customHeight="1">
      <c r="A11" s="30">
        <v>5</v>
      </c>
      <c r="B11" s="66" t="s">
        <v>59</v>
      </c>
      <c r="C11" s="12">
        <v>37</v>
      </c>
      <c r="D11" s="12">
        <v>33.2</v>
      </c>
      <c r="E11" s="13">
        <f t="shared" si="0"/>
        <v>89.72972972972974</v>
      </c>
      <c r="F11" s="12">
        <v>24.9</v>
      </c>
      <c r="G11" s="13">
        <f t="shared" si="1"/>
        <v>74.99999999999999</v>
      </c>
      <c r="H11" s="16">
        <f>C11/'численность 1'!J10*1000</f>
        <v>148</v>
      </c>
      <c r="I11" s="122">
        <f>D11/'численность 1'!K10*1000</f>
        <v>166</v>
      </c>
      <c r="J11" s="13">
        <f t="shared" si="2"/>
        <v>112.16216216216218</v>
      </c>
      <c r="K11" s="12"/>
    </row>
    <row r="12" spans="1:11" ht="16.5" customHeight="1">
      <c r="A12" s="30">
        <v>6</v>
      </c>
      <c r="B12" s="66" t="s">
        <v>72</v>
      </c>
      <c r="C12" s="15">
        <v>58.6</v>
      </c>
      <c r="D12" s="15">
        <v>31.5</v>
      </c>
      <c r="E12" s="13">
        <f t="shared" si="0"/>
        <v>53.7542662116041</v>
      </c>
      <c r="F12" s="15">
        <v>20.1</v>
      </c>
      <c r="G12" s="16">
        <f t="shared" si="1"/>
        <v>63.80952380952382</v>
      </c>
      <c r="H12" s="16">
        <f>C12/'численность 1'!J11*1000</f>
        <v>689.4117647058824</v>
      </c>
      <c r="I12" s="13">
        <f>D12/'численность 1'!K11*1000</f>
        <v>370.5882352941177</v>
      </c>
      <c r="J12" s="13">
        <f t="shared" si="2"/>
        <v>53.7542662116041</v>
      </c>
      <c r="K12" s="123">
        <v>52.3</v>
      </c>
    </row>
    <row r="13" spans="1:11" ht="16.5" customHeight="1">
      <c r="A13" s="30">
        <v>8</v>
      </c>
      <c r="B13" s="66" t="s">
        <v>85</v>
      </c>
      <c r="C13" s="15">
        <v>39.388</v>
      </c>
      <c r="D13" s="15">
        <v>39.404</v>
      </c>
      <c r="E13" s="13">
        <f t="shared" si="0"/>
        <v>100.04062150908908</v>
      </c>
      <c r="F13" s="15">
        <v>32.081</v>
      </c>
      <c r="G13" s="16">
        <f t="shared" si="1"/>
        <v>81.41559232565221</v>
      </c>
      <c r="H13" s="16"/>
      <c r="I13" s="16">
        <f>D13/'численность 1'!K12*1000</f>
        <v>606.2153846153847</v>
      </c>
      <c r="J13" s="13"/>
      <c r="K13" s="15">
        <v>2.479</v>
      </c>
    </row>
    <row r="14" spans="1:11" ht="16.5" customHeight="1">
      <c r="A14" s="30">
        <v>9</v>
      </c>
      <c r="B14" s="66" t="s">
        <v>71</v>
      </c>
      <c r="C14" s="15">
        <v>74.043</v>
      </c>
      <c r="D14" s="15">
        <v>74.35</v>
      </c>
      <c r="E14" s="16">
        <f t="shared" si="0"/>
        <v>100.4146239347406</v>
      </c>
      <c r="F14" s="15">
        <v>58.73</v>
      </c>
      <c r="G14" s="16">
        <f t="shared" si="1"/>
        <v>78.99125756556826</v>
      </c>
      <c r="H14" s="16">
        <f>C14/'численность 1'!J13*1000</f>
        <v>949.2692307692308</v>
      </c>
      <c r="I14" s="16">
        <f>D14/'численность 1'!K13*1000</f>
        <v>953.2051282051282</v>
      </c>
      <c r="J14" s="13">
        <f t="shared" si="2"/>
        <v>100.4146239347406</v>
      </c>
      <c r="K14" s="15"/>
    </row>
    <row r="15" spans="1:11" ht="16.5" customHeight="1">
      <c r="A15" s="30">
        <v>10</v>
      </c>
      <c r="B15" s="66" t="s">
        <v>60</v>
      </c>
      <c r="C15" s="15">
        <v>35.9</v>
      </c>
      <c r="D15" s="15">
        <v>37.8</v>
      </c>
      <c r="E15" s="13">
        <f t="shared" si="0"/>
        <v>105.29247910863508</v>
      </c>
      <c r="F15" s="15">
        <v>28.8</v>
      </c>
      <c r="G15" s="16">
        <f t="shared" si="1"/>
        <v>76.1904761904762</v>
      </c>
      <c r="H15" s="16">
        <f>C15/'численность 1'!J14*1000</f>
        <v>359</v>
      </c>
      <c r="I15" s="13">
        <f>D15/'численность 1'!K14*1000</f>
        <v>377.99999999999994</v>
      </c>
      <c r="J15" s="13">
        <f t="shared" si="2"/>
        <v>105.29247910863508</v>
      </c>
      <c r="K15" s="15"/>
    </row>
    <row r="16" spans="1:11" ht="16.5" customHeight="1">
      <c r="A16" s="30">
        <v>11</v>
      </c>
      <c r="B16" s="66" t="s">
        <v>61</v>
      </c>
      <c r="C16" s="15">
        <v>16.5</v>
      </c>
      <c r="D16" s="15">
        <v>16.1</v>
      </c>
      <c r="E16" s="13">
        <f t="shared" si="0"/>
        <v>97.57575757575758</v>
      </c>
      <c r="F16" s="15">
        <v>10.4</v>
      </c>
      <c r="G16" s="16">
        <f t="shared" si="1"/>
        <v>64.59627329192547</v>
      </c>
      <c r="H16" s="16">
        <f>C16/'численность 1'!J15*1000</f>
        <v>392.85714285714283</v>
      </c>
      <c r="I16" s="13">
        <f>D16/'численность 1'!K15*1000</f>
        <v>392.6829268292683</v>
      </c>
      <c r="J16" s="13">
        <f t="shared" si="2"/>
        <v>99.95565410199558</v>
      </c>
      <c r="K16" s="15"/>
    </row>
    <row r="17" spans="1:11" ht="57" customHeight="1">
      <c r="A17" s="155" t="s">
        <v>97</v>
      </c>
      <c r="B17" s="156"/>
      <c r="C17" s="15">
        <f>SUM(C7:C16)</f>
        <v>505.444</v>
      </c>
      <c r="D17" s="67">
        <f>SUM(D7:D16)</f>
        <v>485.343</v>
      </c>
      <c r="E17" s="13">
        <f>D17/C17*100</f>
        <v>96.02310048195251</v>
      </c>
      <c r="F17" s="67">
        <f>SUM(F7:F16)</f>
        <v>389.99500000000006</v>
      </c>
      <c r="G17" s="13">
        <f>F17/D17*100</f>
        <v>80.35451216974388</v>
      </c>
      <c r="H17" s="13">
        <f>C17/'численность 1'!J19*1000</f>
        <v>397.0494893951296</v>
      </c>
      <c r="I17" s="13">
        <f>D17/'численность 1'!K19*1000</f>
        <v>397.17103109656307</v>
      </c>
      <c r="J17" s="13">
        <f t="shared" si="2"/>
        <v>100.03061122219768</v>
      </c>
      <c r="K17" s="67">
        <f>SUM(K7:K16)</f>
        <v>54.778999999999996</v>
      </c>
    </row>
    <row r="18" spans="1:11" ht="19.5" customHeight="1">
      <c r="A18" s="126">
        <v>1</v>
      </c>
      <c r="B18" s="124" t="s">
        <v>102</v>
      </c>
      <c r="C18" s="126"/>
      <c r="D18" s="67">
        <v>6.235</v>
      </c>
      <c r="E18" s="13"/>
      <c r="F18" s="67">
        <v>4.585</v>
      </c>
      <c r="G18" s="13">
        <f>F18/D18*100</f>
        <v>73.53648757016839</v>
      </c>
      <c r="H18" s="13"/>
      <c r="I18" s="13">
        <f>D18/'численность 1'!K20*1000</f>
        <v>415.6666666666667</v>
      </c>
      <c r="J18" s="13"/>
      <c r="K18" s="67"/>
    </row>
    <row r="19" spans="1:11" ht="21.75" customHeight="1">
      <c r="A19" s="155" t="s">
        <v>101</v>
      </c>
      <c r="B19" s="208"/>
      <c r="C19" s="15"/>
      <c r="D19" s="67">
        <f>SUM(D18:D18)</f>
        <v>6.235</v>
      </c>
      <c r="E19" s="67"/>
      <c r="F19" s="67">
        <f>SUM(F18:F18)</f>
        <v>4.585</v>
      </c>
      <c r="G19" s="13">
        <f>F19/D19*100</f>
        <v>73.53648757016839</v>
      </c>
      <c r="H19" s="13"/>
      <c r="I19" s="13">
        <f>D19/'численность 1'!K24*1000</f>
        <v>415.6666666666667</v>
      </c>
      <c r="J19" s="13"/>
      <c r="K19" s="67"/>
    </row>
    <row r="20" spans="1:11" ht="18">
      <c r="A20" s="205" t="s">
        <v>92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</row>
    <row r="21" spans="1:11" ht="17.25" customHeight="1">
      <c r="A21" s="115">
        <v>1</v>
      </c>
      <c r="B21" s="66" t="s">
        <v>71</v>
      </c>
      <c r="C21" s="115">
        <v>3.093</v>
      </c>
      <c r="D21" s="115">
        <v>7.58</v>
      </c>
      <c r="E21" s="13">
        <f>D21/C21*100</f>
        <v>245.06951180084062</v>
      </c>
      <c r="F21" s="115">
        <v>2.02</v>
      </c>
      <c r="G21" s="13">
        <f>F21/D21*100</f>
        <v>26.649076517150394</v>
      </c>
      <c r="H21" s="115">
        <f>C21*1000/50</f>
        <v>61.86</v>
      </c>
      <c r="I21" s="120">
        <f>D21*1000/89</f>
        <v>85.1685393258427</v>
      </c>
      <c r="J21" s="13">
        <f t="shared" si="2"/>
        <v>137.6795010117082</v>
      </c>
      <c r="K21" s="115"/>
    </row>
    <row r="22" spans="1:11" ht="37.5" customHeight="1">
      <c r="A22" s="199" t="s">
        <v>89</v>
      </c>
      <c r="B22" s="200"/>
      <c r="C22" s="115">
        <f>C17+C21</f>
        <v>508.53700000000003</v>
      </c>
      <c r="D22" s="120">
        <f>D17+D21+D19</f>
        <v>499.158</v>
      </c>
      <c r="E22" s="13">
        <f>D22/C22*100</f>
        <v>98.15568975315463</v>
      </c>
      <c r="F22" s="115">
        <f>F17+F21</f>
        <v>392.01500000000004</v>
      </c>
      <c r="G22" s="13">
        <f>F22/D22*100</f>
        <v>78.53525336666948</v>
      </c>
      <c r="H22" s="116" t="s">
        <v>93</v>
      </c>
      <c r="I22" s="116" t="s">
        <v>93</v>
      </c>
      <c r="J22" s="116" t="s">
        <v>93</v>
      </c>
      <c r="K22" s="115">
        <f>K17+K21</f>
        <v>54.778999999999996</v>
      </c>
    </row>
  </sheetData>
  <sheetProtection/>
  <mergeCells count="8">
    <mergeCell ref="A22:B22"/>
    <mergeCell ref="A3:A5"/>
    <mergeCell ref="B3:B5"/>
    <mergeCell ref="A17:B17"/>
    <mergeCell ref="C3:E3"/>
    <mergeCell ref="A6:K6"/>
    <mergeCell ref="A20:K20"/>
    <mergeCell ref="A19:B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2013-01-11T12:24:42Z</cp:lastPrinted>
  <dcterms:created xsi:type="dcterms:W3CDTF">2002-11-05T10:10:22Z</dcterms:created>
  <dcterms:modified xsi:type="dcterms:W3CDTF">2013-03-11T10:32:44Z</dcterms:modified>
  <cp:category/>
  <cp:version/>
  <cp:contentType/>
  <cp:contentStatus/>
</cp:coreProperties>
</file>