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'молоко'!$A$1:$K$17</definedName>
    <definedName name="_xlnm.Print_Area" localSheetId="9">'мясо'!$A$1:$K$21</definedName>
    <definedName name="_xlnm.Print_Area" localSheetId="7">'на 100 га'!$A$1:$F$17</definedName>
    <definedName name="_xlnm.Print_Area" localSheetId="0">'пало1'!$A$1:$T$19</definedName>
    <definedName name="_xlnm.Print_Area" localSheetId="1">'привес'!$A$1:$T$21</definedName>
    <definedName name="_xlnm.Print_Area" localSheetId="4">'приплод 2'!$A$1:$P$11</definedName>
    <definedName name="_xlnm.Print_Area" localSheetId="3">'численность 1'!$A$1:$U$20</definedName>
    <definedName name="_xlnm.Print_Area" localSheetId="2">'численность 2'!$A$1:$N$20</definedName>
  </definedNames>
  <calcPr fullCalcOnLoad="1"/>
</workbook>
</file>

<file path=xl/sharedStrings.xml><?xml version="1.0" encoding="utf-8"?>
<sst xmlns="http://schemas.openxmlformats.org/spreadsheetml/2006/main" count="283" uniqueCount="113">
  <si>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</si>
  <si>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</si>
  <si>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</si>
  <si>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</si>
  <si>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</si>
  <si>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</si>
  <si>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</si>
  <si>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</si>
  <si>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</si>
  <si>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</si>
  <si>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</si>
  <si>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</si>
  <si>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</si>
  <si>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</si>
  <si>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</si>
  <si>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</si>
  <si>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</si>
  <si>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</si>
  <si>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</si>
  <si>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</si>
  <si>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</si>
  <si>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</si>
  <si>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</si>
  <si>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</si>
  <si>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</si>
  <si>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</si>
  <si>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</si>
  <si>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</si>
  <si>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</si>
  <si>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</si>
  <si>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</si>
  <si>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</si>
  <si>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</si>
  <si>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</si>
  <si>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</si>
  <si>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</si>
  <si>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</si>
  <si>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</si>
  <si>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</si>
  <si>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</si>
  <si>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</si>
  <si>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</si>
  <si>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</si>
  <si>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</si>
  <si>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</si>
  <si>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</si>
  <si>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</si>
  <si>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</si>
  <si>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</si>
  <si>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</si>
  <si>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</si>
  <si>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</si>
  <si>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</si>
  <si>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</si>
  <si>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</si>
  <si>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</si>
  <si>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</si>
  <si>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</si>
  <si>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</si>
  <si>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</si>
  <si>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</si>
  <si>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</si>
  <si>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</si>
  <si>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</si>
  <si>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</si>
  <si>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</si>
  <si>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</si>
  <si>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</si>
  <si>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</si>
  <si>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</si>
  <si>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</si>
  <si>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</si>
  <si>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</si>
  <si>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</si>
  <si>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</si>
  <si>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</si>
  <si>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</si>
  <si>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</si>
  <si>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</si>
  <si>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</si>
  <si>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</si>
  <si>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</si>
  <si>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</si>
  <si>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</si>
  <si>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</si>
  <si>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</si>
  <si>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</si>
  <si>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</si>
  <si>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</si>
  <si>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>лошади</t>
  </si>
  <si>
    <t>овцы и козы</t>
  </si>
  <si>
    <t>КФХ Ярчеев П.И.</t>
  </si>
  <si>
    <t>КРС</t>
  </si>
  <si>
    <t>свиней</t>
  </si>
  <si>
    <t>2011 в %</t>
  </si>
  <si>
    <t>к 2010 г.</t>
  </si>
  <si>
    <t>2010 г.</t>
  </si>
  <si>
    <t>с 2010 г.</t>
  </si>
  <si>
    <t>разница с 2010 г.</t>
  </si>
  <si>
    <t>в % к 2010 г.</t>
  </si>
  <si>
    <t>2011 к 2010 г. %</t>
  </si>
  <si>
    <t xml:space="preserve">КРС </t>
  </si>
  <si>
    <t>ООО "А-ф "Трудовик"</t>
  </si>
  <si>
    <t>ПАЛО И ПОГИБЛО - КУПЛЕНО- ПРОДАНО крс, свиней за январь-август 2011г.по Ибресинскому.р-ну</t>
  </si>
  <si>
    <t>Показатели получения привесов за январь-август 2011 года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</si>
  <si>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1.09.2011 г., (голов)</t>
    </r>
  </si>
  <si>
    <t xml:space="preserve">      ЧИСЛЕННОСТЬ СКОТА по Ибресинскому району на 1.09.2011 г., (голов)</t>
  </si>
  <si>
    <t>Поступление приплода (поросят) за январь-август 2011 г.</t>
  </si>
  <si>
    <t>СЛУЧЕНО И ОСЕМЕНЕНО за январь-август 2011 г.по Ибресинскому р-ну</t>
  </si>
  <si>
    <t>Поступление приплода (телят) за январь-август 2011 г.</t>
  </si>
  <si>
    <t>по Ибресинскому району за январь-август 2011 года (ц)</t>
  </si>
  <si>
    <t xml:space="preserve">            Производство молока за  январь-август 2011 г. по Ибресинскому району</t>
  </si>
  <si>
    <t xml:space="preserve">   Производство мяса за январь-август 2011г.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</si>
</sst>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4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7" sqref="P7"/>
    </sheetView>
  </sheetViews>
  <sheetFormatPr defaultColWidth="9.00390625" defaultRowHeight="12.75"/>
  <cols>
    <col min="1" max="1" width="4.00390625" style="73" customWidth="1"/>
    <col min="2" max="2" width="28.625" style="73" customWidth="1"/>
    <col min="3" max="4" width="8.75390625" style="73" customWidth="1"/>
    <col min="5" max="5" width="8.875" style="73" customWidth="1"/>
    <col min="6" max="7" width="8.75390625" style="73" customWidth="1"/>
    <col min="8" max="8" width="8.875" style="73" customWidth="1"/>
    <col min="9" max="14" width="8.75390625" style="73" customWidth="1"/>
    <col min="15" max="15" width="8.875" style="73" customWidth="1"/>
    <col min="16" max="18" width="8.75390625" style="73" customWidth="1"/>
    <col min="19" max="19" width="8.875" style="73" customWidth="1"/>
    <col min="20" max="20" width="8.75390625" style="73" customWidth="1"/>
    <col min="21" max="16384" width="9.125" style="73" customWidth="1"/>
  </cols>
  <sheetData>
    <row r="1" spans="3:18" ht="15">
      <c r="C1" s="126" t="s">
        <v>103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3:10" ht="15">
      <c r="C2" s="74"/>
      <c r="D2" s="74"/>
      <c r="E2" s="74"/>
      <c r="F2" s="74"/>
      <c r="G2" s="74"/>
      <c r="H2" s="74"/>
      <c r="I2" s="74"/>
      <c r="J2" s="74"/>
    </row>
    <row r="3" spans="1:20" s="20" customFormat="1" ht="18.75" customHeight="1">
      <c r="A3" s="34" t="s">
        <v>2</v>
      </c>
      <c r="B3" s="23" t="s">
        <v>3</v>
      </c>
      <c r="C3" s="131" t="s">
        <v>41</v>
      </c>
      <c r="D3" s="132"/>
      <c r="E3" s="133"/>
      <c r="F3" s="131" t="s">
        <v>55</v>
      </c>
      <c r="G3" s="132"/>
      <c r="H3" s="133"/>
      <c r="I3" s="103"/>
      <c r="J3" s="108" t="s">
        <v>43</v>
      </c>
      <c r="K3" s="108"/>
      <c r="L3" s="108"/>
      <c r="M3" s="110"/>
      <c r="N3" s="110"/>
      <c r="O3" s="110"/>
      <c r="P3" s="110"/>
      <c r="Q3" s="103"/>
      <c r="R3" s="108" t="s">
        <v>44</v>
      </c>
      <c r="S3" s="108"/>
      <c r="T3" s="107"/>
    </row>
    <row r="4" spans="1:20" s="20" customFormat="1" ht="18.75" customHeight="1">
      <c r="A4" s="39"/>
      <c r="B4" s="33"/>
      <c r="C4" s="127">
        <v>2010</v>
      </c>
      <c r="D4" s="127">
        <v>2011</v>
      </c>
      <c r="E4" s="112" t="s">
        <v>42</v>
      </c>
      <c r="F4" s="127">
        <v>2010</v>
      </c>
      <c r="G4" s="127">
        <v>2011</v>
      </c>
      <c r="H4" s="112" t="s">
        <v>42</v>
      </c>
      <c r="I4" s="129" t="s">
        <v>101</v>
      </c>
      <c r="J4" s="130"/>
      <c r="K4" s="129" t="s">
        <v>93</v>
      </c>
      <c r="L4" s="130"/>
      <c r="M4" s="129" t="s">
        <v>89</v>
      </c>
      <c r="N4" s="130"/>
      <c r="O4" s="129" t="s">
        <v>90</v>
      </c>
      <c r="P4" s="130"/>
      <c r="Q4" s="129" t="s">
        <v>92</v>
      </c>
      <c r="R4" s="130"/>
      <c r="S4" s="129" t="s">
        <v>93</v>
      </c>
      <c r="T4" s="130"/>
    </row>
    <row r="5" spans="1:20" s="20" customFormat="1" ht="18.75" customHeight="1">
      <c r="A5" s="30"/>
      <c r="B5" s="29"/>
      <c r="C5" s="128"/>
      <c r="D5" s="128"/>
      <c r="E5" s="113" t="s">
        <v>97</v>
      </c>
      <c r="F5" s="128"/>
      <c r="G5" s="128"/>
      <c r="H5" s="113" t="s">
        <v>97</v>
      </c>
      <c r="I5" s="114">
        <v>2010</v>
      </c>
      <c r="J5" s="115">
        <v>2011</v>
      </c>
      <c r="K5" s="114">
        <v>2010</v>
      </c>
      <c r="L5" s="115">
        <v>2011</v>
      </c>
      <c r="M5" s="114">
        <v>2010</v>
      </c>
      <c r="N5" s="115">
        <v>2011</v>
      </c>
      <c r="O5" s="114">
        <v>2010</v>
      </c>
      <c r="P5" s="115">
        <v>2011</v>
      </c>
      <c r="Q5" s="114">
        <v>2010</v>
      </c>
      <c r="R5" s="115">
        <v>2011</v>
      </c>
      <c r="S5" s="114">
        <v>2010</v>
      </c>
      <c r="T5" s="115">
        <v>2011</v>
      </c>
    </row>
    <row r="6" spans="1:20" s="20" customFormat="1" ht="15" customHeight="1">
      <c r="A6" s="31">
        <v>1</v>
      </c>
      <c r="B6" s="31" t="s">
        <v>61</v>
      </c>
      <c r="C6" s="3">
        <v>1</v>
      </c>
      <c r="D6" s="3"/>
      <c r="E6" s="11">
        <f aca="true" t="shared" si="0" ref="E6:E16">D6-C6</f>
        <v>-1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62</v>
      </c>
      <c r="C7" s="3">
        <v>3</v>
      </c>
      <c r="D7" s="3">
        <v>9</v>
      </c>
      <c r="E7" s="11">
        <f t="shared" si="0"/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40</v>
      </c>
      <c r="R7" s="3">
        <v>38</v>
      </c>
      <c r="S7" s="3"/>
      <c r="T7" s="3"/>
    </row>
    <row r="8" spans="1:20" s="20" customFormat="1" ht="13.5" customHeight="1">
      <c r="A8" s="31">
        <v>3</v>
      </c>
      <c r="B8" s="31" t="s">
        <v>63</v>
      </c>
      <c r="C8" s="3">
        <v>1</v>
      </c>
      <c r="D8" s="3"/>
      <c r="E8" s="11">
        <f t="shared" si="0"/>
        <v>-1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10</v>
      </c>
      <c r="R8" s="3">
        <v>14</v>
      </c>
      <c r="S8" s="3"/>
      <c r="T8" s="3"/>
    </row>
    <row r="9" spans="1:20" s="20" customFormat="1" ht="12.75" customHeight="1">
      <c r="A9" s="31">
        <v>4</v>
      </c>
      <c r="B9" s="22" t="s">
        <v>64</v>
      </c>
      <c r="C9" s="3">
        <v>5</v>
      </c>
      <c r="D9" s="3">
        <v>6</v>
      </c>
      <c r="E9" s="11">
        <f t="shared" si="0"/>
        <v>1</v>
      </c>
      <c r="F9" s="3"/>
      <c r="G9" s="3"/>
      <c r="H9" s="3"/>
      <c r="I9" s="3"/>
      <c r="J9" s="3"/>
      <c r="K9" s="3"/>
      <c r="L9" s="3">
        <v>2</v>
      </c>
      <c r="M9" s="3"/>
      <c r="N9" s="3"/>
      <c r="O9" s="3"/>
      <c r="P9" s="3"/>
      <c r="Q9" s="3"/>
      <c r="R9" s="3"/>
      <c r="S9" s="3">
        <v>398</v>
      </c>
      <c r="T9" s="3">
        <v>354</v>
      </c>
    </row>
    <row r="10" spans="1:20" s="20" customFormat="1" ht="13.5" customHeight="1">
      <c r="A10" s="31">
        <v>5</v>
      </c>
      <c r="B10" s="98" t="s">
        <v>65</v>
      </c>
      <c r="C10" s="3"/>
      <c r="D10" s="3"/>
      <c r="E10" s="11">
        <f t="shared" si="0"/>
        <v>0</v>
      </c>
      <c r="F10" s="3">
        <v>98</v>
      </c>
      <c r="G10" s="3">
        <v>20</v>
      </c>
      <c r="H10" s="3">
        <f>G10-F10</f>
        <v>-78</v>
      </c>
      <c r="I10" s="3">
        <v>28</v>
      </c>
      <c r="J10" s="3"/>
      <c r="K10" s="11"/>
      <c r="L10" s="11"/>
      <c r="M10" s="11"/>
      <c r="N10" s="11"/>
      <c r="O10" s="11"/>
      <c r="P10" s="11"/>
      <c r="Q10" s="11"/>
      <c r="R10" s="11"/>
      <c r="S10" s="3">
        <v>312</v>
      </c>
      <c r="T10" s="3">
        <v>335</v>
      </c>
    </row>
    <row r="11" spans="1:20" s="20" customFormat="1" ht="12.75" customHeight="1">
      <c r="A11" s="31">
        <v>6</v>
      </c>
      <c r="B11" s="32" t="s">
        <v>81</v>
      </c>
      <c r="C11" s="3">
        <v>2</v>
      </c>
      <c r="D11" s="3">
        <v>1</v>
      </c>
      <c r="E11" s="11">
        <f t="shared" si="0"/>
        <v>-1</v>
      </c>
      <c r="F11" s="3"/>
      <c r="G11" s="3"/>
      <c r="H11" s="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3"/>
      <c r="T11" s="3"/>
    </row>
    <row r="12" spans="1:20" s="20" customFormat="1" ht="12.75" customHeight="1">
      <c r="A12" s="31">
        <v>7</v>
      </c>
      <c r="B12" s="31" t="s">
        <v>66</v>
      </c>
      <c r="C12" s="3">
        <v>2</v>
      </c>
      <c r="D12" s="3"/>
      <c r="E12" s="11">
        <f t="shared" si="0"/>
        <v>-2</v>
      </c>
      <c r="F12" s="3"/>
      <c r="G12" s="3"/>
      <c r="H12" s="3"/>
      <c r="I12" s="3">
        <v>9</v>
      </c>
      <c r="J12" s="3"/>
      <c r="K12" s="3"/>
      <c r="L12" s="3"/>
      <c r="M12" s="3"/>
      <c r="N12" s="3"/>
      <c r="O12" s="3"/>
      <c r="P12" s="3"/>
      <c r="Q12" s="3"/>
      <c r="R12" s="3">
        <v>148</v>
      </c>
      <c r="S12" s="3"/>
      <c r="T12" s="3"/>
    </row>
    <row r="13" spans="1:20" s="20" customFormat="1" ht="12.75" customHeight="1">
      <c r="A13" s="31">
        <v>8</v>
      </c>
      <c r="B13" s="32" t="s">
        <v>102</v>
      </c>
      <c r="C13" s="3"/>
      <c r="D13" s="3"/>
      <c r="E13" s="11"/>
      <c r="F13" s="3"/>
      <c r="G13" s="3"/>
      <c r="H13" s="3"/>
      <c r="I13" s="3"/>
      <c r="J13" s="3">
        <v>148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0" customFormat="1" ht="13.5" customHeight="1">
      <c r="A14" s="31">
        <v>9</v>
      </c>
      <c r="B14" s="32" t="s">
        <v>80</v>
      </c>
      <c r="C14" s="3"/>
      <c r="D14" s="3">
        <v>1</v>
      </c>
      <c r="E14" s="11">
        <f t="shared" si="0"/>
        <v>1</v>
      </c>
      <c r="F14" s="3"/>
      <c r="G14" s="3"/>
      <c r="H14" s="3"/>
      <c r="I14" s="3"/>
      <c r="J14" s="3">
        <v>30</v>
      </c>
      <c r="K14" s="3"/>
      <c r="L14" s="3"/>
      <c r="M14" s="3"/>
      <c r="N14" s="3"/>
      <c r="O14" s="3"/>
      <c r="P14" s="3"/>
      <c r="Q14" s="3"/>
      <c r="R14" s="3">
        <v>8</v>
      </c>
      <c r="S14" s="3"/>
      <c r="T14" s="3"/>
    </row>
    <row r="15" spans="1:20" s="20" customFormat="1" ht="12.75" customHeight="1">
      <c r="A15" s="31">
        <v>10</v>
      </c>
      <c r="B15" s="31" t="s">
        <v>67</v>
      </c>
      <c r="C15" s="3"/>
      <c r="D15" s="3"/>
      <c r="E15" s="11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0" customFormat="1" ht="12.75" customHeight="1">
      <c r="A16" s="31">
        <v>11</v>
      </c>
      <c r="B16" s="31" t="s">
        <v>68</v>
      </c>
      <c r="C16" s="3">
        <v>1</v>
      </c>
      <c r="D16" s="3">
        <v>1</v>
      </c>
      <c r="E16" s="11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0" customFormat="1" ht="12.75" customHeight="1">
      <c r="A17" s="31">
        <v>12</v>
      </c>
      <c r="B17" s="31" t="s">
        <v>69</v>
      </c>
      <c r="C17" s="3"/>
      <c r="D17" s="3"/>
      <c r="E17" s="11"/>
      <c r="F17" s="3">
        <v>543</v>
      </c>
      <c r="G17" s="3">
        <v>625</v>
      </c>
      <c r="H17" s="3">
        <f>G17-F17</f>
        <v>82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1053</v>
      </c>
      <c r="T17" s="3">
        <v>1100</v>
      </c>
    </row>
    <row r="18" spans="1:20" s="20" customFormat="1" ht="12.75" customHeight="1">
      <c r="A18" s="31">
        <v>13</v>
      </c>
      <c r="B18" s="32" t="s">
        <v>78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93">
        <v>79</v>
      </c>
      <c r="N18" s="3"/>
      <c r="O18" s="3"/>
      <c r="P18" s="3"/>
      <c r="Q18" s="3"/>
      <c r="R18" s="3"/>
      <c r="S18" s="117"/>
      <c r="T18" s="22"/>
    </row>
    <row r="19" spans="1:20" s="20" customFormat="1" ht="13.5" customHeight="1">
      <c r="A19" s="124" t="s">
        <v>11</v>
      </c>
      <c r="B19" s="125"/>
      <c r="C19" s="3">
        <f>SUM(C6:C16)</f>
        <v>15</v>
      </c>
      <c r="D19" s="3">
        <f>SUM(D6:D17)</f>
        <v>18</v>
      </c>
      <c r="E19" s="11">
        <f>D19-C19</f>
        <v>3</v>
      </c>
      <c r="F19" s="3">
        <f>SUM(F10:F18)</f>
        <v>641</v>
      </c>
      <c r="G19" s="3">
        <f>SUM(G10:G18)</f>
        <v>645</v>
      </c>
      <c r="H19" s="3">
        <f>G19-F19</f>
        <v>4</v>
      </c>
      <c r="I19" s="3">
        <f>SUM(I6:I17)</f>
        <v>37</v>
      </c>
      <c r="J19" s="3">
        <f>SUM(J6:J17)</f>
        <v>178</v>
      </c>
      <c r="K19" s="3">
        <f>SUM(K6:K17)</f>
        <v>0</v>
      </c>
      <c r="L19" s="3">
        <f>SUM(L6:L17)</f>
        <v>2</v>
      </c>
      <c r="M19" s="3">
        <f>SUM(M6:M18)</f>
        <v>79</v>
      </c>
      <c r="N19" s="3">
        <f>SUM(N18)</f>
        <v>0</v>
      </c>
      <c r="O19" s="3">
        <f>SUM(O6:O17)</f>
        <v>0</v>
      </c>
      <c r="P19" s="3">
        <f>SUM(P6:P17)</f>
        <v>0</v>
      </c>
      <c r="Q19" s="3">
        <f>SUM(Q6:Q17)</f>
        <v>50</v>
      </c>
      <c r="R19" s="3">
        <f>SUM(R6:R17)</f>
        <v>208</v>
      </c>
      <c r="S19" s="3">
        <f>SUM(S9:S17)</f>
        <v>1763</v>
      </c>
      <c r="T19" s="3">
        <f>SUM(T6:T17)</f>
        <v>1789</v>
      </c>
    </row>
    <row r="20" ht="14.25">
      <c r="B20" s="76"/>
    </row>
  </sheetData>
  <sheetProtection/>
  <mergeCells count="14">
    <mergeCell ref="C3:E3"/>
    <mergeCell ref="Q4:R4"/>
    <mergeCell ref="S4:T4"/>
    <mergeCell ref="I4:J4"/>
    <mergeCell ref="K4:L4"/>
    <mergeCell ref="A19:B19"/>
    <mergeCell ref="C1:R1"/>
    <mergeCell ref="C4:C5"/>
    <mergeCell ref="D4:D5"/>
    <mergeCell ref="F4:F5"/>
    <mergeCell ref="G4:G5"/>
    <mergeCell ref="M4:N4"/>
    <mergeCell ref="O4:P4"/>
    <mergeCell ref="F3:H3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75" zoomScaleNormal="65" zoomScaleSheetLayoutView="75" zoomScalePageLayoutView="0" workbookViewId="0" topLeftCell="A1">
      <selection activeCell="K12" sqref="K12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100" t="s">
        <v>112</v>
      </c>
      <c r="D1" s="100"/>
      <c r="E1" s="100"/>
      <c r="F1" s="100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164" t="s">
        <v>60</v>
      </c>
      <c r="D2" s="164"/>
      <c r="E2" s="164"/>
      <c r="F2" s="164"/>
      <c r="G2" s="20"/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183" t="s">
        <v>2</v>
      </c>
      <c r="B4" s="183" t="s">
        <v>3</v>
      </c>
      <c r="C4" s="24" t="s">
        <v>22</v>
      </c>
      <c r="D4" s="25"/>
      <c r="E4" s="27"/>
      <c r="F4" s="24"/>
      <c r="G4" s="25"/>
      <c r="H4" s="25" t="s">
        <v>23</v>
      </c>
      <c r="I4" s="25"/>
      <c r="J4" s="25"/>
      <c r="K4" s="27"/>
      <c r="L4" s="20"/>
      <c r="M4" s="20"/>
    </row>
    <row r="5" spans="1:13" ht="15">
      <c r="A5" s="184"/>
      <c r="B5" s="184"/>
      <c r="C5" s="18">
        <v>2010</v>
      </c>
      <c r="D5" s="19">
        <v>2011</v>
      </c>
      <c r="E5" s="19" t="s">
        <v>94</v>
      </c>
      <c r="F5" s="24" t="s">
        <v>26</v>
      </c>
      <c r="G5" s="27"/>
      <c r="H5" s="24" t="s">
        <v>24</v>
      </c>
      <c r="I5" s="27"/>
      <c r="J5" s="24" t="s">
        <v>25</v>
      </c>
      <c r="K5" s="27"/>
      <c r="L5" s="20"/>
      <c r="M5" s="20"/>
    </row>
    <row r="6" spans="1:13" ht="15">
      <c r="A6" s="185"/>
      <c r="B6" s="185"/>
      <c r="C6" s="40"/>
      <c r="D6" s="11"/>
      <c r="E6" s="11" t="s">
        <v>95</v>
      </c>
      <c r="F6" s="18">
        <v>2010</v>
      </c>
      <c r="G6" s="19">
        <v>2011</v>
      </c>
      <c r="H6" s="18">
        <v>2010</v>
      </c>
      <c r="I6" s="19">
        <v>2011</v>
      </c>
      <c r="J6" s="18">
        <v>2010</v>
      </c>
      <c r="K6" s="19">
        <v>2011</v>
      </c>
      <c r="L6" s="20"/>
      <c r="M6" s="20"/>
    </row>
    <row r="7" spans="1:13" ht="16.5">
      <c r="A7" s="31">
        <v>1</v>
      </c>
      <c r="B7" s="31" t="s">
        <v>61</v>
      </c>
      <c r="C7" s="87">
        <v>17.8</v>
      </c>
      <c r="D7" s="87">
        <v>29.5</v>
      </c>
      <c r="E7" s="86">
        <f aca="true" t="shared" si="0" ref="E7:E21">D7*100/C7</f>
        <v>165.73033707865167</v>
      </c>
      <c r="F7" s="87">
        <v>17.5</v>
      </c>
      <c r="G7" s="87">
        <v>27.6</v>
      </c>
      <c r="H7" s="87"/>
      <c r="I7" s="87"/>
      <c r="J7" s="87">
        <v>0.3</v>
      </c>
      <c r="K7" s="87">
        <v>1.9</v>
      </c>
      <c r="L7" s="20"/>
      <c r="M7" s="20"/>
    </row>
    <row r="8" spans="1:13" ht="16.5">
      <c r="A8" s="31">
        <v>2</v>
      </c>
      <c r="B8" s="31" t="s">
        <v>62</v>
      </c>
      <c r="C8" s="87">
        <v>5.1</v>
      </c>
      <c r="D8" s="87">
        <v>14</v>
      </c>
      <c r="E8" s="86">
        <f t="shared" si="0"/>
        <v>274.5098039215686</v>
      </c>
      <c r="F8" s="87">
        <v>5.1</v>
      </c>
      <c r="G8" s="87">
        <v>14</v>
      </c>
      <c r="H8" s="87"/>
      <c r="I8" s="87"/>
      <c r="J8" s="87"/>
      <c r="K8" s="87"/>
      <c r="L8" s="20"/>
      <c r="M8" s="20"/>
    </row>
    <row r="9" spans="1:13" ht="16.5">
      <c r="A9" s="31">
        <v>3</v>
      </c>
      <c r="B9" s="31" t="s">
        <v>63</v>
      </c>
      <c r="C9" s="87">
        <v>1.15</v>
      </c>
      <c r="D9" s="87">
        <v>5.3</v>
      </c>
      <c r="E9" s="86">
        <f t="shared" si="0"/>
        <v>460.8695652173913</v>
      </c>
      <c r="F9" s="87">
        <v>1.15</v>
      </c>
      <c r="G9" s="87">
        <v>5.3</v>
      </c>
      <c r="H9" s="87"/>
      <c r="I9" s="87"/>
      <c r="J9" s="87"/>
      <c r="K9" s="87"/>
      <c r="L9" s="20"/>
      <c r="M9" s="20"/>
    </row>
    <row r="10" spans="1:13" ht="16.5">
      <c r="A10" s="31">
        <v>4</v>
      </c>
      <c r="B10" s="41" t="s">
        <v>64</v>
      </c>
      <c r="C10" s="87">
        <v>67.6</v>
      </c>
      <c r="D10" s="87">
        <v>86.9</v>
      </c>
      <c r="E10" s="86">
        <f t="shared" si="0"/>
        <v>128.55029585798817</v>
      </c>
      <c r="F10" s="87">
        <v>57.9</v>
      </c>
      <c r="G10" s="87">
        <v>71.2</v>
      </c>
      <c r="H10" s="87">
        <v>7.4</v>
      </c>
      <c r="I10" s="87">
        <v>12.9</v>
      </c>
      <c r="J10" s="87">
        <v>2.3</v>
      </c>
      <c r="K10" s="87">
        <v>2.8</v>
      </c>
      <c r="L10" s="20"/>
      <c r="M10" s="20"/>
    </row>
    <row r="11" spans="1:13" ht="16.5">
      <c r="A11" s="31">
        <v>5</v>
      </c>
      <c r="B11" s="31" t="s">
        <v>65</v>
      </c>
      <c r="C11" s="87">
        <v>54.2</v>
      </c>
      <c r="D11" s="87">
        <v>41.1</v>
      </c>
      <c r="E11" s="86">
        <f t="shared" si="0"/>
        <v>75.83025830258302</v>
      </c>
      <c r="F11" s="87">
        <v>38</v>
      </c>
      <c r="G11" s="87">
        <v>26</v>
      </c>
      <c r="H11" s="87">
        <v>11.5</v>
      </c>
      <c r="I11" s="87">
        <v>11</v>
      </c>
      <c r="J11" s="87">
        <v>4.7</v>
      </c>
      <c r="K11" s="87">
        <v>4.1</v>
      </c>
      <c r="L11" s="20"/>
      <c r="M11" s="20"/>
    </row>
    <row r="12" spans="1:13" ht="16.5">
      <c r="A12" s="31">
        <v>6</v>
      </c>
      <c r="B12" s="32" t="s">
        <v>81</v>
      </c>
      <c r="C12" s="87">
        <v>17.3</v>
      </c>
      <c r="D12" s="87">
        <v>22.5</v>
      </c>
      <c r="E12" s="86">
        <f t="shared" si="0"/>
        <v>130.05780346820808</v>
      </c>
      <c r="F12" s="88">
        <v>15.9</v>
      </c>
      <c r="G12" s="88">
        <v>21.4</v>
      </c>
      <c r="H12" s="88"/>
      <c r="I12" s="88"/>
      <c r="J12" s="88">
        <v>1.4</v>
      </c>
      <c r="K12" s="88">
        <v>1.1</v>
      </c>
      <c r="L12" s="20"/>
      <c r="M12" s="20"/>
    </row>
    <row r="13" spans="1:13" ht="16.5">
      <c r="A13" s="31">
        <v>7</v>
      </c>
      <c r="B13" s="32" t="s">
        <v>66</v>
      </c>
      <c r="C13" s="87">
        <v>8.72</v>
      </c>
      <c r="D13" s="87">
        <v>1</v>
      </c>
      <c r="E13" s="86">
        <f t="shared" si="0"/>
        <v>11.467889908256879</v>
      </c>
      <c r="F13" s="88">
        <v>8.27</v>
      </c>
      <c r="G13" s="88">
        <v>1</v>
      </c>
      <c r="H13" s="88"/>
      <c r="I13" s="88"/>
      <c r="J13" s="88">
        <v>0.45</v>
      </c>
      <c r="K13" s="88"/>
      <c r="L13" s="20"/>
      <c r="M13" s="20"/>
    </row>
    <row r="14" spans="1:13" ht="16.5">
      <c r="A14" s="31">
        <v>8</v>
      </c>
      <c r="B14" s="32" t="s">
        <v>102</v>
      </c>
      <c r="C14" s="87"/>
      <c r="D14" s="87">
        <v>1.59</v>
      </c>
      <c r="E14" s="86"/>
      <c r="F14" s="88"/>
      <c r="G14" s="88">
        <v>1.59</v>
      </c>
      <c r="H14" s="88"/>
      <c r="I14" s="88"/>
      <c r="J14" s="88"/>
      <c r="K14" s="88"/>
      <c r="L14" s="20"/>
      <c r="M14" s="20"/>
    </row>
    <row r="15" spans="1:13" ht="16.5">
      <c r="A15" s="31">
        <v>9</v>
      </c>
      <c r="B15" s="32" t="s">
        <v>80</v>
      </c>
      <c r="C15" s="87">
        <v>9.3</v>
      </c>
      <c r="D15" s="87">
        <v>11.45</v>
      </c>
      <c r="E15" s="86">
        <f t="shared" si="0"/>
        <v>123.11827956989247</v>
      </c>
      <c r="F15" s="88">
        <v>9.3</v>
      </c>
      <c r="G15" s="88">
        <v>11</v>
      </c>
      <c r="H15" s="88"/>
      <c r="I15" s="88"/>
      <c r="J15" s="88"/>
      <c r="K15" s="88">
        <v>0.45</v>
      </c>
      <c r="L15" s="20"/>
      <c r="M15" s="20"/>
    </row>
    <row r="16" spans="1:13" ht="16.5">
      <c r="A16" s="31">
        <v>10</v>
      </c>
      <c r="B16" s="32" t="s">
        <v>67</v>
      </c>
      <c r="C16" s="87">
        <v>17.3</v>
      </c>
      <c r="D16" s="87">
        <v>12.7</v>
      </c>
      <c r="E16" s="86">
        <f t="shared" si="0"/>
        <v>73.41040462427745</v>
      </c>
      <c r="F16" s="88">
        <v>14.2</v>
      </c>
      <c r="G16" s="88">
        <v>12.7</v>
      </c>
      <c r="H16" s="88"/>
      <c r="I16" s="88"/>
      <c r="J16" s="88">
        <v>3.1</v>
      </c>
      <c r="K16" s="88"/>
      <c r="L16" s="20"/>
      <c r="M16" s="20"/>
    </row>
    <row r="17" spans="1:13" ht="16.5">
      <c r="A17" s="31">
        <v>11</v>
      </c>
      <c r="B17" s="32" t="s">
        <v>68</v>
      </c>
      <c r="C17" s="87">
        <v>5.4</v>
      </c>
      <c r="D17" s="87">
        <v>11.6</v>
      </c>
      <c r="E17" s="86">
        <f t="shared" si="0"/>
        <v>214.8148148148148</v>
      </c>
      <c r="F17" s="88">
        <v>5.2</v>
      </c>
      <c r="G17" s="88">
        <v>11.2</v>
      </c>
      <c r="H17" s="88"/>
      <c r="I17" s="88"/>
      <c r="J17" s="88">
        <v>0.2</v>
      </c>
      <c r="K17" s="88">
        <v>0.4</v>
      </c>
      <c r="L17" s="20"/>
      <c r="M17" s="20"/>
    </row>
    <row r="18" spans="1:13" ht="16.5">
      <c r="A18" s="31">
        <v>12</v>
      </c>
      <c r="B18" s="32" t="s">
        <v>69</v>
      </c>
      <c r="C18" s="87">
        <v>432</v>
      </c>
      <c r="D18" s="87">
        <v>587</v>
      </c>
      <c r="E18" s="86">
        <f t="shared" si="0"/>
        <v>135.87962962962962</v>
      </c>
      <c r="F18" s="88"/>
      <c r="G18" s="88"/>
      <c r="H18" s="88">
        <v>432</v>
      </c>
      <c r="I18" s="88">
        <v>587</v>
      </c>
      <c r="J18" s="88"/>
      <c r="K18" s="88"/>
      <c r="L18" s="20"/>
      <c r="M18" s="20"/>
    </row>
    <row r="19" spans="1:13" ht="16.5">
      <c r="A19" s="31">
        <v>13</v>
      </c>
      <c r="B19" s="32" t="s">
        <v>91</v>
      </c>
      <c r="C19" s="87"/>
      <c r="D19" s="87">
        <v>0.5</v>
      </c>
      <c r="E19" s="86"/>
      <c r="F19" s="88"/>
      <c r="G19" s="88"/>
      <c r="H19" s="88"/>
      <c r="I19" s="88">
        <v>0.5</v>
      </c>
      <c r="J19" s="88"/>
      <c r="K19" s="88"/>
      <c r="L19" s="20"/>
      <c r="M19" s="20"/>
    </row>
    <row r="20" spans="1:13" ht="18">
      <c r="A20" s="31">
        <v>14</v>
      </c>
      <c r="B20" s="32" t="s">
        <v>78</v>
      </c>
      <c r="C20" s="87">
        <v>1</v>
      </c>
      <c r="D20" s="87">
        <v>3.1</v>
      </c>
      <c r="E20" s="86">
        <f t="shared" si="0"/>
        <v>310</v>
      </c>
      <c r="F20" s="16"/>
      <c r="G20" s="88"/>
      <c r="H20" s="16"/>
      <c r="I20" s="88"/>
      <c r="J20" s="88"/>
      <c r="K20" s="88">
        <v>3.1</v>
      </c>
      <c r="L20" s="20"/>
      <c r="M20" s="20"/>
    </row>
    <row r="21" spans="1:13" ht="16.5">
      <c r="A21" s="124" t="s">
        <v>11</v>
      </c>
      <c r="B21" s="125"/>
      <c r="C21" s="90">
        <f>SUM(C7:C20)</f>
        <v>636.87</v>
      </c>
      <c r="D21" s="90">
        <f>SUM(D7:D20)</f>
        <v>828.24</v>
      </c>
      <c r="E21" s="86">
        <f t="shared" si="0"/>
        <v>130.04851853596494</v>
      </c>
      <c r="F21" s="89">
        <f>SUM(F7:F18)</f>
        <v>172.52</v>
      </c>
      <c r="G21" s="90">
        <f>SUM(G7:G18)</f>
        <v>202.98999999999998</v>
      </c>
      <c r="H21" s="90">
        <f>SUM(H7:H20)</f>
        <v>450.9</v>
      </c>
      <c r="I21" s="90">
        <f>SUM(I7:I20)</f>
        <v>611.4</v>
      </c>
      <c r="J21" s="90">
        <f>SUM(J7:J20)</f>
        <v>12.449999999999998</v>
      </c>
      <c r="K21" s="90">
        <f>SUM(K7:K20)</f>
        <v>13.849999999999998</v>
      </c>
      <c r="L21" s="20"/>
      <c r="M21" s="20"/>
    </row>
  </sheetData>
  <sheetProtection/>
  <mergeCells count="4">
    <mergeCell ref="C2:F2"/>
    <mergeCell ref="A21:B21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M14" sqref="M14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104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 t="s">
        <v>58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81"/>
      <c r="B4" s="23" t="s">
        <v>3</v>
      </c>
      <c r="C4" s="26" t="s">
        <v>71</v>
      </c>
      <c r="D4" s="110"/>
      <c r="E4" s="110"/>
      <c r="F4" s="108"/>
      <c r="G4" s="108"/>
      <c r="H4" s="111"/>
      <c r="I4" s="103" t="s">
        <v>49</v>
      </c>
      <c r="J4" s="108"/>
      <c r="K4" s="110"/>
      <c r="L4" s="108"/>
      <c r="M4" s="108"/>
      <c r="N4" s="111"/>
      <c r="O4" s="103" t="s">
        <v>50</v>
      </c>
      <c r="P4" s="108"/>
      <c r="Q4" s="110"/>
      <c r="R4" s="108"/>
      <c r="S4" s="108"/>
      <c r="T4" s="111"/>
    </row>
    <row r="5" spans="1:20" ht="15" customHeight="1">
      <c r="A5" s="82" t="s">
        <v>2</v>
      </c>
      <c r="B5" s="33"/>
      <c r="C5" s="25" t="s">
        <v>51</v>
      </c>
      <c r="D5" s="108"/>
      <c r="E5" s="136" t="s">
        <v>100</v>
      </c>
      <c r="F5" s="103" t="s">
        <v>52</v>
      </c>
      <c r="G5" s="107"/>
      <c r="H5" s="136" t="s">
        <v>100</v>
      </c>
      <c r="I5" s="139" t="s">
        <v>51</v>
      </c>
      <c r="J5" s="139"/>
      <c r="K5" s="136" t="s">
        <v>100</v>
      </c>
      <c r="L5" s="139" t="s">
        <v>52</v>
      </c>
      <c r="M5" s="139"/>
      <c r="N5" s="136" t="s">
        <v>100</v>
      </c>
      <c r="O5" s="108" t="s">
        <v>51</v>
      </c>
      <c r="P5" s="108"/>
      <c r="Q5" s="136" t="s">
        <v>100</v>
      </c>
      <c r="R5" s="140" t="s">
        <v>52</v>
      </c>
      <c r="S5" s="141"/>
      <c r="T5" s="136" t="s">
        <v>100</v>
      </c>
    </row>
    <row r="6" spans="1:20" ht="15">
      <c r="A6" s="82" t="s">
        <v>77</v>
      </c>
      <c r="B6" s="33"/>
      <c r="C6" s="142">
        <v>2010</v>
      </c>
      <c r="D6" s="134">
        <v>2011</v>
      </c>
      <c r="E6" s="137"/>
      <c r="F6" s="134">
        <v>2010</v>
      </c>
      <c r="G6" s="134">
        <v>2011</v>
      </c>
      <c r="H6" s="137"/>
      <c r="I6" s="134">
        <v>2010</v>
      </c>
      <c r="J6" s="134">
        <v>2011</v>
      </c>
      <c r="K6" s="137"/>
      <c r="L6" s="134">
        <v>2010</v>
      </c>
      <c r="M6" s="134">
        <v>2011</v>
      </c>
      <c r="N6" s="137"/>
      <c r="O6" s="134">
        <v>2010</v>
      </c>
      <c r="P6" s="134">
        <v>2011</v>
      </c>
      <c r="Q6" s="137"/>
      <c r="R6" s="134">
        <v>2010</v>
      </c>
      <c r="S6" s="134">
        <v>2011</v>
      </c>
      <c r="T6" s="137"/>
    </row>
    <row r="7" spans="1:20" ht="15">
      <c r="A7" s="83"/>
      <c r="B7" s="29"/>
      <c r="C7" s="143"/>
      <c r="D7" s="135"/>
      <c r="E7" s="138"/>
      <c r="F7" s="135"/>
      <c r="G7" s="135"/>
      <c r="H7" s="138"/>
      <c r="I7" s="135"/>
      <c r="J7" s="135"/>
      <c r="K7" s="138"/>
      <c r="L7" s="135"/>
      <c r="M7" s="135"/>
      <c r="N7" s="138"/>
      <c r="O7" s="135"/>
      <c r="P7" s="135"/>
      <c r="Q7" s="138"/>
      <c r="R7" s="135"/>
      <c r="S7" s="135"/>
      <c r="T7" s="138"/>
    </row>
    <row r="8" spans="1:20" ht="15">
      <c r="A8" s="2">
        <v>1</v>
      </c>
      <c r="B8" s="22" t="s">
        <v>61</v>
      </c>
      <c r="C8" s="3">
        <v>195</v>
      </c>
      <c r="D8" s="3">
        <v>167</v>
      </c>
      <c r="E8" s="36">
        <f aca="true" t="shared" si="0" ref="E8:E18">D8/C8*100</f>
        <v>85.64102564102564</v>
      </c>
      <c r="F8" s="3"/>
      <c r="G8" s="3"/>
      <c r="H8" s="36"/>
      <c r="I8" s="3">
        <v>39604</v>
      </c>
      <c r="J8" s="3">
        <v>42781</v>
      </c>
      <c r="K8" s="36">
        <f>J8*100/I8</f>
        <v>108.02191697808303</v>
      </c>
      <c r="L8" s="3"/>
      <c r="M8" s="3"/>
      <c r="N8" s="36"/>
      <c r="O8" s="36">
        <f aca="true" t="shared" si="1" ref="O8:O18">C8/I8*100000</f>
        <v>492.37450762549236</v>
      </c>
      <c r="P8" s="36">
        <f aca="true" t="shared" si="2" ref="P8:P17">D8/J8*100000</f>
        <v>390.360206633786</v>
      </c>
      <c r="Q8" s="36">
        <f aca="true" t="shared" si="3" ref="Q8:Q18">P8/O8*100</f>
        <v>79.28115704371518</v>
      </c>
      <c r="R8" s="36"/>
      <c r="S8" s="36"/>
      <c r="T8" s="36"/>
    </row>
    <row r="9" spans="1:20" ht="15">
      <c r="A9" s="2">
        <v>2</v>
      </c>
      <c r="B9" s="22" t="s">
        <v>62</v>
      </c>
      <c r="C9" s="3">
        <v>51</v>
      </c>
      <c r="D9" s="3">
        <v>85.64</v>
      </c>
      <c r="E9" s="36">
        <f t="shared" si="0"/>
        <v>167.92156862745097</v>
      </c>
      <c r="F9" s="3"/>
      <c r="G9" s="3"/>
      <c r="H9" s="36"/>
      <c r="I9" s="3">
        <v>22791</v>
      </c>
      <c r="J9" s="3">
        <v>31708</v>
      </c>
      <c r="K9" s="36">
        <f aca="true" t="shared" si="4" ref="K9:K21">J9*100/I9</f>
        <v>139.1250932385591</v>
      </c>
      <c r="L9" s="3"/>
      <c r="M9" s="3"/>
      <c r="N9" s="36"/>
      <c r="O9" s="36">
        <f t="shared" si="1"/>
        <v>223.77254179281294</v>
      </c>
      <c r="P9" s="36">
        <f t="shared" si="2"/>
        <v>270.0895673016273</v>
      </c>
      <c r="Q9" s="36">
        <f t="shared" si="3"/>
        <v>120.69826134061546</v>
      </c>
      <c r="R9" s="36"/>
      <c r="S9" s="36"/>
      <c r="T9" s="36"/>
    </row>
    <row r="10" spans="1:20" ht="15">
      <c r="A10" s="2">
        <v>3</v>
      </c>
      <c r="B10" s="37" t="s">
        <v>63</v>
      </c>
      <c r="C10" s="19">
        <v>46</v>
      </c>
      <c r="D10" s="19">
        <v>75.05</v>
      </c>
      <c r="E10" s="36">
        <f t="shared" si="0"/>
        <v>163.15217391304347</v>
      </c>
      <c r="F10" s="19"/>
      <c r="G10" s="19"/>
      <c r="H10" s="36"/>
      <c r="I10" s="3">
        <v>8944</v>
      </c>
      <c r="J10" s="3">
        <v>11674</v>
      </c>
      <c r="K10" s="36">
        <f t="shared" si="4"/>
        <v>130.52325581395348</v>
      </c>
      <c r="L10" s="19"/>
      <c r="M10" s="19"/>
      <c r="N10" s="92"/>
      <c r="O10" s="36">
        <f t="shared" si="1"/>
        <v>514.3112701252236</v>
      </c>
      <c r="P10" s="36">
        <f t="shared" si="2"/>
        <v>642.8816172691451</v>
      </c>
      <c r="Q10" s="36">
        <f t="shared" si="3"/>
        <v>124.99854749685291</v>
      </c>
      <c r="R10" s="92"/>
      <c r="S10" s="92"/>
      <c r="T10" s="92"/>
    </row>
    <row r="11" spans="1:20" ht="15">
      <c r="A11" s="2">
        <v>4</v>
      </c>
      <c r="B11" s="22" t="s">
        <v>64</v>
      </c>
      <c r="C11" s="3">
        <v>476</v>
      </c>
      <c r="D11" s="3">
        <v>478</v>
      </c>
      <c r="E11" s="36">
        <f t="shared" si="0"/>
        <v>100.42016806722688</v>
      </c>
      <c r="F11" s="3">
        <v>172</v>
      </c>
      <c r="G11" s="3">
        <v>212</v>
      </c>
      <c r="H11" s="36">
        <f>G11/F11*100</f>
        <v>123.25581395348837</v>
      </c>
      <c r="I11" s="3">
        <v>118194</v>
      </c>
      <c r="J11" s="3">
        <v>112608</v>
      </c>
      <c r="K11" s="36">
        <f t="shared" si="4"/>
        <v>95.27387177014062</v>
      </c>
      <c r="L11" s="3">
        <v>47348</v>
      </c>
      <c r="M11" s="3">
        <v>49150</v>
      </c>
      <c r="N11" s="36">
        <f>M11/L11*100</f>
        <v>103.80586297203685</v>
      </c>
      <c r="O11" s="36">
        <f t="shared" si="1"/>
        <v>402.7277188351355</v>
      </c>
      <c r="P11" s="36">
        <f t="shared" si="2"/>
        <v>424.4813867576016</v>
      </c>
      <c r="Q11" s="36">
        <f t="shared" si="3"/>
        <v>105.40158198829404</v>
      </c>
      <c r="R11" s="36">
        <f>F11/L11*100000</f>
        <v>363.2677198614514</v>
      </c>
      <c r="S11" s="36">
        <f>G11/M11*100000</f>
        <v>431.3326551373347</v>
      </c>
      <c r="T11" s="36">
        <f>S11/R11*100</f>
        <v>118.73685206652631</v>
      </c>
    </row>
    <row r="12" spans="1:20" ht="15">
      <c r="A12" s="2">
        <v>5</v>
      </c>
      <c r="B12" s="22" t="s">
        <v>65</v>
      </c>
      <c r="C12" s="93">
        <v>257</v>
      </c>
      <c r="D12" s="93">
        <v>153</v>
      </c>
      <c r="E12" s="94">
        <f t="shared" si="0"/>
        <v>59.53307392996109</v>
      </c>
      <c r="F12" s="93">
        <v>65</v>
      </c>
      <c r="G12" s="93">
        <v>145</v>
      </c>
      <c r="H12" s="36">
        <f>G12/F12*100</f>
        <v>223.0769230769231</v>
      </c>
      <c r="I12" s="3">
        <v>49939</v>
      </c>
      <c r="J12" s="3">
        <v>36394</v>
      </c>
      <c r="K12" s="36">
        <f t="shared" si="4"/>
        <v>72.87690982999258</v>
      </c>
      <c r="L12" s="3">
        <v>19752</v>
      </c>
      <c r="M12" s="3">
        <v>37542</v>
      </c>
      <c r="N12" s="36">
        <f>M12/L12*100</f>
        <v>190.06682867557717</v>
      </c>
      <c r="O12" s="36">
        <f t="shared" si="1"/>
        <v>514.6278459720859</v>
      </c>
      <c r="P12" s="36">
        <f t="shared" si="2"/>
        <v>420.3989668626697</v>
      </c>
      <c r="Q12" s="36">
        <f t="shared" si="3"/>
        <v>81.68989885663372</v>
      </c>
      <c r="R12" s="36">
        <f>F12/L12*100000</f>
        <v>329.0805994329688</v>
      </c>
      <c r="S12" s="36">
        <f>G12/M12*100000</f>
        <v>386.2340844920356</v>
      </c>
      <c r="T12" s="36">
        <f>S12/R12*100</f>
        <v>117.36762518287212</v>
      </c>
    </row>
    <row r="13" spans="1:20" ht="15">
      <c r="A13" s="2">
        <v>6</v>
      </c>
      <c r="B13" s="38" t="s">
        <v>81</v>
      </c>
      <c r="C13" s="93">
        <v>60.1</v>
      </c>
      <c r="D13" s="93">
        <v>102.39</v>
      </c>
      <c r="E13" s="94">
        <f t="shared" si="0"/>
        <v>170.36605657237936</v>
      </c>
      <c r="F13" s="93"/>
      <c r="G13" s="93"/>
      <c r="H13" s="94"/>
      <c r="I13" s="93">
        <v>26397</v>
      </c>
      <c r="J13" s="93">
        <v>31143</v>
      </c>
      <c r="K13" s="36">
        <f t="shared" si="4"/>
        <v>117.97931583134446</v>
      </c>
      <c r="L13" s="93"/>
      <c r="M13" s="93"/>
      <c r="N13" s="94"/>
      <c r="O13" s="36">
        <f t="shared" si="1"/>
        <v>227.6773875819222</v>
      </c>
      <c r="P13" s="36">
        <f t="shared" si="2"/>
        <v>328.77372122146227</v>
      </c>
      <c r="Q13" s="36">
        <f t="shared" si="3"/>
        <v>144.4033264406479</v>
      </c>
      <c r="R13" s="36"/>
      <c r="S13" s="36"/>
      <c r="T13" s="94"/>
    </row>
    <row r="14" spans="1:20" ht="15">
      <c r="A14" s="2">
        <v>7</v>
      </c>
      <c r="B14" s="38" t="s">
        <v>66</v>
      </c>
      <c r="C14" s="93">
        <v>78.74</v>
      </c>
      <c r="D14" s="93">
        <v>52.7</v>
      </c>
      <c r="E14" s="94">
        <f t="shared" si="0"/>
        <v>66.92913385826772</v>
      </c>
      <c r="F14" s="93"/>
      <c r="G14" s="93"/>
      <c r="H14" s="94"/>
      <c r="I14" s="93">
        <v>22078</v>
      </c>
      <c r="J14" s="93">
        <v>22350</v>
      </c>
      <c r="K14" s="36">
        <f t="shared" si="4"/>
        <v>101.23199565178005</v>
      </c>
      <c r="L14" s="93"/>
      <c r="M14" s="93"/>
      <c r="N14" s="94"/>
      <c r="O14" s="36">
        <f t="shared" si="1"/>
        <v>356.64462360721075</v>
      </c>
      <c r="P14" s="36">
        <f t="shared" si="2"/>
        <v>235.79418344519019</v>
      </c>
      <c r="Q14" s="94">
        <f t="shared" si="3"/>
        <v>66.11460480191656</v>
      </c>
      <c r="R14" s="36"/>
      <c r="S14" s="3"/>
      <c r="T14" s="94"/>
    </row>
    <row r="15" spans="1:20" ht="15">
      <c r="A15" s="2">
        <v>8</v>
      </c>
      <c r="B15" s="32" t="s">
        <v>102</v>
      </c>
      <c r="C15" s="93"/>
      <c r="D15" s="93">
        <v>28.21</v>
      </c>
      <c r="E15" s="94"/>
      <c r="F15" s="93"/>
      <c r="G15" s="93"/>
      <c r="H15" s="94"/>
      <c r="I15" s="93"/>
      <c r="J15" s="93">
        <v>8897</v>
      </c>
      <c r="K15" s="36"/>
      <c r="L15" s="93"/>
      <c r="M15" s="93"/>
      <c r="N15" s="94"/>
      <c r="O15" s="36"/>
      <c r="P15" s="36">
        <f t="shared" si="2"/>
        <v>317.07317073170736</v>
      </c>
      <c r="Q15" s="94"/>
      <c r="R15" s="36"/>
      <c r="S15" s="3"/>
      <c r="T15" s="94"/>
    </row>
    <row r="16" spans="1:20" s="72" customFormat="1" ht="15">
      <c r="A16" s="2">
        <v>9</v>
      </c>
      <c r="B16" s="32" t="s">
        <v>80</v>
      </c>
      <c r="C16" s="95">
        <v>201.4</v>
      </c>
      <c r="D16" s="95">
        <v>87.34</v>
      </c>
      <c r="E16" s="96">
        <f t="shared" si="0"/>
        <v>43.36643495531281</v>
      </c>
      <c r="F16" s="95"/>
      <c r="G16" s="95"/>
      <c r="H16" s="96"/>
      <c r="I16" s="95">
        <v>31210</v>
      </c>
      <c r="J16" s="95">
        <v>22309</v>
      </c>
      <c r="K16" s="36">
        <f t="shared" si="4"/>
        <v>71.48029477731497</v>
      </c>
      <c r="L16" s="95"/>
      <c r="M16" s="95"/>
      <c r="N16" s="96"/>
      <c r="O16" s="36">
        <f t="shared" si="1"/>
        <v>645.3059916693368</v>
      </c>
      <c r="P16" s="36">
        <f t="shared" si="2"/>
        <v>391.50118786140126</v>
      </c>
      <c r="Q16" s="96">
        <f t="shared" si="3"/>
        <v>60.66907682797583</v>
      </c>
      <c r="R16" s="36"/>
      <c r="S16" s="36"/>
      <c r="T16" s="36"/>
    </row>
    <row r="17" spans="1:20" ht="15">
      <c r="A17" s="2">
        <v>10</v>
      </c>
      <c r="B17" s="38" t="s">
        <v>67</v>
      </c>
      <c r="C17" s="93">
        <v>110</v>
      </c>
      <c r="D17" s="93">
        <v>123</v>
      </c>
      <c r="E17" s="94">
        <f t="shared" si="0"/>
        <v>111.81818181818181</v>
      </c>
      <c r="F17" s="93"/>
      <c r="G17" s="93"/>
      <c r="H17" s="94"/>
      <c r="I17" s="93">
        <v>19408</v>
      </c>
      <c r="J17" s="93">
        <v>30738</v>
      </c>
      <c r="K17" s="36">
        <f t="shared" si="4"/>
        <v>158.3779884583677</v>
      </c>
      <c r="L17" s="93"/>
      <c r="M17" s="93"/>
      <c r="N17" s="94"/>
      <c r="O17" s="36">
        <f t="shared" si="1"/>
        <v>566.7765869744435</v>
      </c>
      <c r="P17" s="36">
        <f t="shared" si="2"/>
        <v>400.1561585008784</v>
      </c>
      <c r="Q17" s="94">
        <f t="shared" si="3"/>
        <v>70.60209749259135</v>
      </c>
      <c r="R17" s="36"/>
      <c r="S17" s="36"/>
      <c r="T17" s="94"/>
    </row>
    <row r="18" spans="1:20" ht="15">
      <c r="A18" s="2">
        <v>11</v>
      </c>
      <c r="B18" s="38" t="s">
        <v>68</v>
      </c>
      <c r="C18" s="93">
        <v>55.5</v>
      </c>
      <c r="D18" s="93">
        <v>63.5</v>
      </c>
      <c r="E18" s="94">
        <f t="shared" si="0"/>
        <v>114.41441441441442</v>
      </c>
      <c r="F18" s="93"/>
      <c r="G18" s="93"/>
      <c r="H18" s="94"/>
      <c r="I18" s="93">
        <v>9310</v>
      </c>
      <c r="J18" s="93">
        <v>11336</v>
      </c>
      <c r="K18" s="36">
        <f t="shared" si="4"/>
        <v>121.76154672395273</v>
      </c>
      <c r="L18" s="93"/>
      <c r="M18" s="93"/>
      <c r="N18" s="94"/>
      <c r="O18" s="36">
        <f t="shared" si="1"/>
        <v>596.1331901181526</v>
      </c>
      <c r="P18" s="36">
        <f>D18/J18*100000</f>
        <v>560.1623147494707</v>
      </c>
      <c r="Q18" s="94">
        <f t="shared" si="3"/>
        <v>93.96596667238869</v>
      </c>
      <c r="R18" s="36"/>
      <c r="S18" s="36"/>
      <c r="T18" s="94"/>
    </row>
    <row r="19" spans="1:20" ht="15">
      <c r="A19" s="2">
        <v>12</v>
      </c>
      <c r="B19" s="84" t="s">
        <v>69</v>
      </c>
      <c r="C19" s="93"/>
      <c r="D19" s="93"/>
      <c r="E19" s="94"/>
      <c r="F19" s="93">
        <v>5176</v>
      </c>
      <c r="G19" s="93">
        <v>5934</v>
      </c>
      <c r="H19" s="94">
        <f>G19/F19*100</f>
        <v>114.64451313755796</v>
      </c>
      <c r="I19" s="3"/>
      <c r="J19" s="93"/>
      <c r="K19" s="36"/>
      <c r="L19" s="93">
        <v>1355406</v>
      </c>
      <c r="M19" s="93">
        <v>1547060</v>
      </c>
      <c r="N19" s="94">
        <f>M19/L19*100</f>
        <v>114.13996986880683</v>
      </c>
      <c r="O19" s="36"/>
      <c r="P19" s="36"/>
      <c r="Q19" s="94"/>
      <c r="R19" s="36">
        <f>F19/L19*100000</f>
        <v>381.8781973814488</v>
      </c>
      <c r="S19" s="36">
        <f>G19/M19*100000</f>
        <v>383.5662482385945</v>
      </c>
      <c r="T19" s="94">
        <f>S19/R19*100</f>
        <v>100.44203907652249</v>
      </c>
    </row>
    <row r="20" spans="1:20" ht="15">
      <c r="A20" s="2">
        <v>13</v>
      </c>
      <c r="B20" s="32" t="s">
        <v>91</v>
      </c>
      <c r="C20" s="102"/>
      <c r="D20" s="93"/>
      <c r="E20" s="94"/>
      <c r="F20" s="93"/>
      <c r="G20" s="93">
        <v>16</v>
      </c>
      <c r="H20" s="94"/>
      <c r="I20" s="3"/>
      <c r="J20" s="93"/>
      <c r="K20" s="36"/>
      <c r="L20" s="93"/>
      <c r="M20" s="93">
        <v>21070</v>
      </c>
      <c r="N20" s="94"/>
      <c r="O20" s="36"/>
      <c r="P20" s="36"/>
      <c r="Q20" s="94"/>
      <c r="R20" s="36"/>
      <c r="S20" s="36">
        <f>G20/M20*100000</f>
        <v>75.93735168485999</v>
      </c>
      <c r="T20" s="94"/>
    </row>
    <row r="21" spans="1:20" ht="15">
      <c r="A21" s="85"/>
      <c r="B21" s="27" t="s">
        <v>11</v>
      </c>
      <c r="C21" s="97">
        <f>SUM(C8:C19)</f>
        <v>1530.74</v>
      </c>
      <c r="D21" s="3">
        <f>SUM(D8:D19)</f>
        <v>1415.8300000000002</v>
      </c>
      <c r="E21" s="36">
        <f>D21/C21*100</f>
        <v>92.49317323647387</v>
      </c>
      <c r="F21" s="36">
        <f>SUM(F8:F19)</f>
        <v>5413</v>
      </c>
      <c r="G21" s="3">
        <f>SUM(G8:G20)</f>
        <v>6307</v>
      </c>
      <c r="H21" s="36">
        <f>G21/F21*100</f>
        <v>116.51579530759284</v>
      </c>
      <c r="I21" s="3">
        <f>SUM(I8:I18)</f>
        <v>347875</v>
      </c>
      <c r="J21" s="3">
        <f>SUM(J8:J19)</f>
        <v>361938</v>
      </c>
      <c r="K21" s="36">
        <f t="shared" si="4"/>
        <v>104.04254401724758</v>
      </c>
      <c r="L21" s="3">
        <f>SUM(L8:L19)</f>
        <v>1422506</v>
      </c>
      <c r="M21" s="3">
        <f>SUM(M8:M20)</f>
        <v>1654822</v>
      </c>
      <c r="N21" s="36">
        <f>M21/L21*100</f>
        <v>116.33146011334925</v>
      </c>
      <c r="O21" s="36">
        <f>C21/I21*100000</f>
        <v>440.0258713618398</v>
      </c>
      <c r="P21" s="36">
        <f>D21/J21*100000</f>
        <v>391.18025739215005</v>
      </c>
      <c r="Q21" s="36">
        <f>P21/O21*100</f>
        <v>88.8993767983421</v>
      </c>
      <c r="R21" s="36">
        <f>F21/L21*100000</f>
        <v>380.5256357442429</v>
      </c>
      <c r="S21" s="36">
        <f>G21/M21*100000</f>
        <v>381.12860476836784</v>
      </c>
      <c r="T21" s="36">
        <f>S21/R21*100</f>
        <v>100.15845687320004</v>
      </c>
    </row>
  </sheetData>
  <sheetProtection/>
  <mergeCells count="21">
    <mergeCell ref="J6:J7"/>
    <mergeCell ref="Q5:Q7"/>
    <mergeCell ref="G6:G7"/>
    <mergeCell ref="H5:H7"/>
    <mergeCell ref="N5:N7"/>
    <mergeCell ref="C6:C7"/>
    <mergeCell ref="D6:D7"/>
    <mergeCell ref="K5:K7"/>
    <mergeCell ref="E5:E7"/>
    <mergeCell ref="I5:J5"/>
    <mergeCell ref="I6:I7"/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50" zoomScaleSheetLayoutView="75" zoomScalePageLayoutView="0" workbookViewId="0" topLeftCell="A1">
      <selection activeCell="M8" sqref="M8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75" customWidth="1"/>
  </cols>
  <sheetData>
    <row r="1" ht="15.75">
      <c r="C1" s="1" t="s">
        <v>105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57</v>
      </c>
      <c r="I2" s="20"/>
      <c r="J2" s="20"/>
      <c r="K2" s="20"/>
      <c r="L2" s="20"/>
    </row>
    <row r="3" spans="1:14" ht="15" customHeight="1">
      <c r="A3" s="23" t="s">
        <v>2</v>
      </c>
      <c r="B3" s="23" t="s">
        <v>3</v>
      </c>
      <c r="C3" s="25"/>
      <c r="D3" s="25" t="s">
        <v>54</v>
      </c>
      <c r="E3" s="27"/>
      <c r="F3" s="144" t="s">
        <v>10</v>
      </c>
      <c r="G3" s="145"/>
      <c r="H3" s="146"/>
      <c r="I3" s="25" t="s">
        <v>6</v>
      </c>
      <c r="J3" s="21" t="s">
        <v>7</v>
      </c>
      <c r="K3" s="149" t="s">
        <v>74</v>
      </c>
      <c r="L3" s="150"/>
      <c r="M3" s="151"/>
      <c r="N3" s="147"/>
    </row>
    <row r="4" spans="1:14" ht="15">
      <c r="A4" s="33"/>
      <c r="B4" s="33"/>
      <c r="C4" s="9">
        <v>2010</v>
      </c>
      <c r="D4" s="42">
        <v>2011</v>
      </c>
      <c r="E4" s="19" t="s">
        <v>4</v>
      </c>
      <c r="F4" s="9">
        <v>2010</v>
      </c>
      <c r="G4" s="42">
        <v>2011</v>
      </c>
      <c r="H4" s="19" t="s">
        <v>4</v>
      </c>
      <c r="I4" s="9">
        <v>2010</v>
      </c>
      <c r="J4" s="42">
        <v>2011</v>
      </c>
      <c r="K4" s="152" t="s">
        <v>1</v>
      </c>
      <c r="L4" s="152" t="s">
        <v>75</v>
      </c>
      <c r="M4" s="154" t="s">
        <v>76</v>
      </c>
      <c r="N4" s="148"/>
    </row>
    <row r="5" spans="1:14" ht="15">
      <c r="A5" s="29"/>
      <c r="B5" s="29"/>
      <c r="C5" s="28"/>
      <c r="D5" s="35"/>
      <c r="E5" s="11">
        <v>2010</v>
      </c>
      <c r="F5" s="28"/>
      <c r="G5" s="35"/>
      <c r="H5" s="11">
        <v>2010</v>
      </c>
      <c r="I5" s="35"/>
      <c r="J5" s="29"/>
      <c r="K5" s="153"/>
      <c r="L5" s="153"/>
      <c r="M5" s="154"/>
      <c r="N5" s="148"/>
    </row>
    <row r="6" spans="1:14" ht="15">
      <c r="A6" s="3">
        <v>1</v>
      </c>
      <c r="B6" s="22" t="s">
        <v>61</v>
      </c>
      <c r="C6" s="3"/>
      <c r="D6" s="3"/>
      <c r="E6" s="36"/>
      <c r="F6" s="3">
        <v>28</v>
      </c>
      <c r="G6" s="3">
        <v>22</v>
      </c>
      <c r="H6" s="94">
        <f aca="true" t="shared" si="0" ref="H6:H18">G6*100/F6</f>
        <v>78.57142857142857</v>
      </c>
      <c r="I6" s="36">
        <f>F6+(C6*0.2)+('численность 1'!M6*0.3)+'численность 1'!G6+(('численность 1'!C6-'численность 1'!G6)*0.6)</f>
        <v>319</v>
      </c>
      <c r="J6" s="36">
        <f>G6+(D6*0.2)+('численность 1'!N6*0.3)+'численность 1'!H6+(('численность 1'!D6-'численность 1'!H6)*0.6)</f>
        <v>297.4</v>
      </c>
      <c r="K6" s="3"/>
      <c r="L6" s="3"/>
      <c r="M6" s="36"/>
      <c r="N6" s="80"/>
    </row>
    <row r="7" spans="1:14" ht="15">
      <c r="A7" s="3">
        <v>2</v>
      </c>
      <c r="B7" s="22" t="s">
        <v>62</v>
      </c>
      <c r="C7" s="3"/>
      <c r="D7" s="3"/>
      <c r="E7" s="36"/>
      <c r="F7" s="3">
        <v>7</v>
      </c>
      <c r="G7" s="3">
        <v>5</v>
      </c>
      <c r="H7" s="94">
        <f t="shared" si="0"/>
        <v>71.42857142857143</v>
      </c>
      <c r="I7" s="36">
        <f>F7+(C7*0.2)+('численность 1'!M7*0.3)+'численность 1'!G7+(('численность 1'!C7-'численность 1'!G7)*0.6)</f>
        <v>186.39999999999998</v>
      </c>
      <c r="J7" s="36">
        <f>G7+(D7*0.2)+('численность 1'!N7*0.3)+'численность 1'!H7+(('численность 1'!D7-'численность 1'!H7)*0.6)</f>
        <v>177.8</v>
      </c>
      <c r="K7" s="3"/>
      <c r="L7" s="3"/>
      <c r="M7" s="36"/>
      <c r="N7" s="80"/>
    </row>
    <row r="8" spans="1:14" ht="15">
      <c r="A8" s="3">
        <v>3</v>
      </c>
      <c r="B8" s="22" t="s">
        <v>63</v>
      </c>
      <c r="C8" s="3"/>
      <c r="D8" s="3"/>
      <c r="E8" s="36"/>
      <c r="F8" s="3">
        <v>2</v>
      </c>
      <c r="G8" s="3">
        <v>1</v>
      </c>
      <c r="H8" s="94">
        <f t="shared" si="0"/>
        <v>50</v>
      </c>
      <c r="I8" s="36">
        <f>F8+(C8*0.2)+('численность 1'!M8*0.3)+'численность 1'!G8+(('численность 1'!C8-'численность 1'!G8)*0.6)</f>
        <v>91.8</v>
      </c>
      <c r="J8" s="36">
        <f>G8+(D8*0.2)+('численность 1'!N8*0.3)+'численность 1'!H8+(('численность 1'!D8-'численность 1'!H8)*0.6)</f>
        <v>97</v>
      </c>
      <c r="K8" s="3"/>
      <c r="L8" s="3"/>
      <c r="M8" s="36"/>
      <c r="N8" s="80"/>
    </row>
    <row r="9" spans="1:14" ht="15">
      <c r="A9" s="3">
        <v>4</v>
      </c>
      <c r="B9" s="22" t="s">
        <v>64</v>
      </c>
      <c r="C9" s="3"/>
      <c r="D9" s="3"/>
      <c r="E9" s="3"/>
      <c r="F9" s="3">
        <v>29</v>
      </c>
      <c r="G9" s="3">
        <v>19</v>
      </c>
      <c r="H9" s="94">
        <f t="shared" si="0"/>
        <v>65.51724137931035</v>
      </c>
      <c r="I9" s="36">
        <f>F9+(C9*0.2)+('численность 1'!M9*0.3)+'численность 1'!G9+(('численность 1'!C9-'численность 1'!G9)*0.6)</f>
        <v>802.5</v>
      </c>
      <c r="J9" s="36">
        <f>G9+(D9*0.2)+('численность 1'!N9*0.3)+'численность 1'!H9+(('численность 1'!D9-'численность 1'!H9)*0.6)</f>
        <v>753.3</v>
      </c>
      <c r="K9" s="93"/>
      <c r="L9" s="93"/>
      <c r="M9" s="94"/>
      <c r="N9" s="80"/>
    </row>
    <row r="10" spans="1:14" ht="15">
      <c r="A10" s="3">
        <v>5</v>
      </c>
      <c r="B10" s="22" t="s">
        <v>65</v>
      </c>
      <c r="C10" s="91">
        <v>154</v>
      </c>
      <c r="D10" s="3">
        <v>170</v>
      </c>
      <c r="E10" s="94">
        <f>D10*100/C10</f>
        <v>110.3896103896104</v>
      </c>
      <c r="F10" s="3">
        <v>49</v>
      </c>
      <c r="G10" s="3">
        <v>20</v>
      </c>
      <c r="H10" s="94">
        <f t="shared" si="0"/>
        <v>40.816326530612244</v>
      </c>
      <c r="I10" s="36">
        <f>F10+(C10*0.2)+('численность 1'!M10*0.3)+'численность 1'!G10+(('численность 1'!C10-'численность 1'!G10)*0.6)</f>
        <v>648.4</v>
      </c>
      <c r="J10" s="36">
        <f>G10+(C10*0.2)+('численность 1'!N10*0.3)+'численность 1'!H10+(('численность 1'!D10-'численность 1'!H10)*0.6)</f>
        <v>549.5</v>
      </c>
      <c r="K10" s="3"/>
      <c r="L10" s="3"/>
      <c r="M10" s="36"/>
      <c r="N10" s="80"/>
    </row>
    <row r="11" spans="1:14" ht="15">
      <c r="A11" s="3">
        <v>6</v>
      </c>
      <c r="B11" s="38" t="s">
        <v>81</v>
      </c>
      <c r="C11" s="93"/>
      <c r="D11" s="93"/>
      <c r="E11" s="94"/>
      <c r="F11" s="3">
        <v>16</v>
      </c>
      <c r="G11" s="3">
        <v>9</v>
      </c>
      <c r="H11" s="94">
        <f t="shared" si="0"/>
        <v>56.25</v>
      </c>
      <c r="I11" s="36">
        <f>F11+(C11*0.2)+('численность 1'!M11*0.3)+'численность 1'!G11+(('численность 1'!C11-'численность 1'!G11)*0.6)</f>
        <v>257</v>
      </c>
      <c r="J11" s="36">
        <f>G11+(C11*0.2)+('численность 1'!N11*0.3)+'численность 1'!H11+(('численность 1'!D11-'численность 1'!H11)*0.6)</f>
        <v>210.39999999999998</v>
      </c>
      <c r="K11" s="93"/>
      <c r="L11" s="93"/>
      <c r="M11" s="94"/>
      <c r="N11" s="80"/>
    </row>
    <row r="12" spans="1:14" ht="15">
      <c r="A12" s="3">
        <v>7</v>
      </c>
      <c r="B12" s="38" t="s">
        <v>66</v>
      </c>
      <c r="C12" s="93"/>
      <c r="D12" s="93"/>
      <c r="E12" s="94"/>
      <c r="F12" s="93">
        <v>3</v>
      </c>
      <c r="G12" s="93">
        <v>3</v>
      </c>
      <c r="H12" s="94">
        <f t="shared" si="0"/>
        <v>100</v>
      </c>
      <c r="I12" s="36">
        <f>F12+(C12*0.2)+('численность 1'!M12*0.3)+'численность 1'!G12+(('численность 1'!C12-'численность 1'!G12)*0.6)</f>
        <v>127</v>
      </c>
      <c r="J12" s="36">
        <f>G12+(C12*0.2)+('численность 1'!N12*0.3)+'численность 1'!H12+(('численность 1'!D12-'численность 1'!H12)*0.6)</f>
        <v>63</v>
      </c>
      <c r="K12" s="93"/>
      <c r="L12" s="93"/>
      <c r="M12" s="36"/>
      <c r="N12" s="80"/>
    </row>
    <row r="13" spans="1:14" ht="15">
      <c r="A13" s="3">
        <v>8</v>
      </c>
      <c r="B13" s="32" t="s">
        <v>102</v>
      </c>
      <c r="C13" s="93"/>
      <c r="D13" s="93"/>
      <c r="E13" s="94"/>
      <c r="F13" s="93"/>
      <c r="G13" s="93"/>
      <c r="H13" s="94"/>
      <c r="I13" s="36">
        <f>F13+(C13*0.2)+('численность 1'!M13*0.3)+'численность 1'!G13+(('численность 1'!C13-'численность 1'!G13)*0.6)</f>
        <v>0</v>
      </c>
      <c r="J13" s="36">
        <f>G13+(C13*0.2)+('численность 1'!N13*0.3)+'численность 1'!H13+(('численность 1'!D13-'численность 1'!H13)*0.6)</f>
        <v>85.2</v>
      </c>
      <c r="K13" s="93"/>
      <c r="L13" s="93"/>
      <c r="M13" s="36"/>
      <c r="N13" s="80"/>
    </row>
    <row r="14" spans="1:14" ht="15">
      <c r="A14" s="3">
        <v>9</v>
      </c>
      <c r="B14" s="32" t="s">
        <v>80</v>
      </c>
      <c r="C14" s="93">
        <v>131</v>
      </c>
      <c r="D14" s="93">
        <v>145</v>
      </c>
      <c r="E14" s="94">
        <f>D14*100/C14</f>
        <v>110.68702290076335</v>
      </c>
      <c r="F14" s="3">
        <v>5</v>
      </c>
      <c r="G14" s="3">
        <v>6</v>
      </c>
      <c r="H14" s="94">
        <f t="shared" si="0"/>
        <v>120</v>
      </c>
      <c r="I14" s="36">
        <f>F14+(C14*0.2)+('численность 1'!M14*0.3)+'численность 1'!G14+(('численность 1'!C14-'численность 1'!G14)*0.6)</f>
        <v>180</v>
      </c>
      <c r="J14" s="36">
        <f>G14+(C14*0.2)+('численность 1'!N14*0.3)+'численность 1'!H14+(('численность 1'!D14-'численность 1'!H14)*0.6)</f>
        <v>205</v>
      </c>
      <c r="K14" s="93"/>
      <c r="L14" s="93"/>
      <c r="M14" s="36"/>
      <c r="N14" s="80"/>
    </row>
    <row r="15" spans="1:14" ht="15">
      <c r="A15" s="3">
        <v>10</v>
      </c>
      <c r="B15" s="38" t="s">
        <v>67</v>
      </c>
      <c r="C15" s="93"/>
      <c r="D15" s="93"/>
      <c r="E15" s="94"/>
      <c r="F15" s="3">
        <v>8</v>
      </c>
      <c r="G15" s="3">
        <v>3</v>
      </c>
      <c r="H15" s="94">
        <f t="shared" si="0"/>
        <v>37.5</v>
      </c>
      <c r="I15" s="36">
        <f>F15+(C15*0.2)+('численность 1'!M15*0.3)+'численность 1'!G15+(('численность 1'!C15-'численность 1'!G15)*0.6)</f>
        <v>170.4</v>
      </c>
      <c r="J15" s="36">
        <f>G15+(C15*0.2)+('численность 1'!N15*0.3)+'численность 1'!H15+(('численность 1'!D15-'численность 1'!H15)*0.6)</f>
        <v>193.6</v>
      </c>
      <c r="K15" s="93"/>
      <c r="L15" s="93"/>
      <c r="M15" s="36"/>
      <c r="N15" s="80"/>
    </row>
    <row r="16" spans="1:14" ht="15">
      <c r="A16" s="3">
        <v>11</v>
      </c>
      <c r="B16" s="38" t="s">
        <v>68</v>
      </c>
      <c r="C16" s="93"/>
      <c r="D16" s="93"/>
      <c r="E16" s="94"/>
      <c r="F16" s="3">
        <v>2</v>
      </c>
      <c r="G16" s="3">
        <v>1</v>
      </c>
      <c r="H16" s="94">
        <f t="shared" si="0"/>
        <v>50</v>
      </c>
      <c r="I16" s="36">
        <f>F16+(C16*0.2)+('численность 1'!M16*0.3)+'численность 1'!G16+(('численность 1'!C16-'численность 1'!G16)*0.6)</f>
        <v>62.4</v>
      </c>
      <c r="J16" s="36">
        <f>G16+(C16*0.2)+('численность 1'!N16*0.3)+'численность 1'!H16+(('численность 1'!D16-'численность 1'!H16)*0.6)</f>
        <v>50.8</v>
      </c>
      <c r="K16" s="93"/>
      <c r="L16" s="93"/>
      <c r="M16" s="36"/>
      <c r="N16" s="80"/>
    </row>
    <row r="17" spans="1:14" ht="15">
      <c r="A17" s="3">
        <v>12</v>
      </c>
      <c r="B17" s="38" t="s">
        <v>69</v>
      </c>
      <c r="C17" s="93"/>
      <c r="D17" s="93"/>
      <c r="E17" s="94"/>
      <c r="F17" s="3">
        <v>1</v>
      </c>
      <c r="G17" s="3">
        <v>1</v>
      </c>
      <c r="H17" s="94">
        <f t="shared" si="0"/>
        <v>100</v>
      </c>
      <c r="I17" s="36">
        <f>F17+(C17*0.2)+('численность 1'!M17*0.3)+'численность 1'!G17+(('численность 1'!C17-'численность 1'!G17)*0.6)</f>
        <v>2669.2</v>
      </c>
      <c r="J17" s="36">
        <f>G17+(C17*0.2)+('численность 1'!N17*0.3)+'численность 1'!H17+(('численность 1'!D17-'численность 1'!H17)*0.6)</f>
        <v>2771.7999999999997</v>
      </c>
      <c r="K17" s="93"/>
      <c r="L17" s="93"/>
      <c r="M17" s="94"/>
      <c r="N17" s="80"/>
    </row>
    <row r="18" spans="1:14" ht="15">
      <c r="A18" s="3">
        <v>13</v>
      </c>
      <c r="B18" s="32" t="s">
        <v>78</v>
      </c>
      <c r="C18" s="93"/>
      <c r="D18" s="93"/>
      <c r="E18" s="94"/>
      <c r="F18" s="3">
        <v>91</v>
      </c>
      <c r="G18" s="3">
        <v>138</v>
      </c>
      <c r="H18" s="94">
        <f t="shared" si="0"/>
        <v>151.64835164835165</v>
      </c>
      <c r="I18" s="36">
        <f>F18+(C18*0.2)+('численность 1'!M18*0.3)+'численность 1'!G18+(('численность 1'!C18-'численность 1'!G18)*0.6)</f>
        <v>91</v>
      </c>
      <c r="J18" s="36">
        <f>G18+(C18*0.2)+('численность 1'!N18*0.3)+'численность 1'!H18+(('численность 1'!D18-'численность 1'!H18)*0.6)</f>
        <v>138</v>
      </c>
      <c r="K18" s="93"/>
      <c r="L18" s="93"/>
      <c r="M18" s="36"/>
      <c r="N18" s="80"/>
    </row>
    <row r="19" spans="1:14" ht="15">
      <c r="A19" s="3">
        <v>14</v>
      </c>
      <c r="B19" s="32" t="s">
        <v>91</v>
      </c>
      <c r="C19" s="93"/>
      <c r="D19" s="93"/>
      <c r="E19" s="94"/>
      <c r="F19" s="3"/>
      <c r="G19" s="3"/>
      <c r="H19" s="94"/>
      <c r="I19" s="36"/>
      <c r="J19" s="36">
        <f>G19+(C19*0.2)+('численность 1'!N19*0.3)+'численность 1'!H19+(('численность 1'!D19-'численность 1'!H19)*0.6)</f>
        <v>28.5</v>
      </c>
      <c r="K19" s="93"/>
      <c r="L19" s="93"/>
      <c r="M19" s="36"/>
      <c r="N19" s="80"/>
    </row>
    <row r="20" spans="1:14" ht="15">
      <c r="A20" s="124" t="s">
        <v>11</v>
      </c>
      <c r="B20" s="125"/>
      <c r="C20" s="3">
        <f>SUM(C6:C17)</f>
        <v>285</v>
      </c>
      <c r="D20" s="3">
        <f>SUM(D6:D17)</f>
        <v>315</v>
      </c>
      <c r="E20" s="36">
        <f>D20/C20*100</f>
        <v>110.5263157894737</v>
      </c>
      <c r="F20" s="3">
        <f>SUM(F6:F18)</f>
        <v>241</v>
      </c>
      <c r="G20" s="3">
        <f>SUM(G6:G18)</f>
        <v>228</v>
      </c>
      <c r="H20" s="94">
        <f>G20*100/F20</f>
        <v>94.60580912863071</v>
      </c>
      <c r="I20" s="36">
        <f>F20+(C20*0.2)+('численность 1'!M20*0.3)+'численность 1'!G20+(('численность 1'!C20-'численность 1'!G20)*0.6)</f>
        <v>5605.099999999999</v>
      </c>
      <c r="J20" s="36">
        <f>G20+(D20*0.2)+('численность 1'!N20*0.3)+'численность 1'!H20+(('численность 1'!D20-'численность 1'!H20)*0.6)</f>
        <v>5627.299999999999</v>
      </c>
      <c r="K20" s="3">
        <f>SUM(K6:K19)</f>
        <v>0</v>
      </c>
      <c r="L20" s="3">
        <f>SUM(L6:L19)</f>
        <v>0</v>
      </c>
      <c r="M20" s="36">
        <f>SUM(M6:M19)</f>
        <v>0</v>
      </c>
      <c r="N20" s="80"/>
    </row>
  </sheetData>
  <sheetProtection/>
  <mergeCells count="7">
    <mergeCell ref="A20:B20"/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="60" zoomScaleNormal="50" zoomScalePageLayoutView="0" workbookViewId="0" topLeftCell="A1">
      <selection activeCell="J12" sqref="J12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106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56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34" t="s">
        <v>3</v>
      </c>
      <c r="C3" s="131" t="s">
        <v>83</v>
      </c>
      <c r="D3" s="160"/>
      <c r="E3" s="161"/>
      <c r="F3" s="136" t="s">
        <v>82</v>
      </c>
      <c r="G3" s="131" t="s">
        <v>8</v>
      </c>
      <c r="H3" s="160"/>
      <c r="I3" s="161"/>
      <c r="J3" s="155" t="s">
        <v>73</v>
      </c>
      <c r="K3" s="156"/>
      <c r="L3" s="157"/>
      <c r="M3" s="131" t="s">
        <v>9</v>
      </c>
      <c r="N3" s="160"/>
      <c r="O3" s="160"/>
      <c r="P3" s="160"/>
      <c r="Q3" s="160"/>
      <c r="R3" s="160"/>
      <c r="S3" s="160"/>
      <c r="T3" s="160"/>
      <c r="U3" s="161"/>
    </row>
    <row r="4" spans="1:21" s="20" customFormat="1" ht="23.25" customHeight="1">
      <c r="A4" s="33"/>
      <c r="B4" s="162"/>
      <c r="C4" s="134">
        <v>2010</v>
      </c>
      <c r="D4" s="134">
        <v>2011</v>
      </c>
      <c r="E4" s="106" t="s">
        <v>4</v>
      </c>
      <c r="F4" s="137"/>
      <c r="G4" s="134">
        <v>2010</v>
      </c>
      <c r="H4" s="134">
        <v>2011</v>
      </c>
      <c r="I4" s="106" t="s">
        <v>4</v>
      </c>
      <c r="J4" s="134">
        <v>2010</v>
      </c>
      <c r="K4" s="134">
        <v>2011</v>
      </c>
      <c r="L4" s="136" t="s">
        <v>99</v>
      </c>
      <c r="M4" s="134">
        <v>2010</v>
      </c>
      <c r="N4" s="134">
        <v>2011</v>
      </c>
      <c r="O4" s="136" t="s">
        <v>99</v>
      </c>
      <c r="P4" s="103" t="s">
        <v>5</v>
      </c>
      <c r="Q4" s="107" t="s">
        <v>72</v>
      </c>
      <c r="R4" s="136" t="s">
        <v>99</v>
      </c>
      <c r="S4" s="103" t="s">
        <v>53</v>
      </c>
      <c r="T4" s="108"/>
      <c r="U4" s="136" t="s">
        <v>99</v>
      </c>
    </row>
    <row r="5" spans="1:21" s="20" customFormat="1" ht="23.25" customHeight="1">
      <c r="A5" s="29"/>
      <c r="B5" s="135"/>
      <c r="C5" s="158"/>
      <c r="D5" s="158"/>
      <c r="E5" s="109">
        <v>2010</v>
      </c>
      <c r="F5" s="138"/>
      <c r="G5" s="158"/>
      <c r="H5" s="158"/>
      <c r="I5" s="109">
        <v>2010</v>
      </c>
      <c r="J5" s="158"/>
      <c r="K5" s="158"/>
      <c r="L5" s="159"/>
      <c r="M5" s="158"/>
      <c r="N5" s="158"/>
      <c r="O5" s="159"/>
      <c r="P5" s="104">
        <v>2010</v>
      </c>
      <c r="Q5" s="104">
        <v>2011</v>
      </c>
      <c r="R5" s="159"/>
      <c r="S5" s="104">
        <v>2010</v>
      </c>
      <c r="T5" s="104">
        <v>2011</v>
      </c>
      <c r="U5" s="159"/>
    </row>
    <row r="6" spans="1:34" s="20" customFormat="1" ht="24.75" customHeight="1">
      <c r="A6" s="3">
        <v>1</v>
      </c>
      <c r="B6" s="22" t="s">
        <v>61</v>
      </c>
      <c r="C6" s="3">
        <v>365</v>
      </c>
      <c r="D6" s="3">
        <v>339</v>
      </c>
      <c r="E6" s="36">
        <f aca="true" t="shared" si="0" ref="E6:E16">D6*100/C6</f>
        <v>92.87671232876713</v>
      </c>
      <c r="F6" s="3"/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0">K6*100/J6</f>
        <v>100</v>
      </c>
      <c r="M6" s="69"/>
      <c r="N6" s="3"/>
      <c r="O6" s="36"/>
      <c r="P6" s="69"/>
      <c r="Q6" s="3"/>
      <c r="R6" s="36"/>
      <c r="S6" s="116"/>
      <c r="T6" s="36"/>
      <c r="U6" s="36"/>
      <c r="AH6" s="91"/>
    </row>
    <row r="7" spans="1:34" s="20" customFormat="1" ht="24.75" customHeight="1">
      <c r="A7" s="3">
        <v>2</v>
      </c>
      <c r="B7" s="22" t="s">
        <v>62</v>
      </c>
      <c r="C7" s="3">
        <v>229</v>
      </c>
      <c r="D7" s="3">
        <v>218</v>
      </c>
      <c r="E7" s="36">
        <f t="shared" si="0"/>
        <v>95.19650655021834</v>
      </c>
      <c r="F7" s="3">
        <v>21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9"/>
      <c r="N7" s="3"/>
      <c r="O7" s="36"/>
      <c r="P7" s="69"/>
      <c r="Q7" s="3"/>
      <c r="R7" s="36"/>
      <c r="S7" s="116"/>
      <c r="T7" s="36"/>
      <c r="U7" s="36"/>
      <c r="AH7" s="91"/>
    </row>
    <row r="8" spans="1:34" s="20" customFormat="1" ht="24.75" customHeight="1">
      <c r="A8" s="3">
        <v>3</v>
      </c>
      <c r="B8" s="22" t="s">
        <v>63</v>
      </c>
      <c r="C8" s="3">
        <v>111</v>
      </c>
      <c r="D8" s="3">
        <v>120</v>
      </c>
      <c r="E8" s="36">
        <f t="shared" si="0"/>
        <v>108.10810810810811</v>
      </c>
      <c r="F8" s="93"/>
      <c r="G8" s="3">
        <v>58</v>
      </c>
      <c r="H8" s="3">
        <v>60</v>
      </c>
      <c r="I8" s="36">
        <f t="shared" si="1"/>
        <v>103.44827586206897</v>
      </c>
      <c r="J8" s="3">
        <v>55</v>
      </c>
      <c r="K8" s="3">
        <v>60</v>
      </c>
      <c r="L8" s="36">
        <f t="shared" si="2"/>
        <v>109.0909090909091</v>
      </c>
      <c r="M8" s="69"/>
      <c r="N8" s="3"/>
      <c r="O8" s="105"/>
      <c r="P8" s="69"/>
      <c r="Q8" s="3"/>
      <c r="R8" s="36"/>
      <c r="S8" s="116"/>
      <c r="T8" s="36"/>
      <c r="U8" s="36"/>
      <c r="AH8" s="91"/>
    </row>
    <row r="9" spans="1:34" s="20" customFormat="1" ht="24.75" customHeight="1">
      <c r="A9" s="3">
        <v>4</v>
      </c>
      <c r="B9" s="22" t="s">
        <v>64</v>
      </c>
      <c r="C9" s="3">
        <v>849</v>
      </c>
      <c r="D9" s="3">
        <v>806</v>
      </c>
      <c r="E9" s="36">
        <f t="shared" si="0"/>
        <v>94.93521790341579</v>
      </c>
      <c r="F9" s="3">
        <v>45</v>
      </c>
      <c r="G9" s="3">
        <v>304</v>
      </c>
      <c r="H9" s="3">
        <v>308</v>
      </c>
      <c r="I9" s="36">
        <f t="shared" si="1"/>
        <v>101.3157894736842</v>
      </c>
      <c r="J9" s="3">
        <v>304</v>
      </c>
      <c r="K9" s="3">
        <v>308</v>
      </c>
      <c r="L9" s="36">
        <f t="shared" si="2"/>
        <v>101.3157894736842</v>
      </c>
      <c r="M9" s="3">
        <v>475</v>
      </c>
      <c r="N9" s="3">
        <v>425</v>
      </c>
      <c r="O9" s="36">
        <f>N9*100/M9</f>
        <v>89.47368421052632</v>
      </c>
      <c r="P9" s="3">
        <v>27</v>
      </c>
      <c r="Q9" s="3">
        <v>20</v>
      </c>
      <c r="R9" s="36">
        <f>Q9*100/P9</f>
        <v>74.07407407407408</v>
      </c>
      <c r="S9" s="3">
        <v>30</v>
      </c>
      <c r="T9" s="3">
        <v>24</v>
      </c>
      <c r="U9" s="36">
        <f>T9*100/S9</f>
        <v>80</v>
      </c>
      <c r="AH9" s="91"/>
    </row>
    <row r="10" spans="1:34" s="20" customFormat="1" ht="24.75" customHeight="1">
      <c r="A10" s="3">
        <v>5</v>
      </c>
      <c r="B10" s="22" t="s">
        <v>65</v>
      </c>
      <c r="C10" s="3">
        <v>574</v>
      </c>
      <c r="D10" s="3">
        <v>447</v>
      </c>
      <c r="E10" s="36">
        <f t="shared" si="0"/>
        <v>77.87456445993031</v>
      </c>
      <c r="F10" s="93">
        <v>3</v>
      </c>
      <c r="G10" s="3">
        <v>280</v>
      </c>
      <c r="H10" s="3">
        <v>280</v>
      </c>
      <c r="I10" s="36">
        <f t="shared" si="1"/>
        <v>100</v>
      </c>
      <c r="J10" s="3">
        <v>250</v>
      </c>
      <c r="K10" s="3">
        <v>280</v>
      </c>
      <c r="L10" s="36">
        <f t="shared" si="2"/>
        <v>112</v>
      </c>
      <c r="M10" s="3">
        <v>374</v>
      </c>
      <c r="N10" s="3">
        <v>395</v>
      </c>
      <c r="O10" s="36">
        <f>N10*100/M10</f>
        <v>105.61497326203208</v>
      </c>
      <c r="P10" s="3">
        <v>80</v>
      </c>
      <c r="Q10" s="3">
        <v>80</v>
      </c>
      <c r="R10" s="36">
        <f>Q10*100/P10</f>
        <v>100</v>
      </c>
      <c r="S10" s="3">
        <v>48</v>
      </c>
      <c r="T10" s="3">
        <v>8</v>
      </c>
      <c r="U10" s="36">
        <f>T10*100/S10</f>
        <v>16.666666666666668</v>
      </c>
      <c r="AH10" s="91"/>
    </row>
    <row r="11" spans="1:34" s="20" customFormat="1" ht="24.75" customHeight="1">
      <c r="A11" s="3">
        <v>6</v>
      </c>
      <c r="B11" s="38" t="s">
        <v>81</v>
      </c>
      <c r="C11" s="3">
        <v>345</v>
      </c>
      <c r="D11" s="3">
        <v>279</v>
      </c>
      <c r="E11" s="36">
        <f t="shared" si="0"/>
        <v>80.8695652173913</v>
      </c>
      <c r="F11" s="93">
        <v>22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91"/>
    </row>
    <row r="12" spans="1:34" s="20" customFormat="1" ht="24.75" customHeight="1">
      <c r="A12" s="3">
        <v>7</v>
      </c>
      <c r="B12" s="22" t="s">
        <v>66</v>
      </c>
      <c r="C12" s="3">
        <v>172</v>
      </c>
      <c r="D12" s="3">
        <v>60</v>
      </c>
      <c r="E12" s="36">
        <f t="shared" si="0"/>
        <v>34.883720930232556</v>
      </c>
      <c r="F12" s="3"/>
      <c r="G12" s="3">
        <v>52</v>
      </c>
      <c r="H12" s="3">
        <v>60</v>
      </c>
      <c r="I12" s="36">
        <f t="shared" si="1"/>
        <v>115.38461538461539</v>
      </c>
      <c r="J12" s="3">
        <v>52</v>
      </c>
      <c r="K12" s="3">
        <v>60</v>
      </c>
      <c r="L12" s="36">
        <f t="shared" si="2"/>
        <v>115.38461538461539</v>
      </c>
      <c r="M12" s="3"/>
      <c r="N12" s="3"/>
      <c r="O12" s="36"/>
      <c r="P12" s="3"/>
      <c r="Q12" s="3"/>
      <c r="R12" s="36"/>
      <c r="S12" s="3"/>
      <c r="T12" s="3"/>
      <c r="U12" s="36"/>
      <c r="AH12" s="91"/>
    </row>
    <row r="13" spans="1:34" s="20" customFormat="1" ht="24.75" customHeight="1">
      <c r="A13" s="3">
        <v>8</v>
      </c>
      <c r="B13" s="32" t="s">
        <v>102</v>
      </c>
      <c r="C13" s="3"/>
      <c r="D13" s="3">
        <v>142</v>
      </c>
      <c r="E13" s="36"/>
      <c r="F13" s="3">
        <v>16</v>
      </c>
      <c r="G13" s="3"/>
      <c r="H13" s="3"/>
      <c r="I13" s="36"/>
      <c r="J13" s="3"/>
      <c r="K13" s="3"/>
      <c r="L13" s="36"/>
      <c r="M13" s="3"/>
      <c r="N13" s="3"/>
      <c r="O13" s="36"/>
      <c r="P13" s="3"/>
      <c r="Q13" s="3"/>
      <c r="R13" s="36"/>
      <c r="S13" s="3"/>
      <c r="T13" s="3"/>
      <c r="U13" s="36"/>
      <c r="AH13" s="91"/>
    </row>
    <row r="14" spans="1:34" s="20" customFormat="1" ht="24.75" customHeight="1">
      <c r="A14" s="3">
        <v>9</v>
      </c>
      <c r="B14" s="32" t="s">
        <v>80</v>
      </c>
      <c r="C14" s="3">
        <v>196</v>
      </c>
      <c r="D14" s="3">
        <v>236</v>
      </c>
      <c r="E14" s="36">
        <f t="shared" si="0"/>
        <v>120.40816326530613</v>
      </c>
      <c r="F14" s="3">
        <v>22</v>
      </c>
      <c r="G14" s="3">
        <v>78</v>
      </c>
      <c r="H14" s="3">
        <v>78</v>
      </c>
      <c r="I14" s="36">
        <f t="shared" si="1"/>
        <v>100</v>
      </c>
      <c r="J14" s="3">
        <v>64</v>
      </c>
      <c r="K14" s="3">
        <v>78</v>
      </c>
      <c r="L14" s="36">
        <f t="shared" si="2"/>
        <v>121.875</v>
      </c>
      <c r="M14" s="3"/>
      <c r="N14" s="3"/>
      <c r="O14" s="36"/>
      <c r="P14" s="3"/>
      <c r="Q14" s="3"/>
      <c r="R14" s="36"/>
      <c r="S14" s="3"/>
      <c r="T14" s="3"/>
      <c r="U14" s="36"/>
      <c r="AH14" s="91"/>
    </row>
    <row r="15" spans="1:34" s="20" customFormat="1" ht="24.75" customHeight="1">
      <c r="A15" s="3">
        <v>10</v>
      </c>
      <c r="B15" s="22" t="s">
        <v>67</v>
      </c>
      <c r="C15" s="3">
        <v>204</v>
      </c>
      <c r="D15" s="3">
        <v>251</v>
      </c>
      <c r="E15" s="36">
        <f t="shared" si="0"/>
        <v>123.03921568627452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91"/>
    </row>
    <row r="16" spans="1:34" s="20" customFormat="1" ht="24.75" customHeight="1">
      <c r="A16" s="3">
        <v>11</v>
      </c>
      <c r="B16" s="22" t="s">
        <v>68</v>
      </c>
      <c r="C16" s="3">
        <v>74</v>
      </c>
      <c r="D16" s="3">
        <v>55</v>
      </c>
      <c r="E16" s="36">
        <f t="shared" si="0"/>
        <v>74.32432432432432</v>
      </c>
      <c r="F16" s="3">
        <v>3</v>
      </c>
      <c r="G16" s="3">
        <v>40</v>
      </c>
      <c r="H16" s="3">
        <v>42</v>
      </c>
      <c r="I16" s="36">
        <f t="shared" si="1"/>
        <v>105</v>
      </c>
      <c r="J16" s="3">
        <v>41</v>
      </c>
      <c r="K16" s="3">
        <v>42</v>
      </c>
      <c r="L16" s="36">
        <f t="shared" si="2"/>
        <v>102.4390243902439</v>
      </c>
      <c r="M16" s="3"/>
      <c r="N16" s="3"/>
      <c r="O16" s="36"/>
      <c r="P16" s="3"/>
      <c r="Q16" s="3"/>
      <c r="R16" s="36"/>
      <c r="S16" s="3"/>
      <c r="T16" s="3"/>
      <c r="U16" s="36"/>
      <c r="AH16" s="91"/>
    </row>
    <row r="17" spans="1:34" s="20" customFormat="1" ht="24.75" customHeight="1">
      <c r="A17" s="3">
        <v>12</v>
      </c>
      <c r="B17" s="22" t="s">
        <v>69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8894</v>
      </c>
      <c r="N17" s="3">
        <v>9236</v>
      </c>
      <c r="O17" s="36">
        <f>N17*100/M17</f>
        <v>103.84528895884866</v>
      </c>
      <c r="P17" s="3">
        <v>217</v>
      </c>
      <c r="Q17" s="3">
        <v>240</v>
      </c>
      <c r="R17" s="36">
        <f>Q17*100/P17</f>
        <v>110.59907834101382</v>
      </c>
      <c r="S17" s="3">
        <v>451</v>
      </c>
      <c r="T17" s="3">
        <v>474</v>
      </c>
      <c r="U17" s="36">
        <f>T17*100/S17</f>
        <v>105.09977827050997</v>
      </c>
      <c r="AH17" s="91"/>
    </row>
    <row r="18" spans="1:34" s="20" customFormat="1" ht="24.75" customHeight="1">
      <c r="A18" s="3">
        <v>13</v>
      </c>
      <c r="B18" s="32" t="s">
        <v>78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91"/>
    </row>
    <row r="19" spans="1:34" s="20" customFormat="1" ht="24.75" customHeight="1">
      <c r="A19" s="3">
        <v>14</v>
      </c>
      <c r="B19" s="32" t="s">
        <v>91</v>
      </c>
      <c r="C19" s="3"/>
      <c r="D19" s="3"/>
      <c r="E19" s="36"/>
      <c r="F19" s="3"/>
      <c r="G19" s="3"/>
      <c r="H19" s="3"/>
      <c r="I19" s="36"/>
      <c r="J19" s="3"/>
      <c r="K19" s="3"/>
      <c r="L19" s="36"/>
      <c r="M19" s="3"/>
      <c r="N19" s="3">
        <v>95</v>
      </c>
      <c r="O19" s="36"/>
      <c r="P19" s="3"/>
      <c r="Q19" s="3">
        <v>10</v>
      </c>
      <c r="R19" s="36"/>
      <c r="S19" s="3"/>
      <c r="T19" s="3">
        <v>2</v>
      </c>
      <c r="U19" s="36"/>
      <c r="AH19" s="91"/>
    </row>
    <row r="20" spans="1:21" s="20" customFormat="1" ht="21.75" customHeight="1">
      <c r="A20" s="124" t="s">
        <v>11</v>
      </c>
      <c r="B20" s="125"/>
      <c r="C20" s="3">
        <f>SUM(C6:C17)</f>
        <v>3119</v>
      </c>
      <c r="D20" s="3">
        <f>SUM(D6:D17)</f>
        <v>2953</v>
      </c>
      <c r="E20" s="36">
        <f>D20*100/C20</f>
        <v>94.67778134017313</v>
      </c>
      <c r="F20" s="3">
        <f>SUM(F6:F17)</f>
        <v>148</v>
      </c>
      <c r="G20" s="3">
        <f>SUM(G6:G19)</f>
        <v>1282</v>
      </c>
      <c r="H20" s="3">
        <f>SUM(H6:H17)</f>
        <v>1298</v>
      </c>
      <c r="I20" s="36">
        <f>H20*100/G20</f>
        <v>101.24804992199688</v>
      </c>
      <c r="J20" s="3">
        <f>SUM(J6:J19)</f>
        <v>1236</v>
      </c>
      <c r="K20" s="3">
        <f>SUM(K6:K17)</f>
        <v>1298</v>
      </c>
      <c r="L20" s="36">
        <f t="shared" si="2"/>
        <v>105.01618122977347</v>
      </c>
      <c r="M20" s="3">
        <f>SUM(M9:M17)</f>
        <v>9743</v>
      </c>
      <c r="N20" s="3">
        <f>SUM(N6:N19)</f>
        <v>10151</v>
      </c>
      <c r="O20" s="36">
        <f>N20*100/M20</f>
        <v>104.18762188237709</v>
      </c>
      <c r="P20" s="3">
        <f>SUM(P6:P17)</f>
        <v>324</v>
      </c>
      <c r="Q20" s="3">
        <f>SUM(Q6:Q19)</f>
        <v>350</v>
      </c>
      <c r="R20" s="36">
        <f>Q20*100/P20</f>
        <v>108.0246913580247</v>
      </c>
      <c r="S20" s="3">
        <f>SUM(S6:S17)</f>
        <v>529</v>
      </c>
      <c r="T20" s="36">
        <f>SUM(T6:T19)</f>
        <v>508</v>
      </c>
      <c r="U20" s="36">
        <f>T20*100/S20</f>
        <v>96.03024574669188</v>
      </c>
    </row>
  </sheetData>
  <sheetProtection/>
  <mergeCells count="19"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  <mergeCell ref="A20:B20"/>
    <mergeCell ref="J3:L3"/>
    <mergeCell ref="J4:J5"/>
    <mergeCell ref="K4:K5"/>
    <mergeCell ref="L4:L5"/>
    <mergeCell ref="M3:U3"/>
    <mergeCell ref="O4:O5"/>
    <mergeCell ref="N4:N5"/>
    <mergeCell ref="R4:R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view="pageBreakPreview" zoomScale="75" zoomScaleNormal="75" zoomScaleSheetLayoutView="75" zoomScalePageLayoutView="0" workbookViewId="0" topLeftCell="A1">
      <selection activeCell="K10" sqref="K10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107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64" t="s">
        <v>59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12.75">
      <c r="A4" s="134" t="s">
        <v>2</v>
      </c>
      <c r="B4" s="136" t="s">
        <v>3</v>
      </c>
      <c r="C4" s="140" t="s">
        <v>87</v>
      </c>
      <c r="D4" s="173"/>
      <c r="E4" s="170"/>
      <c r="F4" s="165" t="s">
        <v>70</v>
      </c>
      <c r="G4" s="166"/>
      <c r="H4" s="165" t="s">
        <v>86</v>
      </c>
      <c r="I4" s="169"/>
      <c r="J4" s="170"/>
      <c r="K4" s="165" t="s">
        <v>84</v>
      </c>
      <c r="L4" s="166"/>
      <c r="M4" s="165" t="s">
        <v>85</v>
      </c>
      <c r="N4" s="166"/>
    </row>
    <row r="5" spans="1:14" ht="31.5" customHeight="1">
      <c r="A5" s="162"/>
      <c r="B5" s="137"/>
      <c r="C5" s="174"/>
      <c r="D5" s="175"/>
      <c r="E5" s="176"/>
      <c r="F5" s="167"/>
      <c r="G5" s="168"/>
      <c r="H5" s="167"/>
      <c r="I5" s="171"/>
      <c r="J5" s="172"/>
      <c r="K5" s="167"/>
      <c r="L5" s="168"/>
      <c r="M5" s="167"/>
      <c r="N5" s="168"/>
    </row>
    <row r="6" spans="1:14" ht="30">
      <c r="A6" s="135"/>
      <c r="B6" s="138"/>
      <c r="C6" s="3">
        <v>2010</v>
      </c>
      <c r="D6" s="19">
        <v>2011</v>
      </c>
      <c r="E6" s="101" t="s">
        <v>98</v>
      </c>
      <c r="F6" s="3">
        <v>2010</v>
      </c>
      <c r="G6" s="19">
        <v>2011</v>
      </c>
      <c r="H6" s="3">
        <v>2010</v>
      </c>
      <c r="I6" s="19">
        <v>2011</v>
      </c>
      <c r="J6" s="101" t="s">
        <v>98</v>
      </c>
      <c r="K6" s="22" t="s">
        <v>1</v>
      </c>
      <c r="L6" s="24" t="s">
        <v>35</v>
      </c>
      <c r="M6" s="38" t="s">
        <v>47</v>
      </c>
      <c r="N6" s="51" t="s">
        <v>48</v>
      </c>
    </row>
    <row r="7" spans="1:14" ht="16.5" customHeight="1">
      <c r="A7" s="31">
        <v>1</v>
      </c>
      <c r="B7" s="22" t="s">
        <v>64</v>
      </c>
      <c r="C7" s="31">
        <v>559</v>
      </c>
      <c r="D7" s="31">
        <v>468</v>
      </c>
      <c r="E7" s="31">
        <f>D7-C7</f>
        <v>-91</v>
      </c>
      <c r="F7" s="31">
        <v>319</v>
      </c>
      <c r="G7" s="31">
        <v>259</v>
      </c>
      <c r="H7" s="78">
        <f>F7*100/27</f>
        <v>1181.4814814814815</v>
      </c>
      <c r="I7" s="78">
        <f>G7*100/20</f>
        <v>1295</v>
      </c>
      <c r="J7" s="77">
        <f>I7-H7</f>
        <v>113.51851851851848</v>
      </c>
      <c r="K7" s="31">
        <v>58</v>
      </c>
      <c r="L7" s="31">
        <v>28</v>
      </c>
      <c r="M7" s="99">
        <f>G7/L7</f>
        <v>9.25</v>
      </c>
      <c r="N7" s="99">
        <f>(D7-G7)/(K7-L7)</f>
        <v>6.966666666666667</v>
      </c>
    </row>
    <row r="8" spans="1:15" ht="16.5" customHeight="1">
      <c r="A8" s="31">
        <v>2</v>
      </c>
      <c r="B8" s="31" t="s">
        <v>65</v>
      </c>
      <c r="C8" s="31">
        <v>541</v>
      </c>
      <c r="D8" s="31">
        <v>374</v>
      </c>
      <c r="E8" s="31">
        <f>D8-C8</f>
        <v>-167</v>
      </c>
      <c r="F8" s="31">
        <v>471</v>
      </c>
      <c r="G8" s="31">
        <v>362</v>
      </c>
      <c r="H8" s="78">
        <f>F8*100/80</f>
        <v>588.75</v>
      </c>
      <c r="I8" s="78">
        <f>G8*100/80</f>
        <v>452.5</v>
      </c>
      <c r="J8" s="77">
        <f>I8-H8</f>
        <v>-136.25</v>
      </c>
      <c r="K8" s="32">
        <v>49</v>
      </c>
      <c r="L8" s="32">
        <v>47</v>
      </c>
      <c r="M8" s="99">
        <f>G8/L8</f>
        <v>7.702127659574468</v>
      </c>
      <c r="N8" s="99">
        <f>(D8-G8)/(K8-L8)</f>
        <v>6</v>
      </c>
      <c r="O8" s="15"/>
    </row>
    <row r="9" spans="1:14" ht="16.5" customHeight="1">
      <c r="A9" s="31">
        <v>3</v>
      </c>
      <c r="B9" s="32" t="s">
        <v>69</v>
      </c>
      <c r="C9" s="31">
        <v>6471</v>
      </c>
      <c r="D9" s="31">
        <v>8725</v>
      </c>
      <c r="E9" s="31">
        <f>D9-C9</f>
        <v>2254</v>
      </c>
      <c r="F9" s="31">
        <v>4335</v>
      </c>
      <c r="G9" s="31">
        <v>4987</v>
      </c>
      <c r="H9" s="78">
        <f>F9*100/200</f>
        <v>2167.5</v>
      </c>
      <c r="I9" s="78">
        <f>G9*100/226</f>
        <v>2206.637168141593</v>
      </c>
      <c r="J9" s="77">
        <f>I9-H9</f>
        <v>39.137168141593065</v>
      </c>
      <c r="K9" s="32">
        <v>991</v>
      </c>
      <c r="L9" s="32">
        <v>540</v>
      </c>
      <c r="M9" s="123">
        <f>G9/L9</f>
        <v>9.235185185185186</v>
      </c>
      <c r="N9" s="123">
        <f>(D9-G9)/(K9-L9)</f>
        <v>8.288248337028826</v>
      </c>
    </row>
    <row r="10" spans="1:14" ht="16.5" customHeight="1">
      <c r="A10" s="31">
        <v>4</v>
      </c>
      <c r="B10" s="32" t="s">
        <v>91</v>
      </c>
      <c r="C10" s="31"/>
      <c r="D10" s="31">
        <v>25</v>
      </c>
      <c r="E10" s="31"/>
      <c r="F10" s="31"/>
      <c r="G10" s="31">
        <v>25</v>
      </c>
      <c r="H10" s="78"/>
      <c r="I10" s="78">
        <f>G10*100/11</f>
        <v>227.27272727272728</v>
      </c>
      <c r="J10" s="77"/>
      <c r="K10" s="32">
        <v>4</v>
      </c>
      <c r="L10" s="32">
        <v>4</v>
      </c>
      <c r="M10" s="99">
        <f>G10/L10</f>
        <v>6.25</v>
      </c>
      <c r="N10" s="99"/>
    </row>
    <row r="11" spans="1:14" ht="15" customHeight="1">
      <c r="A11" s="163" t="s">
        <v>11</v>
      </c>
      <c r="B11" s="163"/>
      <c r="C11" s="31">
        <f>SUM(C7:C9)</f>
        <v>7571</v>
      </c>
      <c r="D11" s="31">
        <f>SUM(D7:D10)</f>
        <v>9592</v>
      </c>
      <c r="E11" s="31">
        <f>D11-C11</f>
        <v>2021</v>
      </c>
      <c r="F11" s="31">
        <f>SUM(F7:F9)</f>
        <v>5125</v>
      </c>
      <c r="G11" s="31">
        <f>SUM(G7:G10)</f>
        <v>5633</v>
      </c>
      <c r="H11" s="78">
        <f>F11*100/307</f>
        <v>1669.3811074918567</v>
      </c>
      <c r="I11" s="78">
        <f>G11*100/337</f>
        <v>1671.513353115727</v>
      </c>
      <c r="J11" s="77">
        <f>I11-H11</f>
        <v>2.1322456238704035</v>
      </c>
      <c r="K11" s="77">
        <f>SUM(K7:K10)</f>
        <v>1102</v>
      </c>
      <c r="L11" s="77">
        <f>SUM(L7:L10)</f>
        <v>619</v>
      </c>
      <c r="M11" s="99">
        <f>G11/L11</f>
        <v>9.10016155088853</v>
      </c>
      <c r="N11" s="99">
        <f>(D11-G11)/(K11-L11)</f>
        <v>8.196687370600413</v>
      </c>
    </row>
    <row r="13" spans="2:17" ht="12.7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17" ht="15">
      <c r="B14" s="75"/>
      <c r="C14" s="118"/>
      <c r="D14" s="118"/>
      <c r="E14" s="118"/>
      <c r="F14" s="118"/>
      <c r="G14" s="118"/>
      <c r="H14" s="119"/>
      <c r="I14" s="120"/>
      <c r="J14" s="119"/>
      <c r="K14" s="118"/>
      <c r="L14" s="118"/>
      <c r="M14" s="121"/>
      <c r="N14" s="121"/>
      <c r="O14" s="75"/>
      <c r="P14" s="75"/>
      <c r="Q14" s="75"/>
    </row>
    <row r="15" spans="2:17" ht="15">
      <c r="B15" s="75"/>
      <c r="C15" s="118"/>
      <c r="D15" s="118"/>
      <c r="E15" s="118"/>
      <c r="F15" s="118"/>
      <c r="G15" s="118"/>
      <c r="H15" s="120"/>
      <c r="I15" s="120"/>
      <c r="J15" s="119"/>
      <c r="K15" s="122"/>
      <c r="L15" s="122"/>
      <c r="M15" s="121"/>
      <c r="N15" s="121"/>
      <c r="O15" s="75"/>
      <c r="P15" s="75"/>
      <c r="Q15" s="75"/>
    </row>
    <row r="16" spans="2:17" ht="15">
      <c r="B16" s="75"/>
      <c r="C16" s="118"/>
      <c r="D16" s="118"/>
      <c r="E16" s="118"/>
      <c r="F16" s="118"/>
      <c r="G16" s="118"/>
      <c r="H16" s="119"/>
      <c r="I16" s="120"/>
      <c r="J16" s="119"/>
      <c r="K16" s="122"/>
      <c r="L16" s="122"/>
      <c r="M16" s="121"/>
      <c r="N16" s="121"/>
      <c r="O16" s="75"/>
      <c r="P16" s="75"/>
      <c r="Q16" s="75"/>
    </row>
    <row r="17" spans="2:17" ht="15">
      <c r="B17" s="75"/>
      <c r="C17" s="118"/>
      <c r="D17" s="118"/>
      <c r="E17" s="118"/>
      <c r="F17" s="118"/>
      <c r="G17" s="118"/>
      <c r="H17" s="119"/>
      <c r="I17" s="120"/>
      <c r="J17" s="119"/>
      <c r="K17" s="122"/>
      <c r="L17" s="122"/>
      <c r="M17" s="121"/>
      <c r="N17" s="121"/>
      <c r="O17" s="75"/>
      <c r="P17" s="75"/>
      <c r="Q17" s="75"/>
    </row>
    <row r="18" spans="2:17" ht="15">
      <c r="B18" s="75"/>
      <c r="C18" s="118"/>
      <c r="D18" s="118"/>
      <c r="E18" s="118"/>
      <c r="F18" s="118"/>
      <c r="G18" s="118"/>
      <c r="H18" s="119"/>
      <c r="I18" s="120"/>
      <c r="J18" s="119"/>
      <c r="K18" s="122"/>
      <c r="L18" s="122"/>
      <c r="M18" s="121"/>
      <c r="N18" s="121"/>
      <c r="O18" s="75"/>
      <c r="P18" s="75"/>
      <c r="Q18" s="75"/>
    </row>
    <row r="19" spans="2:17" ht="15">
      <c r="B19" s="75"/>
      <c r="C19" s="118"/>
      <c r="D19" s="118"/>
      <c r="E19" s="118"/>
      <c r="F19" s="118"/>
      <c r="G19" s="118"/>
      <c r="H19" s="119"/>
      <c r="I19" s="120"/>
      <c r="J19" s="119"/>
      <c r="K19" s="120"/>
      <c r="L19" s="120"/>
      <c r="M19" s="121"/>
      <c r="N19" s="121"/>
      <c r="O19" s="75"/>
      <c r="P19" s="75"/>
      <c r="Q19" s="75"/>
    </row>
    <row r="20" spans="2:17" ht="15">
      <c r="B20" s="75"/>
      <c r="C20" s="118"/>
      <c r="D20" s="118"/>
      <c r="E20" s="118"/>
      <c r="F20" s="118"/>
      <c r="G20" s="118"/>
      <c r="H20" s="119"/>
      <c r="I20" s="120"/>
      <c r="J20" s="119"/>
      <c r="K20" s="122"/>
      <c r="L20" s="122"/>
      <c r="M20" s="121"/>
      <c r="N20" s="121"/>
      <c r="O20" s="75"/>
      <c r="P20" s="75"/>
      <c r="Q20" s="75"/>
    </row>
    <row r="21" spans="2:17" ht="15">
      <c r="B21" s="75"/>
      <c r="C21" s="118"/>
      <c r="D21" s="118"/>
      <c r="E21" s="118"/>
      <c r="F21" s="118"/>
      <c r="G21" s="118"/>
      <c r="H21" s="120"/>
      <c r="I21" s="120"/>
      <c r="J21" s="119"/>
      <c r="K21" s="122"/>
      <c r="L21" s="122"/>
      <c r="M21" s="121"/>
      <c r="N21" s="121"/>
      <c r="O21" s="75"/>
      <c r="P21" s="75"/>
      <c r="Q21" s="75"/>
    </row>
    <row r="22" spans="2:17" ht="12.7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 ht="12.7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 ht="12.7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</sheetData>
  <sheetProtection/>
  <mergeCells count="9">
    <mergeCell ref="A11:B11"/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zoomScalePageLayoutView="0" workbookViewId="0" topLeftCell="A1">
      <selection activeCell="L60" sqref="L60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>
      <c r="A1" s="20"/>
      <c r="B1" s="20"/>
      <c r="C1" s="1" t="s">
        <v>108</v>
      </c>
      <c r="D1" s="1"/>
      <c r="E1" s="1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34" t="s">
        <v>2</v>
      </c>
      <c r="B2" s="134" t="s">
        <v>3</v>
      </c>
      <c r="C2" s="24" t="s">
        <v>37</v>
      </c>
      <c r="D2" s="25"/>
      <c r="E2" s="27"/>
      <c r="F2" s="49" t="s">
        <v>38</v>
      </c>
      <c r="G2" s="25"/>
      <c r="H2" s="27"/>
      <c r="I2" s="24" t="s">
        <v>39</v>
      </c>
      <c r="J2" s="25"/>
      <c r="K2" s="27"/>
      <c r="L2" s="24" t="s">
        <v>40</v>
      </c>
      <c r="M2" s="25"/>
      <c r="N2" s="27"/>
    </row>
    <row r="3" spans="1:14" ht="15">
      <c r="A3" s="162"/>
      <c r="B3" s="162"/>
      <c r="C3" s="18">
        <v>2010</v>
      </c>
      <c r="D3" s="19">
        <v>2011</v>
      </c>
      <c r="E3" s="9" t="s">
        <v>36</v>
      </c>
      <c r="F3" s="18">
        <v>2010</v>
      </c>
      <c r="G3" s="19">
        <v>2011</v>
      </c>
      <c r="H3" s="9" t="s">
        <v>36</v>
      </c>
      <c r="I3" s="18">
        <v>2010</v>
      </c>
      <c r="J3" s="19">
        <v>2011</v>
      </c>
      <c r="K3" s="9" t="s">
        <v>36</v>
      </c>
      <c r="L3" s="18">
        <v>2010</v>
      </c>
      <c r="M3" s="19">
        <v>2011</v>
      </c>
      <c r="N3" s="9" t="s">
        <v>36</v>
      </c>
    </row>
    <row r="4" spans="1:14" ht="15">
      <c r="A4" s="135"/>
      <c r="B4" s="135"/>
      <c r="C4" s="29"/>
      <c r="D4" s="29"/>
      <c r="E4" s="45" t="s">
        <v>97</v>
      </c>
      <c r="F4" s="29"/>
      <c r="G4" s="29"/>
      <c r="H4" s="45" t="s">
        <v>97</v>
      </c>
      <c r="I4" s="29"/>
      <c r="J4" s="29"/>
      <c r="K4" s="45" t="s">
        <v>97</v>
      </c>
      <c r="L4" s="29"/>
      <c r="M4" s="29"/>
      <c r="N4" s="45" t="s">
        <v>97</v>
      </c>
    </row>
    <row r="5" spans="1:14" ht="16.5" customHeight="1">
      <c r="A5" s="31">
        <v>1</v>
      </c>
      <c r="B5" s="31" t="s">
        <v>61</v>
      </c>
      <c r="C5" s="12">
        <v>130</v>
      </c>
      <c r="D5" s="12">
        <v>149</v>
      </c>
      <c r="E5" s="16">
        <f aca="true" t="shared" si="0" ref="E5:E15">D5-C5</f>
        <v>19</v>
      </c>
      <c r="F5" s="12">
        <v>23</v>
      </c>
      <c r="G5" s="12">
        <v>6</v>
      </c>
      <c r="H5" s="16">
        <f aca="true" t="shared" si="1" ref="H5:H15">G5-F5</f>
        <v>-17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62</v>
      </c>
      <c r="C6" s="12">
        <v>132</v>
      </c>
      <c r="D6" s="12">
        <v>146</v>
      </c>
      <c r="E6" s="16">
        <f t="shared" si="0"/>
        <v>14</v>
      </c>
      <c r="F6" s="12">
        <v>19</v>
      </c>
      <c r="G6" s="12">
        <v>9</v>
      </c>
      <c r="H6" s="16">
        <f t="shared" si="1"/>
        <v>-10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63</v>
      </c>
      <c r="C7" s="12">
        <v>36</v>
      </c>
      <c r="D7" s="12">
        <v>33</v>
      </c>
      <c r="E7" s="16">
        <f t="shared" si="0"/>
        <v>-3</v>
      </c>
      <c r="F7" s="12">
        <v>2</v>
      </c>
      <c r="G7" s="12">
        <v>2</v>
      </c>
      <c r="H7" s="16">
        <f t="shared" si="1"/>
        <v>0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64</v>
      </c>
      <c r="C8" s="12">
        <v>224</v>
      </c>
      <c r="D8" s="12">
        <v>203</v>
      </c>
      <c r="E8" s="16">
        <f t="shared" si="0"/>
        <v>-21</v>
      </c>
      <c r="F8" s="12">
        <v>14</v>
      </c>
      <c r="G8" s="12">
        <v>18</v>
      </c>
      <c r="H8" s="16">
        <f t="shared" si="1"/>
        <v>4</v>
      </c>
      <c r="I8" s="16">
        <v>80</v>
      </c>
      <c r="J8" s="16">
        <v>79</v>
      </c>
      <c r="K8" s="12">
        <f>J8-I8</f>
        <v>-1</v>
      </c>
      <c r="L8" s="12">
        <v>21</v>
      </c>
      <c r="M8" s="12">
        <v>36</v>
      </c>
      <c r="N8" s="12">
        <f>M8-L8</f>
        <v>15</v>
      </c>
    </row>
    <row r="9" spans="1:14" ht="16.5" customHeight="1">
      <c r="A9" s="31">
        <v>5</v>
      </c>
      <c r="B9" s="31" t="s">
        <v>65</v>
      </c>
      <c r="C9" s="12">
        <v>207</v>
      </c>
      <c r="D9" s="12">
        <v>173</v>
      </c>
      <c r="E9" s="16">
        <f t="shared" si="0"/>
        <v>-34</v>
      </c>
      <c r="F9" s="12">
        <v>28</v>
      </c>
      <c r="G9" s="12"/>
      <c r="H9" s="16">
        <f t="shared" si="1"/>
        <v>-28</v>
      </c>
      <c r="I9" s="12">
        <v>207</v>
      </c>
      <c r="J9" s="12">
        <v>101</v>
      </c>
      <c r="K9" s="12">
        <f>J9-I9</f>
        <v>-106</v>
      </c>
      <c r="L9" s="12">
        <v>40</v>
      </c>
      <c r="M9" s="16">
        <v>10</v>
      </c>
      <c r="N9" s="12">
        <f>M9-L9</f>
        <v>-30</v>
      </c>
    </row>
    <row r="10" spans="1:14" ht="16.5" customHeight="1">
      <c r="A10" s="31">
        <v>6</v>
      </c>
      <c r="B10" s="32" t="s">
        <v>81</v>
      </c>
      <c r="C10" s="12">
        <v>81</v>
      </c>
      <c r="D10" s="12">
        <v>39</v>
      </c>
      <c r="E10" s="16">
        <f t="shared" si="0"/>
        <v>-42</v>
      </c>
      <c r="F10" s="12">
        <v>8</v>
      </c>
      <c r="G10" s="12">
        <v>2</v>
      </c>
      <c r="H10" s="16">
        <f t="shared" si="1"/>
        <v>-6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66</v>
      </c>
      <c r="C11" s="12">
        <v>51</v>
      </c>
      <c r="D11" s="12">
        <v>58</v>
      </c>
      <c r="E11" s="16">
        <f t="shared" si="0"/>
        <v>7</v>
      </c>
      <c r="F11" s="12">
        <v>12</v>
      </c>
      <c r="G11" s="12">
        <v>2</v>
      </c>
      <c r="H11" s="16">
        <f t="shared" si="1"/>
        <v>-10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102</v>
      </c>
      <c r="C12" s="12"/>
      <c r="D12" s="12">
        <v>5</v>
      </c>
      <c r="E12" s="16"/>
      <c r="F12" s="12"/>
      <c r="G12" s="12">
        <v>5</v>
      </c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80</v>
      </c>
      <c r="C13" s="12">
        <v>89</v>
      </c>
      <c r="D13" s="12">
        <v>91</v>
      </c>
      <c r="E13" s="16">
        <f t="shared" si="0"/>
        <v>2</v>
      </c>
      <c r="F13" s="12">
        <v>21</v>
      </c>
      <c r="G13" s="12">
        <v>10</v>
      </c>
      <c r="H13" s="16">
        <f t="shared" si="1"/>
        <v>-11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67</v>
      </c>
      <c r="C14" s="12">
        <v>97</v>
      </c>
      <c r="D14" s="12">
        <v>80</v>
      </c>
      <c r="E14" s="16">
        <f t="shared" si="0"/>
        <v>-17</v>
      </c>
      <c r="F14" s="12">
        <v>28</v>
      </c>
      <c r="G14" s="12">
        <v>18</v>
      </c>
      <c r="H14" s="16">
        <f t="shared" si="1"/>
        <v>-10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68</v>
      </c>
      <c r="C15" s="12">
        <v>36</v>
      </c>
      <c r="D15" s="12">
        <v>44</v>
      </c>
      <c r="E15" s="16">
        <f t="shared" si="0"/>
        <v>8</v>
      </c>
      <c r="F15" s="12"/>
      <c r="G15" s="12">
        <v>5</v>
      </c>
      <c r="H15" s="16">
        <f t="shared" si="1"/>
        <v>5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69</v>
      </c>
      <c r="C16" s="16"/>
      <c r="D16" s="16"/>
      <c r="E16" s="16"/>
      <c r="F16" s="16"/>
      <c r="G16" s="16"/>
      <c r="H16" s="16"/>
      <c r="I16" s="12">
        <v>1685</v>
      </c>
      <c r="J16" s="12">
        <v>1678</v>
      </c>
      <c r="K16" s="12">
        <f>J16-I16</f>
        <v>-7</v>
      </c>
      <c r="L16" s="12">
        <v>660</v>
      </c>
      <c r="M16" s="12">
        <v>697</v>
      </c>
      <c r="N16" s="12">
        <f>M16-L16</f>
        <v>37</v>
      </c>
    </row>
    <row r="17" spans="1:14" ht="16.5" customHeight="1">
      <c r="A17" s="31">
        <v>13</v>
      </c>
      <c r="B17" s="32" t="s">
        <v>91</v>
      </c>
      <c r="C17" s="12"/>
      <c r="D17" s="16"/>
      <c r="E17" s="16"/>
      <c r="F17" s="16"/>
      <c r="G17" s="16"/>
      <c r="H17" s="16"/>
      <c r="I17" s="12"/>
      <c r="J17" s="12">
        <v>7</v>
      </c>
      <c r="K17" s="12"/>
      <c r="L17" s="12"/>
      <c r="M17" s="12"/>
      <c r="N17" s="12"/>
    </row>
    <row r="18" spans="1:14" ht="21" customHeight="1">
      <c r="A18" s="124" t="s">
        <v>11</v>
      </c>
      <c r="B18" s="125"/>
      <c r="C18" s="12">
        <f>SUM(C5:C15)</f>
        <v>1083</v>
      </c>
      <c r="D18" s="12">
        <f>SUM(D5:D17)</f>
        <v>1021</v>
      </c>
      <c r="E18" s="12">
        <f>D18-C18</f>
        <v>-62</v>
      </c>
      <c r="F18" s="12">
        <f>SUM(F5:F16)</f>
        <v>155</v>
      </c>
      <c r="G18" s="12">
        <f>SUM(G5:G17)</f>
        <v>77</v>
      </c>
      <c r="H18" s="12">
        <f>G18-F18</f>
        <v>-78</v>
      </c>
      <c r="I18" s="12">
        <f>SUM(I5:I16)</f>
        <v>1972</v>
      </c>
      <c r="J18" s="12">
        <f>SUM(J5:J17)</f>
        <v>1865</v>
      </c>
      <c r="K18" s="12">
        <f>J18-I18</f>
        <v>-107</v>
      </c>
      <c r="L18" s="12">
        <f>SUM(L8:L16)</f>
        <v>721</v>
      </c>
      <c r="M18" s="12">
        <f>SUM(M5:M17)</f>
        <v>743</v>
      </c>
      <c r="N18" s="12">
        <f>M18-L18</f>
        <v>22</v>
      </c>
    </row>
  </sheetData>
  <sheetProtection/>
  <mergeCells count="3">
    <mergeCell ref="B2:B4"/>
    <mergeCell ref="A2:A4"/>
    <mergeCell ref="A18:B18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zoomScalePageLayoutView="0" workbookViewId="0" topLeftCell="A1">
      <selection activeCell="I11" sqref="I11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7" t="s">
        <v>109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>
      <c r="A2" s="164" t="s">
        <v>88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139" t="s">
        <v>2</v>
      </c>
      <c r="B4" s="139" t="s">
        <v>3</v>
      </c>
      <c r="C4" s="24" t="s">
        <v>27</v>
      </c>
      <c r="D4" s="25"/>
      <c r="E4" s="27"/>
      <c r="F4" s="5" t="s">
        <v>28</v>
      </c>
      <c r="G4" s="7"/>
      <c r="H4" s="23" t="s">
        <v>30</v>
      </c>
      <c r="I4" s="34" t="s">
        <v>31</v>
      </c>
      <c r="J4" s="21"/>
      <c r="K4" s="23" t="s">
        <v>30</v>
      </c>
      <c r="L4" s="50" t="s">
        <v>33</v>
      </c>
      <c r="M4" s="21"/>
      <c r="N4" s="23" t="s">
        <v>30</v>
      </c>
    </row>
    <row r="5" spans="1:14" ht="15">
      <c r="A5" s="179"/>
      <c r="B5" s="179"/>
      <c r="C5" s="18">
        <v>2010</v>
      </c>
      <c r="D5" s="19">
        <v>2011</v>
      </c>
      <c r="E5" s="19" t="s">
        <v>94</v>
      </c>
      <c r="F5" s="18">
        <v>2010</v>
      </c>
      <c r="G5" s="19">
        <v>2011</v>
      </c>
      <c r="H5" s="44" t="s">
        <v>29</v>
      </c>
      <c r="I5" s="30" t="s">
        <v>32</v>
      </c>
      <c r="J5" s="28"/>
      <c r="K5" s="44" t="s">
        <v>29</v>
      </c>
      <c r="L5" s="52" t="s">
        <v>34</v>
      </c>
      <c r="M5" s="28"/>
      <c r="N5" s="44" t="s">
        <v>29</v>
      </c>
    </row>
    <row r="6" spans="1:14" ht="15">
      <c r="A6" s="179"/>
      <c r="B6" s="179"/>
      <c r="C6" s="40"/>
      <c r="D6" s="11"/>
      <c r="E6" s="11" t="s">
        <v>95</v>
      </c>
      <c r="F6" s="29"/>
      <c r="G6" s="28"/>
      <c r="H6" s="29" t="s">
        <v>96</v>
      </c>
      <c r="I6" s="18">
        <v>2010</v>
      </c>
      <c r="J6" s="19">
        <v>2011</v>
      </c>
      <c r="K6" s="29" t="s">
        <v>96</v>
      </c>
      <c r="L6" s="18">
        <v>2010</v>
      </c>
      <c r="M6" s="19">
        <v>2011</v>
      </c>
      <c r="N6" s="29" t="s">
        <v>96</v>
      </c>
    </row>
    <row r="7" spans="1:14" ht="16.5" customHeight="1">
      <c r="A7" s="31">
        <v>1</v>
      </c>
      <c r="B7" s="31" t="s">
        <v>61</v>
      </c>
      <c r="C7" s="36">
        <v>127</v>
      </c>
      <c r="D7" s="36">
        <v>128</v>
      </c>
      <c r="E7" s="36">
        <f aca="true" t="shared" si="0" ref="E7:E18">D7*100/C7</f>
        <v>100.78740157480316</v>
      </c>
      <c r="F7" s="36">
        <v>127</v>
      </c>
      <c r="G7" s="36">
        <v>120</v>
      </c>
      <c r="H7" s="36">
        <f aca="true" t="shared" si="1" ref="H7:H18">G7-F7</f>
        <v>-7</v>
      </c>
      <c r="I7" s="36">
        <f>F7*100/180</f>
        <v>70.55555555555556</v>
      </c>
      <c r="J7" s="36">
        <f>G7*100/180</f>
        <v>66.66666666666667</v>
      </c>
      <c r="K7" s="36">
        <f aca="true" t="shared" si="2" ref="K7:K18">J7-I7</f>
        <v>-3.8888888888888857</v>
      </c>
      <c r="L7" s="36">
        <f>(C7-F7)*100/180</f>
        <v>0</v>
      </c>
      <c r="M7" s="36">
        <f>(D7-G7)*100/180</f>
        <v>4.444444444444445</v>
      </c>
      <c r="N7" s="36">
        <f>M7-L7</f>
        <v>4.444444444444445</v>
      </c>
    </row>
    <row r="8" spans="1:14" ht="16.5" customHeight="1">
      <c r="A8" s="31">
        <v>2</v>
      </c>
      <c r="B8" s="31" t="s">
        <v>62</v>
      </c>
      <c r="C8" s="36">
        <v>70</v>
      </c>
      <c r="D8" s="36">
        <v>100</v>
      </c>
      <c r="E8" s="36">
        <f t="shared" si="0"/>
        <v>142.85714285714286</v>
      </c>
      <c r="F8" s="36">
        <v>67</v>
      </c>
      <c r="G8" s="36">
        <v>91</v>
      </c>
      <c r="H8" s="36">
        <f t="shared" si="1"/>
        <v>24</v>
      </c>
      <c r="I8" s="36">
        <f>F8*100/105</f>
        <v>63.80952380952381</v>
      </c>
      <c r="J8" s="36">
        <f>G8*100/105</f>
        <v>86.66666666666667</v>
      </c>
      <c r="K8" s="36">
        <f>J8-I8</f>
        <v>22.85714285714286</v>
      </c>
      <c r="L8" s="36">
        <f>(C8-F8)*100/105</f>
        <v>2.857142857142857</v>
      </c>
      <c r="M8" s="36">
        <f>(D8-G8)*100/105</f>
        <v>8.571428571428571</v>
      </c>
      <c r="N8" s="36">
        <f>M8-L8</f>
        <v>5.7142857142857135</v>
      </c>
    </row>
    <row r="9" spans="1:14" ht="16.5" customHeight="1">
      <c r="A9" s="31">
        <v>3</v>
      </c>
      <c r="B9" s="31" t="s">
        <v>63</v>
      </c>
      <c r="C9" s="36">
        <v>37</v>
      </c>
      <c r="D9" s="36">
        <v>42</v>
      </c>
      <c r="E9" s="36">
        <f t="shared" si="0"/>
        <v>113.51351351351352</v>
      </c>
      <c r="F9" s="36">
        <v>35</v>
      </c>
      <c r="G9" s="36">
        <v>37</v>
      </c>
      <c r="H9" s="36">
        <f t="shared" si="1"/>
        <v>2</v>
      </c>
      <c r="I9" s="36">
        <f>F9*100/54</f>
        <v>64.81481481481481</v>
      </c>
      <c r="J9" s="36">
        <f>G9*100/60</f>
        <v>61.666666666666664</v>
      </c>
      <c r="K9" s="36">
        <f>J9-I9</f>
        <v>-3.1481481481481453</v>
      </c>
      <c r="L9" s="36">
        <f>(C9-F9)*100/54</f>
        <v>3.7037037037037037</v>
      </c>
      <c r="M9" s="36">
        <f>(D9-G9)*100/60</f>
        <v>8.333333333333334</v>
      </c>
      <c r="N9" s="36">
        <f>M9-L9</f>
        <v>4.62962962962963</v>
      </c>
    </row>
    <row r="10" spans="1:14" ht="16.5" customHeight="1">
      <c r="A10" s="31">
        <v>4</v>
      </c>
      <c r="B10" s="22" t="s">
        <v>64</v>
      </c>
      <c r="C10" s="36">
        <v>120</v>
      </c>
      <c r="D10" s="36">
        <v>144</v>
      </c>
      <c r="E10" s="36">
        <f t="shared" si="0"/>
        <v>120</v>
      </c>
      <c r="F10" s="36">
        <v>114</v>
      </c>
      <c r="G10" s="36">
        <v>114</v>
      </c>
      <c r="H10" s="36">
        <f t="shared" si="1"/>
        <v>0</v>
      </c>
      <c r="I10" s="36">
        <f>F10*100/304</f>
        <v>37.5</v>
      </c>
      <c r="J10" s="36">
        <f>G10*100/308</f>
        <v>37.01298701298701</v>
      </c>
      <c r="K10" s="36">
        <f t="shared" si="2"/>
        <v>-0.4870129870129887</v>
      </c>
      <c r="L10" s="36">
        <f>(C10-F10)*100/304</f>
        <v>1.9736842105263157</v>
      </c>
      <c r="M10" s="36">
        <f>(D10-G10)*100/308</f>
        <v>9.74025974025974</v>
      </c>
      <c r="N10" s="36">
        <f aca="true" t="shared" si="3" ref="N10:N18">M10-L10</f>
        <v>7.766575529733424</v>
      </c>
    </row>
    <row r="11" spans="1:14" ht="16.5" customHeight="1">
      <c r="A11" s="31">
        <v>5</v>
      </c>
      <c r="B11" s="31" t="s">
        <v>65</v>
      </c>
      <c r="C11" s="36">
        <v>127</v>
      </c>
      <c r="D11" s="36">
        <v>81</v>
      </c>
      <c r="E11" s="36">
        <f t="shared" si="0"/>
        <v>63.77952755905512</v>
      </c>
      <c r="F11" s="36">
        <v>105</v>
      </c>
      <c r="G11" s="36">
        <v>73</v>
      </c>
      <c r="H11" s="36">
        <f t="shared" si="1"/>
        <v>-32</v>
      </c>
      <c r="I11" s="36">
        <f>F11*100/250</f>
        <v>42</v>
      </c>
      <c r="J11" s="36">
        <f>G11*100/280</f>
        <v>26.071428571428573</v>
      </c>
      <c r="K11" s="36">
        <f t="shared" si="2"/>
        <v>-15.928571428571427</v>
      </c>
      <c r="L11" s="36">
        <f>(C11-F11)*100/250</f>
        <v>8.8</v>
      </c>
      <c r="M11" s="36">
        <f>(D11-G11)*100/280</f>
        <v>2.857142857142857</v>
      </c>
      <c r="N11" s="36">
        <f t="shared" si="3"/>
        <v>-5.942857142857143</v>
      </c>
    </row>
    <row r="12" spans="1:14" ht="16.5" customHeight="1">
      <c r="A12" s="31">
        <v>6</v>
      </c>
      <c r="B12" s="32" t="s">
        <v>81</v>
      </c>
      <c r="C12" s="94">
        <v>76</v>
      </c>
      <c r="D12" s="94">
        <v>69</v>
      </c>
      <c r="E12" s="36">
        <f t="shared" si="0"/>
        <v>90.78947368421052</v>
      </c>
      <c r="F12" s="94">
        <v>71</v>
      </c>
      <c r="G12" s="94">
        <v>63</v>
      </c>
      <c r="H12" s="36">
        <f t="shared" si="1"/>
        <v>-8</v>
      </c>
      <c r="I12" s="94">
        <f>F12*100/85</f>
        <v>83.52941176470588</v>
      </c>
      <c r="J12" s="94">
        <f>G12*100/85</f>
        <v>74.11764705882354</v>
      </c>
      <c r="K12" s="36">
        <f t="shared" si="2"/>
        <v>-9.411764705882348</v>
      </c>
      <c r="L12" s="36">
        <f>(C12-F12)*100/85</f>
        <v>5.882352941176471</v>
      </c>
      <c r="M12" s="36">
        <f>(D12-G12)*100/85</f>
        <v>7.0588235294117645</v>
      </c>
      <c r="N12" s="94">
        <f t="shared" si="3"/>
        <v>1.1764705882352935</v>
      </c>
    </row>
    <row r="13" spans="1:14" ht="16.5" customHeight="1">
      <c r="A13" s="31">
        <v>7</v>
      </c>
      <c r="B13" s="32" t="s">
        <v>66</v>
      </c>
      <c r="C13" s="94">
        <v>43</v>
      </c>
      <c r="D13" s="94">
        <v>66</v>
      </c>
      <c r="E13" s="36">
        <f t="shared" si="0"/>
        <v>153.48837209302326</v>
      </c>
      <c r="F13" s="94">
        <v>35</v>
      </c>
      <c r="G13" s="94">
        <v>58</v>
      </c>
      <c r="H13" s="36">
        <f t="shared" si="1"/>
        <v>23</v>
      </c>
      <c r="I13" s="94">
        <f>F13*100/52</f>
        <v>67.3076923076923</v>
      </c>
      <c r="J13" s="94">
        <f>G13*100/60</f>
        <v>96.66666666666667</v>
      </c>
      <c r="K13" s="36">
        <f t="shared" si="2"/>
        <v>29.358974358974365</v>
      </c>
      <c r="L13" s="36">
        <f>(C13-F13)*100/52</f>
        <v>15.384615384615385</v>
      </c>
      <c r="M13" s="36">
        <f>(D13-G13)*100/60</f>
        <v>13.333333333333334</v>
      </c>
      <c r="N13" s="94">
        <f t="shared" si="3"/>
        <v>-2.051282051282051</v>
      </c>
    </row>
    <row r="14" spans="1:14" ht="16.5" customHeight="1">
      <c r="A14" s="31">
        <v>8</v>
      </c>
      <c r="B14" s="32" t="s">
        <v>102</v>
      </c>
      <c r="D14" s="94"/>
      <c r="E14" s="36">
        <f>D14*100/C15</f>
        <v>0</v>
      </c>
      <c r="F14" s="94"/>
      <c r="G14" s="94"/>
      <c r="H14" s="36">
        <f t="shared" si="1"/>
        <v>0</v>
      </c>
      <c r="I14" s="94"/>
      <c r="J14" s="94"/>
      <c r="K14" s="36"/>
      <c r="L14" s="36">
        <f>(C14-F14)*100/52</f>
        <v>0</v>
      </c>
      <c r="M14" s="36"/>
      <c r="N14" s="94"/>
    </row>
    <row r="15" spans="1:14" ht="16.5" customHeight="1">
      <c r="A15" s="31">
        <v>9</v>
      </c>
      <c r="B15" s="32" t="s">
        <v>80</v>
      </c>
      <c r="C15" s="94">
        <v>67</v>
      </c>
      <c r="D15" s="94">
        <v>80</v>
      </c>
      <c r="E15" s="36">
        <f>D15*100/C16</f>
        <v>98.76543209876543</v>
      </c>
      <c r="F15" s="94">
        <v>54</v>
      </c>
      <c r="G15" s="94">
        <v>69</v>
      </c>
      <c r="H15" s="36">
        <f t="shared" si="1"/>
        <v>15</v>
      </c>
      <c r="I15" s="94">
        <f>F15*100/60</f>
        <v>90</v>
      </c>
      <c r="J15" s="94">
        <f>G15*100/78</f>
        <v>88.46153846153847</v>
      </c>
      <c r="K15" s="36">
        <f t="shared" si="2"/>
        <v>-1.538461538461533</v>
      </c>
      <c r="L15" s="36">
        <f>(C15-F15)*100/60</f>
        <v>21.666666666666668</v>
      </c>
      <c r="M15" s="36">
        <f>(D15-G15)*100/78</f>
        <v>14.102564102564102</v>
      </c>
      <c r="N15" s="94">
        <f t="shared" si="3"/>
        <v>-7.564102564102566</v>
      </c>
    </row>
    <row r="16" spans="1:14" ht="16.5" customHeight="1">
      <c r="A16" s="31">
        <v>10</v>
      </c>
      <c r="B16" s="32" t="s">
        <v>67</v>
      </c>
      <c r="C16" s="94">
        <v>81</v>
      </c>
      <c r="D16" s="94">
        <v>63</v>
      </c>
      <c r="E16" s="36">
        <f>D16*100/C17</f>
        <v>252</v>
      </c>
      <c r="F16" s="94">
        <v>66</v>
      </c>
      <c r="G16" s="94">
        <v>60</v>
      </c>
      <c r="H16" s="36">
        <f t="shared" si="1"/>
        <v>-6</v>
      </c>
      <c r="I16" s="94">
        <f>F16*100/100</f>
        <v>66</v>
      </c>
      <c r="J16" s="94">
        <f>G16*100/100</f>
        <v>60</v>
      </c>
      <c r="K16" s="36">
        <f t="shared" si="2"/>
        <v>-6</v>
      </c>
      <c r="L16" s="36">
        <f>(C16-F16)*100/100</f>
        <v>15</v>
      </c>
      <c r="M16" s="36">
        <f>(D16-G16)*100/100</f>
        <v>3</v>
      </c>
      <c r="N16" s="94">
        <f t="shared" si="3"/>
        <v>-12</v>
      </c>
    </row>
    <row r="17" spans="1:14" ht="16.5" customHeight="1">
      <c r="A17" s="31">
        <v>11</v>
      </c>
      <c r="B17" s="32" t="s">
        <v>68</v>
      </c>
      <c r="C17" s="94">
        <v>25</v>
      </c>
      <c r="D17" s="94">
        <v>27</v>
      </c>
      <c r="E17" s="36">
        <f>D17*100/C18</f>
        <v>3.4928848641655885</v>
      </c>
      <c r="F17" s="94">
        <v>25</v>
      </c>
      <c r="G17" s="94">
        <v>27</v>
      </c>
      <c r="H17" s="36">
        <f t="shared" si="1"/>
        <v>2</v>
      </c>
      <c r="I17" s="94">
        <f>F17*100/42</f>
        <v>59.523809523809526</v>
      </c>
      <c r="J17" s="94">
        <f>G17*100/42</f>
        <v>64.28571428571429</v>
      </c>
      <c r="K17" s="36">
        <f t="shared" si="2"/>
        <v>4.761904761904766</v>
      </c>
      <c r="L17" s="36">
        <f>(C17-F17)*100/42</f>
        <v>0</v>
      </c>
      <c r="M17" s="36">
        <f>(D17-G17)*100/42</f>
        <v>0</v>
      </c>
      <c r="N17" s="94">
        <f t="shared" si="3"/>
        <v>0</v>
      </c>
    </row>
    <row r="18" spans="1:14" ht="16.5" customHeight="1">
      <c r="A18" s="124" t="s">
        <v>79</v>
      </c>
      <c r="B18" s="178"/>
      <c r="C18" s="36">
        <f>SUM(C7:C17)</f>
        <v>773</v>
      </c>
      <c r="D18" s="3">
        <f>SUM(D7:D17)</f>
        <v>800</v>
      </c>
      <c r="E18" s="36">
        <f t="shared" si="0"/>
        <v>103.49288486416559</v>
      </c>
      <c r="F18" s="3">
        <f>SUM(F7:F17)</f>
        <v>699</v>
      </c>
      <c r="G18" s="3">
        <f>SUM(G7:G17)</f>
        <v>712</v>
      </c>
      <c r="H18" s="36">
        <f t="shared" si="1"/>
        <v>13</v>
      </c>
      <c r="I18" s="36">
        <f>F18*100/1232</f>
        <v>56.73701298701299</v>
      </c>
      <c r="J18" s="36">
        <f>G18*100/1298</f>
        <v>54.85362095531587</v>
      </c>
      <c r="K18" s="36">
        <f t="shared" si="2"/>
        <v>-1.8833920316971202</v>
      </c>
      <c r="L18" s="36">
        <f>(C18-F18)*100/1232</f>
        <v>6.0064935064935066</v>
      </c>
      <c r="M18" s="36">
        <f>(D18-G18)*100/1298</f>
        <v>6.779661016949152</v>
      </c>
      <c r="N18" s="36">
        <f t="shared" si="3"/>
        <v>0.7731675104556457</v>
      </c>
    </row>
  </sheetData>
  <sheetProtection/>
  <mergeCells count="5">
    <mergeCell ref="A2:N2"/>
    <mergeCell ref="A1:N1"/>
    <mergeCell ref="A18:B18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E9" sqref="E9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64" t="s">
        <v>12</v>
      </c>
      <c r="B1" s="164"/>
      <c r="C1" s="164"/>
      <c r="D1" s="164"/>
      <c r="E1" s="164"/>
      <c r="F1" s="164"/>
      <c r="G1" s="79"/>
      <c r="H1" s="79"/>
      <c r="I1" s="79"/>
    </row>
    <row r="2" spans="1:9" ht="15.75">
      <c r="A2" s="180" t="s">
        <v>110</v>
      </c>
      <c r="B2" s="180"/>
      <c r="C2" s="180"/>
      <c r="D2" s="180"/>
      <c r="E2" s="180"/>
      <c r="F2" s="180"/>
      <c r="G2" s="79"/>
      <c r="H2" s="79"/>
      <c r="I2" s="79"/>
    </row>
    <row r="3" spans="1:9" ht="15">
      <c r="A3" s="4" t="s">
        <v>2</v>
      </c>
      <c r="B3" s="4" t="s">
        <v>3</v>
      </c>
      <c r="C3" s="5" t="s">
        <v>45</v>
      </c>
      <c r="D3" s="6"/>
      <c r="E3" s="5" t="s">
        <v>46</v>
      </c>
      <c r="F3" s="7"/>
      <c r="G3" s="79"/>
      <c r="H3" s="79"/>
      <c r="I3" s="79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9"/>
      <c r="H4" s="79"/>
      <c r="I4" s="79"/>
    </row>
    <row r="5" spans="1:9" ht="15">
      <c r="A5" s="3">
        <v>1</v>
      </c>
      <c r="B5" s="22" t="s">
        <v>61</v>
      </c>
      <c r="C5" s="36">
        <f>(молоко!C6*1000)/1875</f>
        <v>167.36</v>
      </c>
      <c r="D5" s="36">
        <f>(молоко!D6*1000)/1875</f>
        <v>155.73333333333332</v>
      </c>
      <c r="E5" s="36">
        <f>(мясо!C7*1000)/1875</f>
        <v>9.493333333333334</v>
      </c>
      <c r="F5" s="36">
        <f>(мясо!D7*1000)/1875</f>
        <v>15.733333333333333</v>
      </c>
      <c r="H5" s="79"/>
      <c r="I5" s="79"/>
    </row>
    <row r="6" spans="1:9" ht="15">
      <c r="A6" s="3">
        <v>2</v>
      </c>
      <c r="B6" s="22" t="s">
        <v>62</v>
      </c>
      <c r="C6" s="36">
        <f>(молоко!C7*1000)/799</f>
        <v>296.62077596996244</v>
      </c>
      <c r="D6" s="36">
        <f>(молоко!D7*1000)/799</f>
        <v>250.31289111389236</v>
      </c>
      <c r="E6" s="36">
        <f>(мясо!C8*1000)/799</f>
        <v>6.382978723404255</v>
      </c>
      <c r="F6" s="36">
        <f>(мясо!D8*1000)/799</f>
        <v>17.521902377972467</v>
      </c>
      <c r="H6" s="79"/>
      <c r="I6" s="79"/>
    </row>
    <row r="7" spans="1:9" ht="15">
      <c r="A7" s="3">
        <v>3</v>
      </c>
      <c r="B7" s="22" t="s">
        <v>63</v>
      </c>
      <c r="C7" s="36">
        <f>(молоко!C8*1000)/2025</f>
        <v>68.54320987654322</v>
      </c>
      <c r="D7" s="36">
        <f>(молоко!D8*1000)/2025</f>
        <v>71.11111111111111</v>
      </c>
      <c r="E7" s="36">
        <f>(мясо!C9*1000)/2025</f>
        <v>0.5679012345679012</v>
      </c>
      <c r="F7" s="36">
        <f>(мясо!D9*1000)/2025</f>
        <v>2.617283950617284</v>
      </c>
      <c r="H7" s="79"/>
      <c r="I7" s="79"/>
    </row>
    <row r="8" spans="1:9" ht="15">
      <c r="A8" s="3">
        <v>4</v>
      </c>
      <c r="B8" s="38" t="s">
        <v>64</v>
      </c>
      <c r="C8" s="36">
        <f>(молоко!C9*1000)/2478</f>
        <v>268.8458434221146</v>
      </c>
      <c r="D8" s="36">
        <f>(молоко!D9*1000)/2478</f>
        <v>233.89830508474577</v>
      </c>
      <c r="E8" s="36">
        <f>(мясо!C10*1000)/2478</f>
        <v>27.28006456820016</v>
      </c>
      <c r="F8" s="36">
        <f>(мясо!D10*1000)/2478</f>
        <v>35.06860371267151</v>
      </c>
      <c r="H8" s="79"/>
      <c r="I8" s="79"/>
    </row>
    <row r="9" spans="1:9" ht="15">
      <c r="A9" s="3">
        <v>5</v>
      </c>
      <c r="B9" s="22" t="s">
        <v>65</v>
      </c>
      <c r="C9" s="36">
        <f>(молоко!C10*1000)/2157</f>
        <v>185.4427445526194</v>
      </c>
      <c r="D9" s="36">
        <f>(молоко!D10*1000)/2157</f>
        <v>151.59944367176635</v>
      </c>
      <c r="E9" s="36">
        <f>(мясо!C11*1000)/2157</f>
        <v>25.127491886879927</v>
      </c>
      <c r="F9" s="36">
        <f>(мясо!D11*1000)/2157</f>
        <v>19.054242002781642</v>
      </c>
      <c r="H9" s="79"/>
      <c r="I9" s="79"/>
    </row>
    <row r="10" spans="1:9" ht="15">
      <c r="A10" s="3">
        <v>6</v>
      </c>
      <c r="B10" s="38" t="s">
        <v>81</v>
      </c>
      <c r="C10" s="36">
        <f>(молоко!C11*1000)/859</f>
        <v>293.24796274738065</v>
      </c>
      <c r="D10" s="36">
        <f>(молоко!D11*1000)/859</f>
        <v>291.0360884749709</v>
      </c>
      <c r="E10" s="36">
        <f>(мясо!C12*1000)/859</f>
        <v>20.139697322467985</v>
      </c>
      <c r="F10" s="36">
        <f>(мясо!D12*1000)/859</f>
        <v>26.19324796274738</v>
      </c>
      <c r="H10" s="79"/>
      <c r="I10" s="79"/>
    </row>
    <row r="11" spans="1:9" ht="15">
      <c r="A11" s="3">
        <v>7</v>
      </c>
      <c r="B11" s="38" t="s">
        <v>66</v>
      </c>
      <c r="C11" s="36">
        <f>(молоко!C12*1000)/1482</f>
        <v>56.88259109311741</v>
      </c>
      <c r="D11" s="36">
        <f>(молоко!D12*1000)/1482</f>
        <v>115.11470985155195</v>
      </c>
      <c r="E11" s="36">
        <f>(мясо!C13*1000)/1482</f>
        <v>5.883940620782726</v>
      </c>
      <c r="F11" s="36">
        <f>(мясо!D13*1000)/1482</f>
        <v>0.6747638326585695</v>
      </c>
      <c r="H11" s="79"/>
      <c r="I11" s="79"/>
    </row>
    <row r="12" spans="1:9" ht="15">
      <c r="A12" s="3">
        <v>8</v>
      </c>
      <c r="B12" s="32" t="s">
        <v>102</v>
      </c>
      <c r="C12" s="36"/>
      <c r="D12" s="36"/>
      <c r="E12" s="36"/>
      <c r="F12" s="36"/>
      <c r="H12" s="79"/>
      <c r="I12" s="79"/>
    </row>
    <row r="13" spans="1:9" ht="15.75" customHeight="1">
      <c r="A13" s="3">
        <v>9</v>
      </c>
      <c r="B13" s="32" t="s">
        <v>80</v>
      </c>
      <c r="C13" s="36">
        <f>(молоко!C14*1000)/1077</f>
        <v>226.13370473537606</v>
      </c>
      <c r="D13" s="36">
        <f>(молоко!D14*1000)/1077</f>
        <v>275.9192200557103</v>
      </c>
      <c r="E13" s="36">
        <f>(мясо!C15*1000)/1077</f>
        <v>8.635097493036211</v>
      </c>
      <c r="F13" s="36">
        <f>(мясо!D15*1000)/1077</f>
        <v>10.6313834726091</v>
      </c>
      <c r="H13" s="79"/>
      <c r="I13" s="79"/>
    </row>
    <row r="14" spans="1:9" ht="15">
      <c r="A14" s="3">
        <v>10</v>
      </c>
      <c r="B14" s="38" t="s">
        <v>67</v>
      </c>
      <c r="C14" s="36">
        <f>(молоко!C15*1000)/1084</f>
        <v>117.15867158671587</v>
      </c>
      <c r="D14" s="36">
        <f>(молоко!D15*1000)/1084</f>
        <v>183.0258302583026</v>
      </c>
      <c r="E14" s="36">
        <f>(мясо!C16*1000)/1084</f>
        <v>15.959409594095941</v>
      </c>
      <c r="F14" s="36">
        <f>(мясо!D16*1000)/1084</f>
        <v>11.715867158671587</v>
      </c>
      <c r="H14" s="79"/>
      <c r="I14" s="79"/>
    </row>
    <row r="15" spans="1:9" ht="15">
      <c r="A15" s="3">
        <v>11</v>
      </c>
      <c r="B15" s="38" t="s">
        <v>68</v>
      </c>
      <c r="C15" s="36">
        <f>(молоко!C16*1000)/674</f>
        <v>137.98219584569733</v>
      </c>
      <c r="D15" s="36">
        <f>(молоко!D16*1000)/674</f>
        <v>148.3679525222552</v>
      </c>
      <c r="E15" s="36">
        <f>(мясо!C17*1000)/674</f>
        <v>8.011869436201781</v>
      </c>
      <c r="F15" s="36">
        <f>(мясо!D17*1000)/674</f>
        <v>17.2106824925816</v>
      </c>
      <c r="H15" s="79"/>
      <c r="I15" s="79"/>
    </row>
    <row r="16" spans="1:9" ht="15">
      <c r="A16" s="3">
        <v>12</v>
      </c>
      <c r="B16" s="38" t="s">
        <v>69</v>
      </c>
      <c r="C16" s="36"/>
      <c r="D16" s="36"/>
      <c r="E16" s="36">
        <f>(мясо!C18*1000)/983</f>
        <v>439.471007121058</v>
      </c>
      <c r="F16" s="36">
        <f>(мясо!D18*1000)/983</f>
        <v>597.1515768056969</v>
      </c>
      <c r="H16" s="79"/>
      <c r="I16" s="79"/>
    </row>
    <row r="17" spans="1:6" ht="15">
      <c r="A17" s="124" t="s">
        <v>11</v>
      </c>
      <c r="B17" s="125"/>
      <c r="C17" s="36">
        <f>(молоко!C17*1000)/22877</f>
        <v>111.70809109586047</v>
      </c>
      <c r="D17" s="36">
        <f>(молоко!D17*1000)/22877</f>
        <v>111.84880010490886</v>
      </c>
      <c r="E17" s="36">
        <f>(мясо!C21*1000)/22877</f>
        <v>27.838877475193424</v>
      </c>
      <c r="F17" s="36">
        <f>(мясо!D21*1000)/22877</f>
        <v>36.204047733531496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75" zoomScaleSheetLayoutView="70" zoomScalePageLayoutView="0" workbookViewId="0" topLeftCell="A1">
      <selection activeCell="J9" sqref="J9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111</v>
      </c>
      <c r="D1" s="43"/>
      <c r="E1" s="43"/>
      <c r="F1" s="14"/>
      <c r="G1" s="14"/>
      <c r="H1" s="14"/>
      <c r="I1" s="14"/>
      <c r="J1" s="14"/>
      <c r="K1" s="14"/>
    </row>
    <row r="2" spans="1:11" ht="18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34" t="s">
        <v>2</v>
      </c>
      <c r="B3" s="181" t="s">
        <v>3</v>
      </c>
      <c r="C3" s="54" t="s">
        <v>13</v>
      </c>
      <c r="D3" s="55"/>
      <c r="E3" s="56"/>
      <c r="F3" s="57" t="s">
        <v>14</v>
      </c>
      <c r="G3" s="58" t="s">
        <v>17</v>
      </c>
      <c r="H3" s="59" t="s">
        <v>19</v>
      </c>
      <c r="I3" s="60"/>
      <c r="J3" s="53"/>
      <c r="K3" s="53" t="s">
        <v>20</v>
      </c>
    </row>
    <row r="4" spans="1:11" ht="18">
      <c r="A4" s="162"/>
      <c r="B4" s="162"/>
      <c r="C4" s="61">
        <v>2010</v>
      </c>
      <c r="D4" s="57">
        <v>2011</v>
      </c>
      <c r="E4" s="57" t="s">
        <v>94</v>
      </c>
      <c r="F4" s="62" t="s">
        <v>15</v>
      </c>
      <c r="G4" s="63" t="s">
        <v>18</v>
      </c>
      <c r="H4" s="61">
        <v>2010</v>
      </c>
      <c r="I4" s="57">
        <v>2011</v>
      </c>
      <c r="J4" s="57" t="s">
        <v>94</v>
      </c>
      <c r="K4" s="64" t="s">
        <v>21</v>
      </c>
    </row>
    <row r="5" spans="1:11" ht="18">
      <c r="A5" s="135"/>
      <c r="B5" s="135"/>
      <c r="C5" s="65"/>
      <c r="D5" s="66"/>
      <c r="E5" s="66" t="s">
        <v>95</v>
      </c>
      <c r="F5" s="66" t="s">
        <v>16</v>
      </c>
      <c r="G5" s="67"/>
      <c r="H5" s="65"/>
      <c r="I5" s="66"/>
      <c r="J5" s="66" t="s">
        <v>95</v>
      </c>
      <c r="K5" s="68" t="s">
        <v>0</v>
      </c>
    </row>
    <row r="6" spans="1:11" ht="16.5" customHeight="1">
      <c r="A6" s="31">
        <v>1</v>
      </c>
      <c r="B6" s="69" t="s">
        <v>61</v>
      </c>
      <c r="C6" s="12">
        <v>313.8</v>
      </c>
      <c r="D6" s="12">
        <v>292</v>
      </c>
      <c r="E6" s="13">
        <f aca="true" t="shared" si="0" ref="E6:E16">D6/C6*100</f>
        <v>93.05289993626513</v>
      </c>
      <c r="F6" s="12">
        <v>231</v>
      </c>
      <c r="G6" s="13">
        <f aca="true" t="shared" si="1" ref="G6:G16">F6/D6*100</f>
        <v>79.1095890410959</v>
      </c>
      <c r="H6" s="17">
        <f>C6/'численность 1'!J6*1000</f>
        <v>1743.3333333333335</v>
      </c>
      <c r="I6" s="17">
        <f>D6/'численность 1'!K6*1000</f>
        <v>1622.2222222222222</v>
      </c>
      <c r="J6" s="13">
        <f aca="true" t="shared" si="2" ref="J6:J17">I6/H6*100</f>
        <v>93.05289993626512</v>
      </c>
      <c r="K6" s="12">
        <v>439</v>
      </c>
    </row>
    <row r="7" spans="1:11" ht="16.5" customHeight="1">
      <c r="A7" s="31">
        <v>2</v>
      </c>
      <c r="B7" s="69" t="s">
        <v>62</v>
      </c>
      <c r="C7" s="12">
        <v>237</v>
      </c>
      <c r="D7" s="12">
        <v>200</v>
      </c>
      <c r="E7" s="13">
        <f t="shared" si="0"/>
        <v>84.38818565400844</v>
      </c>
      <c r="F7" s="12">
        <v>165</v>
      </c>
      <c r="G7" s="13">
        <f t="shared" si="1"/>
        <v>82.5</v>
      </c>
      <c r="H7" s="17">
        <f>C7/'численность 1'!J7*1000</f>
        <v>2257.1428571428573</v>
      </c>
      <c r="I7" s="13">
        <f>D7/'численность 1'!K7*1000</f>
        <v>1904.7619047619046</v>
      </c>
      <c r="J7" s="13">
        <f t="shared" si="2"/>
        <v>84.38818565400842</v>
      </c>
      <c r="K7" s="12"/>
    </row>
    <row r="8" spans="1:11" ht="16.5" customHeight="1">
      <c r="A8" s="31">
        <v>3</v>
      </c>
      <c r="B8" s="69" t="s">
        <v>63</v>
      </c>
      <c r="C8" s="12">
        <v>138.8</v>
      </c>
      <c r="D8" s="12">
        <v>144</v>
      </c>
      <c r="E8" s="13">
        <f t="shared" si="0"/>
        <v>103.74639769452449</v>
      </c>
      <c r="F8" s="12">
        <v>97</v>
      </c>
      <c r="G8" s="13">
        <f t="shared" si="1"/>
        <v>67.36111111111111</v>
      </c>
      <c r="H8" s="17">
        <f>C8/'численность 1'!J8*1000</f>
        <v>2523.636363636364</v>
      </c>
      <c r="I8" s="13">
        <f>D8/'численность 1'!K8*1000</f>
        <v>2400</v>
      </c>
      <c r="J8" s="13">
        <f t="shared" si="2"/>
        <v>95.10086455331411</v>
      </c>
      <c r="K8" s="12"/>
    </row>
    <row r="9" spans="1:11" ht="16.5" customHeight="1">
      <c r="A9" s="31">
        <v>4</v>
      </c>
      <c r="B9" s="69" t="s">
        <v>64</v>
      </c>
      <c r="C9" s="12">
        <v>666.2</v>
      </c>
      <c r="D9" s="12">
        <v>579.6</v>
      </c>
      <c r="E9" s="13">
        <f t="shared" si="0"/>
        <v>87.00090063044131</v>
      </c>
      <c r="F9" s="12">
        <v>533.3</v>
      </c>
      <c r="G9" s="13">
        <f t="shared" si="1"/>
        <v>92.01173222912352</v>
      </c>
      <c r="H9" s="17">
        <f>C9/'численность 1'!J9*1000</f>
        <v>2191.447368421053</v>
      </c>
      <c r="I9" s="13">
        <f>D9/'численность 1'!K9*1000</f>
        <v>1881.8181818181818</v>
      </c>
      <c r="J9" s="13">
        <f t="shared" si="2"/>
        <v>85.87101880407192</v>
      </c>
      <c r="K9" s="12"/>
    </row>
    <row r="10" spans="1:11" ht="16.5" customHeight="1">
      <c r="A10" s="31">
        <v>5</v>
      </c>
      <c r="B10" s="70" t="s">
        <v>65</v>
      </c>
      <c r="C10" s="12">
        <v>400</v>
      </c>
      <c r="D10" s="12">
        <v>327</v>
      </c>
      <c r="E10" s="13">
        <f t="shared" si="0"/>
        <v>81.75</v>
      </c>
      <c r="F10" s="12">
        <v>276</v>
      </c>
      <c r="G10" s="13">
        <f t="shared" si="1"/>
        <v>84.40366972477065</v>
      </c>
      <c r="H10" s="17">
        <f>C10/'численность 1'!J10*1000</f>
        <v>1600</v>
      </c>
      <c r="I10" s="13">
        <f>D10/'численность 1'!K10*1000</f>
        <v>1167.857142857143</v>
      </c>
      <c r="J10" s="13">
        <f t="shared" si="2"/>
        <v>72.99107142857143</v>
      </c>
      <c r="K10" s="12"/>
    </row>
    <row r="11" spans="1:11" ht="16.5" customHeight="1">
      <c r="A11" s="31">
        <v>6</v>
      </c>
      <c r="B11" s="70" t="s">
        <v>81</v>
      </c>
      <c r="C11" s="16">
        <v>251.9</v>
      </c>
      <c r="D11" s="16">
        <v>250</v>
      </c>
      <c r="E11" s="13">
        <f t="shared" si="0"/>
        <v>99.24573243350537</v>
      </c>
      <c r="F11" s="16">
        <v>188.7</v>
      </c>
      <c r="G11" s="17">
        <f t="shared" si="1"/>
        <v>75.47999999999999</v>
      </c>
      <c r="H11" s="17">
        <f>C11/'численность 1'!J11*1000</f>
        <v>2963.529411764706</v>
      </c>
      <c r="I11" s="13">
        <f>D11/'численность 1'!K11*1000</f>
        <v>2941.1764705882356</v>
      </c>
      <c r="J11" s="13">
        <f t="shared" si="2"/>
        <v>99.24573243350537</v>
      </c>
      <c r="K11" s="16">
        <v>245</v>
      </c>
    </row>
    <row r="12" spans="1:11" ht="16.5" customHeight="1">
      <c r="A12" s="31">
        <v>7</v>
      </c>
      <c r="B12" s="70" t="s">
        <v>66</v>
      </c>
      <c r="C12" s="16">
        <v>84.3</v>
      </c>
      <c r="D12" s="16">
        <v>170.6</v>
      </c>
      <c r="E12" s="13">
        <f t="shared" si="0"/>
        <v>202.37247924080663</v>
      </c>
      <c r="F12" s="16">
        <v>141.6</v>
      </c>
      <c r="G12" s="17">
        <f t="shared" si="1"/>
        <v>83.00117233294256</v>
      </c>
      <c r="H12" s="17">
        <f>C12/'численность 1'!J12*1000</f>
        <v>1621.1538461538462</v>
      </c>
      <c r="I12" s="13">
        <f>D12/'численность 1'!K12*1000</f>
        <v>2843.3333333333335</v>
      </c>
      <c r="J12" s="13">
        <f t="shared" si="2"/>
        <v>175.3894820086991</v>
      </c>
      <c r="K12" s="16">
        <v>57.5</v>
      </c>
    </row>
    <row r="13" spans="1:11" ht="16.5" customHeight="1">
      <c r="A13" s="31">
        <v>8</v>
      </c>
      <c r="B13" s="70" t="s">
        <v>102</v>
      </c>
      <c r="C13" s="16"/>
      <c r="D13" s="16"/>
      <c r="E13" s="13"/>
      <c r="F13" s="16"/>
      <c r="G13" s="17"/>
      <c r="H13" s="17"/>
      <c r="I13" s="13"/>
      <c r="J13" s="13"/>
      <c r="K13" s="16">
        <v>67.8</v>
      </c>
    </row>
    <row r="14" spans="1:11" ht="16.5" customHeight="1">
      <c r="A14" s="31">
        <v>9</v>
      </c>
      <c r="B14" s="70" t="s">
        <v>80</v>
      </c>
      <c r="C14" s="16">
        <v>243.546</v>
      </c>
      <c r="D14" s="16">
        <v>297.165</v>
      </c>
      <c r="E14" s="17">
        <f t="shared" si="0"/>
        <v>122.01596412997957</v>
      </c>
      <c r="F14" s="16">
        <v>272</v>
      </c>
      <c r="G14" s="17">
        <f t="shared" si="1"/>
        <v>91.53164067100768</v>
      </c>
      <c r="H14" s="17">
        <f>C14/'численность 1'!J14*1000</f>
        <v>3805.40625</v>
      </c>
      <c r="I14" s="17">
        <f>D14/'численность 1'!K14*1000</f>
        <v>3809.807692307693</v>
      </c>
      <c r="J14" s="13">
        <f t="shared" si="2"/>
        <v>100.11566287588067</v>
      </c>
      <c r="K14" s="16"/>
    </row>
    <row r="15" spans="1:11" ht="16.5" customHeight="1">
      <c r="A15" s="31">
        <v>10</v>
      </c>
      <c r="B15" s="70" t="s">
        <v>67</v>
      </c>
      <c r="C15" s="16">
        <v>127</v>
      </c>
      <c r="D15" s="16">
        <v>198.4</v>
      </c>
      <c r="E15" s="13">
        <f t="shared" si="0"/>
        <v>156.2204724409449</v>
      </c>
      <c r="F15" s="16">
        <v>155.6</v>
      </c>
      <c r="G15" s="17">
        <f t="shared" si="1"/>
        <v>78.4274193548387</v>
      </c>
      <c r="H15" s="17">
        <f>C15/'численность 1'!J15*1000</f>
        <v>1270</v>
      </c>
      <c r="I15" s="13">
        <f>D15/'численность 1'!K15*1000</f>
        <v>1984</v>
      </c>
      <c r="J15" s="13">
        <f t="shared" si="2"/>
        <v>156.2204724409449</v>
      </c>
      <c r="K15" s="16"/>
    </row>
    <row r="16" spans="1:11" ht="16.5" customHeight="1">
      <c r="A16" s="31">
        <v>11</v>
      </c>
      <c r="B16" s="70" t="s">
        <v>68</v>
      </c>
      <c r="C16" s="16">
        <v>93</v>
      </c>
      <c r="D16" s="16">
        <v>100</v>
      </c>
      <c r="E16" s="13">
        <f t="shared" si="0"/>
        <v>107.5268817204301</v>
      </c>
      <c r="F16" s="16">
        <v>77</v>
      </c>
      <c r="G16" s="17">
        <f t="shared" si="1"/>
        <v>77</v>
      </c>
      <c r="H16" s="17">
        <f>C16/'численность 1'!J16*1000</f>
        <v>2268.292682926829</v>
      </c>
      <c r="I16" s="13">
        <f>D16/'численность 1'!K16*1000</f>
        <v>2380.9523809523807</v>
      </c>
      <c r="J16" s="13">
        <f t="shared" si="2"/>
        <v>104.96671786994366</v>
      </c>
      <c r="K16" s="16"/>
    </row>
    <row r="17" spans="1:11" ht="18">
      <c r="A17" s="182" t="s">
        <v>11</v>
      </c>
      <c r="B17" s="161"/>
      <c r="C17" s="16">
        <f>SUM(C6:C16)</f>
        <v>2555.546</v>
      </c>
      <c r="D17" s="71">
        <f>SUM(D6:D16)</f>
        <v>2558.765</v>
      </c>
      <c r="E17" s="13">
        <f>D17/C17*100</f>
        <v>100.1259613405511</v>
      </c>
      <c r="F17" s="71">
        <f>SUM(F6:F16)</f>
        <v>2137.2</v>
      </c>
      <c r="G17" s="13">
        <f>F17/D17*100</f>
        <v>83.52466912748923</v>
      </c>
      <c r="H17" s="13">
        <f>C17/'численность 1'!J20*1000</f>
        <v>2067.5938511326863</v>
      </c>
      <c r="I17" s="13">
        <f>D17/'численность 1'!K20*1000</f>
        <v>1971.3135593220338</v>
      </c>
      <c r="J17" s="13">
        <f t="shared" si="2"/>
        <v>95.34336534431522</v>
      </c>
      <c r="K17" s="71">
        <f>SUM(K6:K16)</f>
        <v>809.3</v>
      </c>
    </row>
  </sheetData>
  <sheetProtection/>
  <mergeCells count="3">
    <mergeCell ref="A3:A5"/>
    <mergeCell ref="B3:B5"/>
    <mergeCell ref="A17:B17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2011-09-05T06:41:59Z</cp:lastPrinted>
  <dcterms:created xsi:type="dcterms:W3CDTF">2002-11-05T10:10:22Z</dcterms:created>
  <dcterms:modified xsi:type="dcterms:W3CDTF">2011-12-12T07:42:50Z</dcterms:modified>
  <cp:category/>
  <cp:version/>
  <cp:contentType/>
  <cp:contentStatus/>
</cp:coreProperties>
</file>