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'молоко'!$A$1:$K$21</definedName>
    <definedName name="_xlnm.Print_Area" localSheetId="9">'мясо'!$A$1:$K$23</definedName>
    <definedName name="_xlnm.Print_Area" localSheetId="7">'на 100 га'!$A$1:$F$17</definedName>
    <definedName name="_xlnm.Print_Area" localSheetId="0">'пало1'!$A$1:$T$23</definedName>
    <definedName name="_xlnm.Print_Area" localSheetId="1">'привес'!$A$1:$T$23</definedName>
    <definedName name="_xlnm.Print_Area" localSheetId="4">'приплод 2'!$A$1:$P$13</definedName>
    <definedName name="_xlnm.Print_Area" localSheetId="3">'численность 1'!$A$1:$U$23</definedName>
    <definedName name="_xlnm.Print_Area" localSheetId="2">'численность 2'!$A$1:$J$23</definedName>
  </definedNames>
  <calcPr fullCalcOnLoad="1"/>
</workbook>
</file>

<file path=xl/sharedStrings.xml><?xml version="1.0" encoding="utf-8"?>
<sst xmlns="http://schemas.openxmlformats.org/spreadsheetml/2006/main" count="302" uniqueCount="118">
  <si>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</si>
  <si>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</si>
  <si>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</si>
  <si>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</si>
  <si>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</si>
  <si>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</si>
  <si>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</si>
  <si>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</si>
  <si>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</si>
  <si>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</si>
  <si>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</si>
  <si>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</si>
  <si>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</si>
  <si>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</si>
  <si>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</si>
  <si>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</si>
  <si>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</si>
  <si>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</si>
  <si>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</si>
  <si>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</si>
  <si>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</si>
  <si>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</si>
  <si>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</si>
  <si>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</si>
  <si>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</si>
  <si>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</si>
  <si>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</si>
  <si>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</si>
  <si>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</si>
  <si>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</si>
  <si>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</si>
  <si>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</si>
  <si>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</si>
  <si>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</si>
  <si>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</si>
  <si>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</si>
  <si>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</si>
  <si>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</si>
  <si>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</si>
  <si>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</si>
  <si>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</si>
  <si>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</si>
  <si>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</si>
  <si>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</si>
  <si>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</si>
  <si>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</si>
  <si>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</si>
  <si>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</si>
  <si>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</si>
  <si>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</si>
  <si>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</si>
  <si>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</si>
  <si>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</si>
  <si>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</si>
  <si>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</si>
  <si>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</si>
  <si>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</si>
  <si>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</si>
  <si>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</si>
  <si>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</si>
  <si>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</si>
  <si>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</si>
  <si>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</si>
  <si>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</si>
  <si>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</si>
  <si>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</si>
  <si>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</si>
  <si>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</si>
  <si>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</si>
  <si>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</si>
  <si>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</si>
  <si>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</si>
  <si>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</si>
  <si>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</si>
  <si>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</si>
  <si>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</si>
  <si>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</si>
  <si>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</si>
  <si>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</si>
  <si>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</si>
  <si>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</si>
  <si>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</si>
  <si>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</si>
  <si>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>2011 к 2010 г. %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</si>
  <si>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</si>
  <si>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</si>
  <si>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</si>
  <si>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</si>
  <si>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</si>
  <si>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</si>
  <si>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</si>
  <si>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</si>
  <si>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</si>
  <si>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</si>
  <si>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</si>
  <si>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2012 в %</t>
  </si>
  <si>
    <t>к 2011 г.</t>
  </si>
  <si>
    <t>2011 г.</t>
  </si>
  <si>
    <t>Итого в сельскохозяйственных организациях района</t>
  </si>
  <si>
    <t>Итого по сельскохозяйственным оргаизациям по району</t>
  </si>
  <si>
    <t>в % к 2011 г.</t>
  </si>
  <si>
    <t>Итого по сельскохозяйственным организациям района</t>
  </si>
  <si>
    <t>2012 к 2011 г. %</t>
  </si>
  <si>
    <t>с 2011 г.</t>
  </si>
  <si>
    <t xml:space="preserve">                      </t>
  </si>
  <si>
    <t>с 20110 г.</t>
  </si>
  <si>
    <t xml:space="preserve">    Производство мяса и молока на 100 га с/х угодий</t>
  </si>
  <si>
    <t>разница с 2011 г.</t>
  </si>
  <si>
    <t xml:space="preserve">   Производство мяса за январь-август 2012 года по Ибресинскому району </t>
  </si>
  <si>
    <t>Производство молока за  январь-август 2012 года по Ибресинскому району</t>
  </si>
  <si>
    <t xml:space="preserve">по Ибресинскому району за январь-август 2012 год </t>
  </si>
  <si>
    <t>Поступление приплода (телят) за январь-август 2012 года по Ибресинскому  району</t>
  </si>
  <si>
    <t>Случено и осеменено за январь-август 2012 года по Ибресинскому району</t>
  </si>
  <si>
    <t>Поступление приплода (поросят) за январь-август 2012 года по Ибресинкому  району</t>
  </si>
  <si>
    <t xml:space="preserve"> Численность скота по Ибресинскому району на 1.09.2012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</si>
  <si>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1.09.2012 г., (голов)</t>
    </r>
  </si>
  <si>
    <t>Показатели получения привесов за январь-август 2012 года по Ибресинскому району</t>
  </si>
  <si>
    <t>Пало, погибло, куплено и продано  сельскохозяйственных животных за январь-август 2012 год 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</si>
</sst>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3" sqref="A23:B23"/>
    </sheetView>
  </sheetViews>
  <sheetFormatPr defaultColWidth="9.00390625" defaultRowHeight="12.75"/>
  <cols>
    <col min="1" max="1" width="4.00390625" style="70" customWidth="1"/>
    <col min="2" max="2" width="28.625" style="70" customWidth="1"/>
    <col min="3" max="4" width="8.75390625" style="70" customWidth="1"/>
    <col min="5" max="5" width="8.875" style="70" customWidth="1"/>
    <col min="6" max="7" width="8.75390625" style="70" customWidth="1"/>
    <col min="8" max="8" width="8.875" style="70" customWidth="1"/>
    <col min="9" max="14" width="8.75390625" style="70" customWidth="1"/>
    <col min="15" max="15" width="8.875" style="70" customWidth="1"/>
    <col min="16" max="18" width="8.75390625" style="70" customWidth="1"/>
    <col min="19" max="19" width="8.875" style="70" customWidth="1"/>
    <col min="20" max="20" width="8.75390625" style="70" customWidth="1"/>
    <col min="21" max="16384" width="9.125" style="70" customWidth="1"/>
  </cols>
  <sheetData>
    <row r="1" spans="3:18" ht="15.75">
      <c r="C1" s="140" t="s">
        <v>117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3:10" ht="15">
      <c r="C2" s="71"/>
      <c r="D2" s="71"/>
      <c r="E2" s="71"/>
      <c r="F2" s="71"/>
      <c r="G2" s="71"/>
      <c r="H2" s="71"/>
      <c r="I2" s="71"/>
      <c r="J2" s="71"/>
    </row>
    <row r="3" spans="1:20" s="20" customFormat="1" ht="18.75" customHeight="1">
      <c r="A3" s="34" t="s">
        <v>2</v>
      </c>
      <c r="B3" s="23" t="s">
        <v>3</v>
      </c>
      <c r="C3" s="141" t="s">
        <v>38</v>
      </c>
      <c r="D3" s="142"/>
      <c r="E3" s="143"/>
      <c r="F3" s="141" t="s">
        <v>52</v>
      </c>
      <c r="G3" s="142"/>
      <c r="H3" s="143"/>
      <c r="I3" s="96"/>
      <c r="J3" s="101" t="s">
        <v>40</v>
      </c>
      <c r="K3" s="101"/>
      <c r="L3" s="101"/>
      <c r="M3" s="103"/>
      <c r="N3" s="103"/>
      <c r="O3" s="103"/>
      <c r="P3" s="103"/>
      <c r="Q3" s="96"/>
      <c r="R3" s="101" t="s">
        <v>41</v>
      </c>
      <c r="S3" s="101"/>
      <c r="T3" s="100"/>
    </row>
    <row r="4" spans="1:20" s="20" customFormat="1" ht="18.75" customHeight="1">
      <c r="A4" s="39"/>
      <c r="B4" s="33"/>
      <c r="C4" s="144">
        <v>2011</v>
      </c>
      <c r="D4" s="144">
        <v>2012</v>
      </c>
      <c r="E4" s="105" t="s">
        <v>39</v>
      </c>
      <c r="F4" s="144">
        <v>2011</v>
      </c>
      <c r="G4" s="144">
        <v>2012</v>
      </c>
      <c r="H4" s="105" t="s">
        <v>39</v>
      </c>
      <c r="I4" s="132" t="s">
        <v>84</v>
      </c>
      <c r="J4" s="133"/>
      <c r="K4" s="132" t="s">
        <v>82</v>
      </c>
      <c r="L4" s="133"/>
      <c r="M4" s="132" t="s">
        <v>78</v>
      </c>
      <c r="N4" s="133"/>
      <c r="O4" s="132" t="s">
        <v>79</v>
      </c>
      <c r="P4" s="133"/>
      <c r="Q4" s="132" t="s">
        <v>81</v>
      </c>
      <c r="R4" s="133"/>
      <c r="S4" s="132" t="s">
        <v>82</v>
      </c>
      <c r="T4" s="133"/>
    </row>
    <row r="5" spans="1:20" s="20" customFormat="1" ht="18.75" customHeight="1">
      <c r="A5" s="30"/>
      <c r="B5" s="29"/>
      <c r="C5" s="145"/>
      <c r="D5" s="145"/>
      <c r="E5" s="106" t="s">
        <v>103</v>
      </c>
      <c r="F5" s="145"/>
      <c r="G5" s="145"/>
      <c r="H5" s="106" t="s">
        <v>103</v>
      </c>
      <c r="I5" s="107">
        <v>2011</v>
      </c>
      <c r="J5" s="108">
        <v>2012</v>
      </c>
      <c r="K5" s="107">
        <v>2011</v>
      </c>
      <c r="L5" s="108">
        <v>2012</v>
      </c>
      <c r="M5" s="107">
        <v>2011</v>
      </c>
      <c r="N5" s="108">
        <v>2012</v>
      </c>
      <c r="O5" s="107">
        <v>2011</v>
      </c>
      <c r="P5" s="108">
        <v>2012</v>
      </c>
      <c r="Q5" s="107">
        <v>2011</v>
      </c>
      <c r="R5" s="108">
        <v>2012</v>
      </c>
      <c r="S5" s="107">
        <v>2011</v>
      </c>
      <c r="T5" s="108">
        <v>2012</v>
      </c>
    </row>
    <row r="6" spans="1:20" s="20" customFormat="1" ht="15" customHeight="1">
      <c r="A6" s="31">
        <v>1</v>
      </c>
      <c r="B6" s="31" t="s">
        <v>55</v>
      </c>
      <c r="C6" s="3"/>
      <c r="D6" s="3"/>
      <c r="E6" s="11">
        <f aca="true" t="shared" si="0" ref="E6:E22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56</v>
      </c>
      <c r="C7" s="3">
        <v>9</v>
      </c>
      <c r="D7" s="3">
        <v>2</v>
      </c>
      <c r="E7" s="11">
        <f t="shared" si="0"/>
        <v>-7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38</v>
      </c>
      <c r="R7" s="3">
        <v>42</v>
      </c>
      <c r="S7" s="3"/>
      <c r="T7" s="3"/>
    </row>
    <row r="8" spans="1:20" s="20" customFormat="1" ht="13.5" customHeight="1">
      <c r="A8" s="31">
        <v>3</v>
      </c>
      <c r="B8" s="31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14</v>
      </c>
      <c r="R8" s="3">
        <v>20</v>
      </c>
      <c r="S8" s="3"/>
      <c r="T8" s="3"/>
    </row>
    <row r="9" spans="1:20" s="20" customFormat="1" ht="12.75" customHeight="1">
      <c r="A9" s="31">
        <v>4</v>
      </c>
      <c r="B9" s="22" t="s">
        <v>58</v>
      </c>
      <c r="C9" s="3">
        <v>6</v>
      </c>
      <c r="D9" s="3">
        <v>5</v>
      </c>
      <c r="E9" s="11">
        <f t="shared" si="0"/>
        <v>-1</v>
      </c>
      <c r="F9" s="3"/>
      <c r="G9" s="3"/>
      <c r="H9" s="3"/>
      <c r="I9" s="3"/>
      <c r="J9" s="3"/>
      <c r="K9" s="3">
        <v>2</v>
      </c>
      <c r="L9" s="3"/>
      <c r="M9" s="3"/>
      <c r="N9" s="3"/>
      <c r="O9" s="3"/>
      <c r="P9" s="3"/>
      <c r="Q9" s="3"/>
      <c r="R9" s="3"/>
      <c r="S9" s="3">
        <v>354</v>
      </c>
      <c r="T9" s="3">
        <v>519</v>
      </c>
    </row>
    <row r="10" spans="1:20" s="20" customFormat="1" ht="13.5" customHeight="1">
      <c r="A10" s="31">
        <v>5</v>
      </c>
      <c r="B10" s="91" t="s">
        <v>59</v>
      </c>
      <c r="C10" s="3"/>
      <c r="D10" s="3">
        <v>3</v>
      </c>
      <c r="E10" s="11">
        <f t="shared" si="0"/>
        <v>3</v>
      </c>
      <c r="F10" s="3">
        <v>20</v>
      </c>
      <c r="G10" s="3">
        <v>6</v>
      </c>
      <c r="H10" s="3">
        <f>G10-F10</f>
        <v>-14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335</v>
      </c>
      <c r="T10" s="119">
        <v>68</v>
      </c>
    </row>
    <row r="11" spans="1:20" s="20" customFormat="1" ht="12.75" customHeight="1">
      <c r="A11" s="31">
        <v>6</v>
      </c>
      <c r="B11" s="32" t="s">
        <v>71</v>
      </c>
      <c r="C11" s="3">
        <v>1</v>
      </c>
      <c r="D11" s="3">
        <v>2</v>
      </c>
      <c r="E11" s="11">
        <f t="shared" si="0"/>
        <v>1</v>
      </c>
      <c r="F11" s="3"/>
      <c r="G11" s="3"/>
      <c r="H11" s="3"/>
      <c r="I11" s="87"/>
      <c r="J11" s="87"/>
      <c r="K11" s="87"/>
      <c r="L11" s="87"/>
      <c r="M11" s="87"/>
      <c r="N11" s="87"/>
      <c r="O11" s="87"/>
      <c r="P11" s="87"/>
      <c r="Q11" s="87"/>
      <c r="R11" s="87">
        <v>22</v>
      </c>
      <c r="S11" s="87"/>
      <c r="T11" s="87"/>
    </row>
    <row r="12" spans="1:20" s="20" customFormat="1" ht="12.75" customHeight="1">
      <c r="A12" s="31">
        <v>7</v>
      </c>
      <c r="B12" s="31" t="s">
        <v>60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148</v>
      </c>
      <c r="R12" s="3"/>
      <c r="S12" s="3"/>
      <c r="T12" s="3"/>
    </row>
    <row r="13" spans="1:20" s="20" customFormat="1" ht="12.75" customHeight="1">
      <c r="A13" s="31">
        <v>8</v>
      </c>
      <c r="B13" s="32" t="s">
        <v>85</v>
      </c>
      <c r="C13" s="3"/>
      <c r="D13" s="3"/>
      <c r="E13" s="11">
        <f t="shared" si="0"/>
        <v>0</v>
      </c>
      <c r="F13" s="3"/>
      <c r="G13" s="3"/>
      <c r="H13" s="3"/>
      <c r="I13" s="3">
        <v>148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0" customFormat="1" ht="13.5" customHeight="1">
      <c r="A14" s="31">
        <v>9</v>
      </c>
      <c r="B14" s="32" t="s">
        <v>70</v>
      </c>
      <c r="C14" s="3">
        <v>1</v>
      </c>
      <c r="D14" s="3"/>
      <c r="E14" s="11">
        <f t="shared" si="0"/>
        <v>-1</v>
      </c>
      <c r="F14" s="3"/>
      <c r="G14" s="3"/>
      <c r="H14" s="3"/>
      <c r="I14" s="3">
        <v>30</v>
      </c>
      <c r="J14" s="3">
        <v>1</v>
      </c>
      <c r="K14" s="3"/>
      <c r="L14" s="3"/>
      <c r="M14" s="3"/>
      <c r="N14" s="3"/>
      <c r="O14" s="3"/>
      <c r="P14" s="3"/>
      <c r="Q14" s="3">
        <v>8</v>
      </c>
      <c r="R14" s="3">
        <v>1</v>
      </c>
      <c r="S14" s="3"/>
      <c r="T14" s="3"/>
    </row>
    <row r="15" spans="1:20" s="20" customFormat="1" ht="12.75" customHeight="1">
      <c r="A15" s="31">
        <v>10</v>
      </c>
      <c r="B15" s="31" t="s">
        <v>61</v>
      </c>
      <c r="C15" s="3"/>
      <c r="D15" s="3"/>
      <c r="E15" s="11">
        <f t="shared" si="0"/>
        <v>0</v>
      </c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0" customFormat="1" ht="12.75" customHeight="1">
      <c r="A16" s="31">
        <v>11</v>
      </c>
      <c r="B16" s="31" t="s">
        <v>62</v>
      </c>
      <c r="C16" s="3">
        <v>1</v>
      </c>
      <c r="D16" s="3"/>
      <c r="E16" s="11">
        <f t="shared" si="0"/>
        <v>-1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4</v>
      </c>
      <c r="S16" s="3"/>
      <c r="T16" s="3"/>
    </row>
    <row r="17" spans="1:20" s="20" customFormat="1" ht="12.75" customHeight="1">
      <c r="A17" s="31">
        <v>12</v>
      </c>
      <c r="B17" s="31" t="s">
        <v>63</v>
      </c>
      <c r="C17" s="3"/>
      <c r="D17" s="3"/>
      <c r="E17" s="11"/>
      <c r="F17" s="3">
        <v>625</v>
      </c>
      <c r="G17" s="3">
        <v>375</v>
      </c>
      <c r="H17" s="3">
        <f aca="true" t="shared" si="1" ref="H17:H23">G17-F17</f>
        <v>-250</v>
      </c>
      <c r="I17" s="3"/>
      <c r="J17" s="3"/>
      <c r="K17" s="3"/>
      <c r="L17" s="3">
        <v>8</v>
      </c>
      <c r="M17" s="3"/>
      <c r="N17" s="3"/>
      <c r="O17" s="3"/>
      <c r="P17" s="3"/>
      <c r="Q17" s="3"/>
      <c r="R17" s="3"/>
      <c r="S17" s="3">
        <v>1100</v>
      </c>
      <c r="T17" s="3">
        <v>2025</v>
      </c>
    </row>
    <row r="18" spans="1:20" s="20" customFormat="1" ht="12.75" customHeight="1">
      <c r="A18" s="31">
        <v>13</v>
      </c>
      <c r="B18" s="32" t="s">
        <v>69</v>
      </c>
      <c r="C18" s="3"/>
      <c r="D18" s="3"/>
      <c r="E18" s="11"/>
      <c r="F18" s="3"/>
      <c r="G18" s="3"/>
      <c r="H18" s="3">
        <f t="shared" si="1"/>
        <v>0</v>
      </c>
      <c r="I18" s="3"/>
      <c r="J18" s="3"/>
      <c r="K18" s="3"/>
      <c r="L18" s="3"/>
      <c r="M18" s="3">
        <v>3</v>
      </c>
      <c r="N18" s="3"/>
      <c r="O18" s="3"/>
      <c r="P18" s="3"/>
      <c r="Q18" s="3"/>
      <c r="R18" s="3"/>
      <c r="S18" s="3"/>
      <c r="T18" s="3"/>
    </row>
    <row r="19" spans="1:20" s="20" customFormat="1" ht="44.25" customHeight="1">
      <c r="A19" s="136" t="s">
        <v>101</v>
      </c>
      <c r="B19" s="137"/>
      <c r="C19" s="3">
        <f>SUM(C6:C18)</f>
        <v>18</v>
      </c>
      <c r="D19" s="3">
        <f>SUM(D6:D18)</f>
        <v>12</v>
      </c>
      <c r="E19" s="11">
        <f t="shared" si="0"/>
        <v>-6</v>
      </c>
      <c r="F19" s="3">
        <f>SUM(F10:F18)</f>
        <v>645</v>
      </c>
      <c r="G19" s="3">
        <f>SUM(G10:G18)</f>
        <v>381</v>
      </c>
      <c r="H19" s="3">
        <f t="shared" si="1"/>
        <v>-264</v>
      </c>
      <c r="I19" s="3">
        <f>SUM(I6:I18)</f>
        <v>178</v>
      </c>
      <c r="J19" s="3">
        <f aca="true" t="shared" si="2" ref="J19:T19">SUM(J6:J18)</f>
        <v>2</v>
      </c>
      <c r="K19" s="3">
        <f t="shared" si="2"/>
        <v>2</v>
      </c>
      <c r="L19" s="3">
        <f t="shared" si="2"/>
        <v>8</v>
      </c>
      <c r="M19" s="3">
        <f t="shared" si="2"/>
        <v>3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208</v>
      </c>
      <c r="R19" s="3">
        <f t="shared" si="2"/>
        <v>89</v>
      </c>
      <c r="S19" s="3">
        <f t="shared" si="2"/>
        <v>1789</v>
      </c>
      <c r="T19" s="3">
        <f t="shared" si="2"/>
        <v>2612</v>
      </c>
    </row>
    <row r="20" spans="1:20" s="20" customFormat="1" ht="12.75" customHeight="1">
      <c r="A20" s="31">
        <v>1</v>
      </c>
      <c r="B20" s="32" t="s">
        <v>80</v>
      </c>
      <c r="C20" s="3"/>
      <c r="D20" s="3"/>
      <c r="E20" s="11">
        <f t="shared" si="0"/>
        <v>0</v>
      </c>
      <c r="F20" s="3"/>
      <c r="G20" s="3"/>
      <c r="H20" s="3">
        <f t="shared" si="1"/>
        <v>0</v>
      </c>
      <c r="I20" s="3"/>
      <c r="J20" s="3"/>
      <c r="K20" s="3"/>
      <c r="L20" s="3"/>
      <c r="M20" s="87"/>
      <c r="N20" s="3"/>
      <c r="O20" s="3"/>
      <c r="P20" s="3"/>
      <c r="Q20" s="3"/>
      <c r="R20" s="3"/>
      <c r="S20" s="110"/>
      <c r="T20" s="22">
        <v>38</v>
      </c>
    </row>
    <row r="21" spans="1:20" s="20" customFormat="1" ht="12.75" customHeight="1">
      <c r="A21" s="31">
        <v>2</v>
      </c>
      <c r="B21" s="32" t="s">
        <v>86</v>
      </c>
      <c r="C21" s="3"/>
      <c r="D21" s="3"/>
      <c r="E21" s="11">
        <f t="shared" si="0"/>
        <v>0</v>
      </c>
      <c r="F21" s="3"/>
      <c r="G21" s="3"/>
      <c r="H21" s="3">
        <f t="shared" si="1"/>
        <v>0</v>
      </c>
      <c r="I21" s="3"/>
      <c r="J21" s="3"/>
      <c r="K21" s="3"/>
      <c r="L21" s="3"/>
      <c r="M21" s="87"/>
      <c r="N21" s="3"/>
      <c r="O21" s="3"/>
      <c r="P21" s="3"/>
      <c r="Q21" s="3"/>
      <c r="R21" s="3"/>
      <c r="S21" s="110"/>
      <c r="T21" s="22"/>
    </row>
    <row r="22" spans="1:20" s="20" customFormat="1" ht="30" customHeight="1">
      <c r="A22" s="138" t="s">
        <v>88</v>
      </c>
      <c r="B22" s="139"/>
      <c r="C22" s="3">
        <f>SUM(C20:C21)</f>
        <v>0</v>
      </c>
      <c r="D22" s="3">
        <f>SUM(D20:D21)</f>
        <v>0</v>
      </c>
      <c r="E22" s="11">
        <f t="shared" si="0"/>
        <v>0</v>
      </c>
      <c r="F22" s="3">
        <f aca="true" t="shared" si="3" ref="F22:T22">SUM(F20:F21)</f>
        <v>0</v>
      </c>
      <c r="G22" s="3">
        <f t="shared" si="3"/>
        <v>0</v>
      </c>
      <c r="H22" s="3">
        <f t="shared" si="1"/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0</v>
      </c>
      <c r="R22" s="3">
        <f t="shared" si="3"/>
        <v>0</v>
      </c>
      <c r="S22" s="3">
        <f t="shared" si="3"/>
        <v>0</v>
      </c>
      <c r="T22" s="3">
        <f t="shared" si="3"/>
        <v>38</v>
      </c>
    </row>
    <row r="23" spans="1:20" s="20" customFormat="1" ht="37.5" customHeight="1">
      <c r="A23" s="134" t="s">
        <v>89</v>
      </c>
      <c r="B23" s="135"/>
      <c r="C23" s="3">
        <f>C22+C19</f>
        <v>18</v>
      </c>
      <c r="D23" s="3">
        <f>D22+D19</f>
        <v>12</v>
      </c>
      <c r="E23" s="11">
        <f>D23-C23</f>
        <v>-6</v>
      </c>
      <c r="F23" s="3">
        <f>F22+F19</f>
        <v>645</v>
      </c>
      <c r="G23" s="3">
        <f>G22+G19</f>
        <v>381</v>
      </c>
      <c r="H23" s="3">
        <f t="shared" si="1"/>
        <v>-264</v>
      </c>
      <c r="I23" s="3">
        <f aca="true" t="shared" si="4" ref="I23:T23">I22+I19</f>
        <v>178</v>
      </c>
      <c r="J23" s="3">
        <f t="shared" si="4"/>
        <v>2</v>
      </c>
      <c r="K23" s="3">
        <f t="shared" si="4"/>
        <v>2</v>
      </c>
      <c r="L23" s="3">
        <f t="shared" si="4"/>
        <v>8</v>
      </c>
      <c r="M23" s="3">
        <f t="shared" si="4"/>
        <v>3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208</v>
      </c>
      <c r="R23" s="3">
        <f t="shared" si="4"/>
        <v>89</v>
      </c>
      <c r="S23" s="3">
        <f t="shared" si="4"/>
        <v>1789</v>
      </c>
      <c r="T23" s="3">
        <f t="shared" si="4"/>
        <v>2650</v>
      </c>
    </row>
    <row r="24" ht="14.25">
      <c r="B24" s="73"/>
    </row>
  </sheetData>
  <sheetProtection/>
  <mergeCells count="16">
    <mergeCell ref="C1:R1"/>
    <mergeCell ref="F3:H3"/>
    <mergeCell ref="C3:E3"/>
    <mergeCell ref="C4:C5"/>
    <mergeCell ref="D4:D5"/>
    <mergeCell ref="F4:F5"/>
    <mergeCell ref="G4:G5"/>
    <mergeCell ref="M4:N4"/>
    <mergeCell ref="O4:P4"/>
    <mergeCell ref="Q4:R4"/>
    <mergeCell ref="S4:T4"/>
    <mergeCell ref="I4:J4"/>
    <mergeCell ref="K4:L4"/>
    <mergeCell ref="A23:B23"/>
    <mergeCell ref="A19:B19"/>
    <mergeCell ref="A22:B22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75" zoomScaleNormal="65" zoomScaleSheetLayoutView="75" zoomScalePageLayoutView="0" workbookViewId="0" topLeftCell="A1">
      <selection activeCell="A23" sqref="A23:B23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93" t="s">
        <v>108</v>
      </c>
      <c r="D1" s="93"/>
      <c r="E1" s="93"/>
      <c r="F1" s="93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02" t="s">
        <v>2</v>
      </c>
      <c r="B3" s="202" t="s">
        <v>3</v>
      </c>
      <c r="C3" s="24" t="s">
        <v>19</v>
      </c>
      <c r="D3" s="25"/>
      <c r="E3" s="27"/>
      <c r="F3" s="24"/>
      <c r="G3" s="25"/>
      <c r="H3" s="25" t="s">
        <v>20</v>
      </c>
      <c r="I3" s="25"/>
      <c r="J3" s="25"/>
      <c r="K3" s="27"/>
      <c r="L3" s="20"/>
      <c r="M3" s="20"/>
    </row>
    <row r="4" spans="1:13" ht="15">
      <c r="A4" s="203"/>
      <c r="B4" s="203"/>
      <c r="C4" s="18">
        <v>2011</v>
      </c>
      <c r="D4" s="19">
        <v>2012</v>
      </c>
      <c r="E4" s="19" t="s">
        <v>95</v>
      </c>
      <c r="F4" s="24" t="s">
        <v>23</v>
      </c>
      <c r="G4" s="27"/>
      <c r="H4" s="24" t="s">
        <v>21</v>
      </c>
      <c r="I4" s="27"/>
      <c r="J4" s="24" t="s">
        <v>22</v>
      </c>
      <c r="K4" s="27"/>
      <c r="L4" s="20"/>
      <c r="M4" s="20"/>
    </row>
    <row r="5" spans="1:13" ht="15">
      <c r="A5" s="204"/>
      <c r="B5" s="204"/>
      <c r="C5" s="40"/>
      <c r="D5" s="11"/>
      <c r="E5" s="11" t="s">
        <v>96</v>
      </c>
      <c r="F5" s="18">
        <v>2011</v>
      </c>
      <c r="G5" s="19">
        <v>2012</v>
      </c>
      <c r="H5" s="18">
        <v>2011</v>
      </c>
      <c r="I5" s="19">
        <v>2012</v>
      </c>
      <c r="J5" s="18">
        <v>2011</v>
      </c>
      <c r="K5" s="19">
        <v>2012</v>
      </c>
      <c r="L5" s="20"/>
      <c r="M5" s="20"/>
    </row>
    <row r="6" spans="1:13" ht="16.5">
      <c r="A6" s="31">
        <v>1</v>
      </c>
      <c r="B6" s="31" t="s">
        <v>55</v>
      </c>
      <c r="C6" s="82">
        <v>29.5</v>
      </c>
      <c r="D6" s="82">
        <v>26.6</v>
      </c>
      <c r="E6" s="81">
        <f aca="true" t="shared" si="0" ref="E6:E23">D6*100/C6</f>
        <v>90.16949152542372</v>
      </c>
      <c r="F6" s="82">
        <v>27.6</v>
      </c>
      <c r="G6" s="82">
        <v>26.6</v>
      </c>
      <c r="H6" s="82"/>
      <c r="I6" s="82"/>
      <c r="J6" s="82">
        <v>1.9</v>
      </c>
      <c r="K6" s="82"/>
      <c r="L6" s="20"/>
      <c r="M6" s="20"/>
    </row>
    <row r="7" spans="1:13" ht="16.5">
      <c r="A7" s="31">
        <v>2</v>
      </c>
      <c r="B7" s="31" t="s">
        <v>56</v>
      </c>
      <c r="C7" s="82">
        <v>14</v>
      </c>
      <c r="D7" s="82">
        <v>7.118</v>
      </c>
      <c r="E7" s="81">
        <f t="shared" si="0"/>
        <v>50.84285714285715</v>
      </c>
      <c r="F7" s="82">
        <v>14</v>
      </c>
      <c r="G7" s="82">
        <v>7.118</v>
      </c>
      <c r="H7" s="82"/>
      <c r="I7" s="82"/>
      <c r="J7" s="82"/>
      <c r="K7" s="82"/>
      <c r="L7" s="20"/>
      <c r="M7" s="20"/>
    </row>
    <row r="8" spans="1:13" ht="16.5">
      <c r="A8" s="31">
        <v>3</v>
      </c>
      <c r="B8" s="31" t="s">
        <v>57</v>
      </c>
      <c r="C8" s="82">
        <v>5.3</v>
      </c>
      <c r="D8" s="82">
        <v>6.3</v>
      </c>
      <c r="E8" s="81">
        <f t="shared" si="0"/>
        <v>118.86792452830188</v>
      </c>
      <c r="F8" s="82">
        <v>5.3</v>
      </c>
      <c r="G8" s="82">
        <v>6.3</v>
      </c>
      <c r="H8" s="82"/>
      <c r="I8" s="82"/>
      <c r="J8" s="82"/>
      <c r="K8" s="82"/>
      <c r="L8" s="20"/>
      <c r="M8" s="20"/>
    </row>
    <row r="9" spans="1:13" ht="16.5">
      <c r="A9" s="31">
        <v>4</v>
      </c>
      <c r="B9" s="41" t="s">
        <v>58</v>
      </c>
      <c r="C9" s="82">
        <v>86.9</v>
      </c>
      <c r="D9" s="82">
        <v>51.5</v>
      </c>
      <c r="E9" s="81">
        <f t="shared" si="0"/>
        <v>59.263521288837744</v>
      </c>
      <c r="F9" s="82">
        <v>71.2</v>
      </c>
      <c r="G9" s="82">
        <v>39.9</v>
      </c>
      <c r="H9" s="82">
        <v>12.9</v>
      </c>
      <c r="I9" s="82">
        <v>10.4</v>
      </c>
      <c r="J9" s="82">
        <v>2.8</v>
      </c>
      <c r="K9" s="82">
        <v>1.2</v>
      </c>
      <c r="L9" s="20"/>
      <c r="M9" s="20"/>
    </row>
    <row r="10" spans="1:13" ht="16.5">
      <c r="A10" s="31">
        <v>5</v>
      </c>
      <c r="B10" s="31" t="s">
        <v>59</v>
      </c>
      <c r="C10" s="82">
        <v>41.1</v>
      </c>
      <c r="D10" s="82">
        <v>48.7</v>
      </c>
      <c r="E10" s="81">
        <f t="shared" si="0"/>
        <v>118.49148418491484</v>
      </c>
      <c r="F10" s="82">
        <v>26</v>
      </c>
      <c r="G10" s="82">
        <v>37.6</v>
      </c>
      <c r="H10" s="82">
        <v>11</v>
      </c>
      <c r="I10" s="82">
        <v>8.3</v>
      </c>
      <c r="J10" s="82">
        <v>4.1</v>
      </c>
      <c r="K10" s="82">
        <v>2.8</v>
      </c>
      <c r="L10" s="20"/>
      <c r="M10" s="20"/>
    </row>
    <row r="11" spans="1:13" ht="16.5">
      <c r="A11" s="31">
        <v>6</v>
      </c>
      <c r="B11" s="32" t="s">
        <v>71</v>
      </c>
      <c r="C11" s="82">
        <v>22.5</v>
      </c>
      <c r="D11" s="118">
        <v>15.6</v>
      </c>
      <c r="E11" s="81">
        <f t="shared" si="0"/>
        <v>69.33333333333333</v>
      </c>
      <c r="F11" s="83">
        <v>21.4</v>
      </c>
      <c r="G11" s="83">
        <v>14.805</v>
      </c>
      <c r="H11" s="83"/>
      <c r="I11" s="83"/>
      <c r="J11" s="83">
        <v>1.1</v>
      </c>
      <c r="K11" s="83">
        <v>0.795</v>
      </c>
      <c r="L11" s="20"/>
      <c r="M11" s="20"/>
    </row>
    <row r="12" spans="1:13" ht="16.5">
      <c r="A12" s="31">
        <v>7</v>
      </c>
      <c r="B12" s="32" t="s">
        <v>60</v>
      </c>
      <c r="C12" s="82">
        <v>1</v>
      </c>
      <c r="D12" s="82"/>
      <c r="E12" s="81">
        <f t="shared" si="0"/>
        <v>0</v>
      </c>
      <c r="F12" s="83">
        <v>1</v>
      </c>
      <c r="G12" s="83"/>
      <c r="H12" s="83"/>
      <c r="I12" s="83"/>
      <c r="J12" s="83"/>
      <c r="K12" s="83"/>
      <c r="L12" s="20"/>
      <c r="M12" s="20"/>
    </row>
    <row r="13" spans="1:13" ht="16.5">
      <c r="A13" s="31">
        <v>8</v>
      </c>
      <c r="B13" s="32" t="s">
        <v>85</v>
      </c>
      <c r="C13" s="82">
        <v>1.59</v>
      </c>
      <c r="D13" s="82">
        <v>15.917</v>
      </c>
      <c r="E13" s="81">
        <f t="shared" si="0"/>
        <v>1001.069182389937</v>
      </c>
      <c r="F13" s="83">
        <v>1.59</v>
      </c>
      <c r="G13" s="83">
        <v>15.917</v>
      </c>
      <c r="H13" s="83"/>
      <c r="I13" s="83"/>
      <c r="J13" s="83"/>
      <c r="K13" s="83"/>
      <c r="L13" s="20"/>
      <c r="M13" s="20"/>
    </row>
    <row r="14" spans="1:13" ht="16.5">
      <c r="A14" s="31">
        <v>9</v>
      </c>
      <c r="B14" s="32" t="s">
        <v>70</v>
      </c>
      <c r="C14" s="82">
        <v>11.45</v>
      </c>
      <c r="D14" s="82">
        <v>12.57</v>
      </c>
      <c r="E14" s="81">
        <f t="shared" si="0"/>
        <v>109.78165938864629</v>
      </c>
      <c r="F14" s="83">
        <v>11</v>
      </c>
      <c r="G14" s="83">
        <v>11.01</v>
      </c>
      <c r="H14" s="83"/>
      <c r="I14" s="83"/>
      <c r="J14" s="83">
        <v>0.45</v>
      </c>
      <c r="K14" s="83">
        <v>1.56</v>
      </c>
      <c r="L14" s="20"/>
      <c r="M14" s="20"/>
    </row>
    <row r="15" spans="1:13" ht="16.5">
      <c r="A15" s="31">
        <v>10</v>
      </c>
      <c r="B15" s="32" t="s">
        <v>61</v>
      </c>
      <c r="C15" s="82">
        <v>12.7</v>
      </c>
      <c r="D15" s="82">
        <v>19.3</v>
      </c>
      <c r="E15" s="81">
        <f t="shared" si="0"/>
        <v>151.96850393700788</v>
      </c>
      <c r="F15" s="83">
        <v>12.7</v>
      </c>
      <c r="G15" s="83">
        <v>19.3</v>
      </c>
      <c r="H15" s="83"/>
      <c r="I15" s="83"/>
      <c r="J15" s="83"/>
      <c r="K15" s="83"/>
      <c r="L15" s="20"/>
      <c r="M15" s="20"/>
    </row>
    <row r="16" spans="1:13" ht="16.5">
      <c r="A16" s="31">
        <v>11</v>
      </c>
      <c r="B16" s="32" t="s">
        <v>62</v>
      </c>
      <c r="C16" s="82">
        <v>11.6</v>
      </c>
      <c r="D16" s="82">
        <v>4.3</v>
      </c>
      <c r="E16" s="81">
        <f t="shared" si="0"/>
        <v>37.06896551724138</v>
      </c>
      <c r="F16" s="83">
        <v>11.2</v>
      </c>
      <c r="G16" s="83">
        <v>4.3</v>
      </c>
      <c r="H16" s="83"/>
      <c r="I16" s="83"/>
      <c r="J16" s="83">
        <v>0.4</v>
      </c>
      <c r="K16" s="83"/>
      <c r="L16" s="20"/>
      <c r="M16" s="20"/>
    </row>
    <row r="17" spans="1:13" ht="16.5">
      <c r="A17" s="31">
        <v>12</v>
      </c>
      <c r="B17" s="32" t="s">
        <v>63</v>
      </c>
      <c r="C17" s="82">
        <v>587</v>
      </c>
      <c r="D17" s="82">
        <v>734</v>
      </c>
      <c r="E17" s="81">
        <f t="shared" si="0"/>
        <v>125.04258943781942</v>
      </c>
      <c r="F17" s="83"/>
      <c r="G17" s="83"/>
      <c r="H17" s="83">
        <v>587</v>
      </c>
      <c r="I17" s="83">
        <v>734</v>
      </c>
      <c r="J17" s="83"/>
      <c r="K17" s="83"/>
      <c r="L17" s="20"/>
      <c r="M17" s="20"/>
    </row>
    <row r="18" spans="1:13" ht="16.5">
      <c r="A18" s="31">
        <v>13</v>
      </c>
      <c r="B18" s="32" t="s">
        <v>69</v>
      </c>
      <c r="C18" s="82">
        <v>3.1</v>
      </c>
      <c r="D18" s="82">
        <v>3</v>
      </c>
      <c r="E18" s="81">
        <f t="shared" si="0"/>
        <v>96.77419354838709</v>
      </c>
      <c r="F18" s="83"/>
      <c r="G18" s="83"/>
      <c r="H18" s="83"/>
      <c r="I18" s="83"/>
      <c r="J18" s="83">
        <v>3.1</v>
      </c>
      <c r="K18" s="83">
        <v>3</v>
      </c>
      <c r="L18" s="20"/>
      <c r="M18" s="20"/>
    </row>
    <row r="19" spans="1:13" ht="46.5" customHeight="1">
      <c r="A19" s="205" t="s">
        <v>87</v>
      </c>
      <c r="B19" s="206"/>
      <c r="C19" s="82">
        <f>SUM(C6:C18)</f>
        <v>827.74</v>
      </c>
      <c r="D19" s="82">
        <f>SUM(D6:D18)</f>
        <v>944.905</v>
      </c>
      <c r="E19" s="81">
        <f t="shared" si="0"/>
        <v>114.15480706502042</v>
      </c>
      <c r="F19" s="83">
        <f aca="true" t="shared" si="1" ref="F19:K19">SUM(F6:F18)</f>
        <v>202.98999999999998</v>
      </c>
      <c r="G19" s="83">
        <f t="shared" si="1"/>
        <v>182.85000000000002</v>
      </c>
      <c r="H19" s="83">
        <f t="shared" si="1"/>
        <v>610.9</v>
      </c>
      <c r="I19" s="83">
        <f t="shared" si="1"/>
        <v>752.7</v>
      </c>
      <c r="J19" s="83">
        <f t="shared" si="1"/>
        <v>13.849999999999998</v>
      </c>
      <c r="K19" s="83">
        <f t="shared" si="1"/>
        <v>9.355</v>
      </c>
      <c r="L19" s="20"/>
      <c r="M19" s="20"/>
    </row>
    <row r="20" spans="1:13" ht="16.5">
      <c r="A20" s="31">
        <v>1</v>
      </c>
      <c r="B20" s="32" t="s">
        <v>80</v>
      </c>
      <c r="C20" s="82">
        <v>0.5</v>
      </c>
      <c r="D20" s="82">
        <v>1.2</v>
      </c>
      <c r="E20" s="81"/>
      <c r="F20" s="83"/>
      <c r="G20" s="83"/>
      <c r="H20" s="83">
        <v>0.5</v>
      </c>
      <c r="I20" s="83">
        <v>1.2</v>
      </c>
      <c r="J20" s="83"/>
      <c r="K20" s="83"/>
      <c r="L20" s="20"/>
      <c r="M20" s="20"/>
    </row>
    <row r="21" spans="1:13" ht="18">
      <c r="A21" s="31">
        <v>2</v>
      </c>
      <c r="B21" s="32" t="s">
        <v>86</v>
      </c>
      <c r="C21" s="82"/>
      <c r="D21" s="82">
        <v>0.1</v>
      </c>
      <c r="E21" s="81"/>
      <c r="F21" s="16"/>
      <c r="G21" s="83"/>
      <c r="H21" s="16"/>
      <c r="I21" s="83"/>
      <c r="J21" s="83"/>
      <c r="K21" s="83">
        <v>0.1</v>
      </c>
      <c r="L21" s="20"/>
      <c r="M21" s="20"/>
    </row>
    <row r="22" spans="1:13" ht="18">
      <c r="A22" s="207" t="s">
        <v>88</v>
      </c>
      <c r="B22" s="208"/>
      <c r="C22" s="82">
        <f>SUM(C20:C21)</f>
        <v>0.5</v>
      </c>
      <c r="D22" s="82">
        <f>SUM(D20:D21)</f>
        <v>1.3</v>
      </c>
      <c r="E22" s="81">
        <f t="shared" si="0"/>
        <v>260</v>
      </c>
      <c r="F22" s="16">
        <f aca="true" t="shared" si="2" ref="F22:K22">SUM(F20:F21)</f>
        <v>0</v>
      </c>
      <c r="G22" s="83">
        <f t="shared" si="2"/>
        <v>0</v>
      </c>
      <c r="H22" s="16">
        <f t="shared" si="2"/>
        <v>0.5</v>
      </c>
      <c r="I22" s="83">
        <f t="shared" si="2"/>
        <v>1.2</v>
      </c>
      <c r="J22" s="83">
        <f t="shared" si="2"/>
        <v>0</v>
      </c>
      <c r="K22" s="83">
        <f t="shared" si="2"/>
        <v>0.1</v>
      </c>
      <c r="L22" s="20"/>
      <c r="M22" s="20"/>
    </row>
    <row r="23" spans="1:13" ht="16.5">
      <c r="A23" s="200" t="s">
        <v>89</v>
      </c>
      <c r="B23" s="201"/>
      <c r="C23" s="84">
        <f>C19+C22</f>
        <v>828.24</v>
      </c>
      <c r="D23" s="84">
        <f>D19+D22</f>
        <v>946.2049999999999</v>
      </c>
      <c r="E23" s="81">
        <f t="shared" si="0"/>
        <v>114.24285231333913</v>
      </c>
      <c r="F23" s="84">
        <f aca="true" t="shared" si="3" ref="F23:K23">F19+F22</f>
        <v>202.98999999999998</v>
      </c>
      <c r="G23" s="84">
        <f t="shared" si="3"/>
        <v>182.85000000000002</v>
      </c>
      <c r="H23" s="84">
        <f t="shared" si="3"/>
        <v>611.4</v>
      </c>
      <c r="I23" s="84">
        <f t="shared" si="3"/>
        <v>753.9000000000001</v>
      </c>
      <c r="J23" s="84">
        <f t="shared" si="3"/>
        <v>13.849999999999998</v>
      </c>
      <c r="K23" s="84">
        <f t="shared" si="3"/>
        <v>9.455</v>
      </c>
      <c r="L23" s="20"/>
      <c r="M23" s="20"/>
    </row>
  </sheetData>
  <sheetProtection/>
  <mergeCells count="5">
    <mergeCell ref="A23:B23"/>
    <mergeCell ref="A3:A5"/>
    <mergeCell ref="B3:B5"/>
    <mergeCell ref="A19:B19"/>
    <mergeCell ref="A22:B22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A23" sqref="A23:B23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8.875" style="0" customWidth="1"/>
    <col min="4" max="4" width="9.375" style="0" customWidth="1"/>
    <col min="5" max="5" width="8.25390625" style="0" customWidth="1"/>
    <col min="6" max="7" width="7.1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116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77"/>
      <c r="B4" s="23" t="s">
        <v>3</v>
      </c>
      <c r="C4" s="26" t="s">
        <v>65</v>
      </c>
      <c r="D4" s="103"/>
      <c r="E4" s="103"/>
      <c r="F4" s="101"/>
      <c r="G4" s="101"/>
      <c r="H4" s="104"/>
      <c r="I4" s="96" t="s">
        <v>46</v>
      </c>
      <c r="J4" s="101"/>
      <c r="K4" s="103"/>
      <c r="L4" s="101"/>
      <c r="M4" s="101"/>
      <c r="N4" s="104"/>
      <c r="O4" s="96" t="s">
        <v>47</v>
      </c>
      <c r="P4" s="101"/>
      <c r="Q4" s="103"/>
      <c r="R4" s="101"/>
      <c r="S4" s="101"/>
      <c r="T4" s="104"/>
    </row>
    <row r="5" spans="1:20" ht="15" customHeight="1">
      <c r="A5" s="78" t="s">
        <v>2</v>
      </c>
      <c r="B5" s="33"/>
      <c r="C5" s="25" t="s">
        <v>48</v>
      </c>
      <c r="D5" s="101"/>
      <c r="E5" s="148" t="s">
        <v>102</v>
      </c>
      <c r="F5" s="96" t="s">
        <v>49</v>
      </c>
      <c r="G5" s="100"/>
      <c r="H5" s="148" t="s">
        <v>102</v>
      </c>
      <c r="I5" s="151" t="s">
        <v>48</v>
      </c>
      <c r="J5" s="151"/>
      <c r="K5" s="148" t="s">
        <v>102</v>
      </c>
      <c r="L5" s="151" t="s">
        <v>49</v>
      </c>
      <c r="M5" s="151"/>
      <c r="N5" s="148" t="s">
        <v>102</v>
      </c>
      <c r="O5" s="101" t="s">
        <v>48</v>
      </c>
      <c r="P5" s="101"/>
      <c r="Q5" s="148" t="s">
        <v>83</v>
      </c>
      <c r="R5" s="152" t="s">
        <v>49</v>
      </c>
      <c r="S5" s="153"/>
      <c r="T5" s="148" t="s">
        <v>102</v>
      </c>
    </row>
    <row r="6" spans="1:20" ht="15">
      <c r="A6" s="78" t="s">
        <v>68</v>
      </c>
      <c r="B6" s="33"/>
      <c r="C6" s="146">
        <v>2011</v>
      </c>
      <c r="D6" s="146">
        <v>2012</v>
      </c>
      <c r="E6" s="149"/>
      <c r="F6" s="146">
        <v>2011</v>
      </c>
      <c r="G6" s="146">
        <v>2012</v>
      </c>
      <c r="H6" s="149"/>
      <c r="I6" s="146">
        <v>2011</v>
      </c>
      <c r="J6" s="146">
        <v>2012</v>
      </c>
      <c r="K6" s="149"/>
      <c r="L6" s="146">
        <v>2011</v>
      </c>
      <c r="M6" s="146">
        <v>2012</v>
      </c>
      <c r="N6" s="149"/>
      <c r="O6" s="146">
        <v>2011</v>
      </c>
      <c r="P6" s="146">
        <v>2012</v>
      </c>
      <c r="Q6" s="149"/>
      <c r="R6" s="146">
        <v>2011</v>
      </c>
      <c r="S6" s="146">
        <v>2012</v>
      </c>
      <c r="T6" s="149"/>
    </row>
    <row r="7" spans="1:20" ht="15">
      <c r="A7" s="79"/>
      <c r="B7" s="29"/>
      <c r="C7" s="147"/>
      <c r="D7" s="147"/>
      <c r="E7" s="150"/>
      <c r="F7" s="147"/>
      <c r="G7" s="147"/>
      <c r="H7" s="150"/>
      <c r="I7" s="147"/>
      <c r="J7" s="147"/>
      <c r="K7" s="150"/>
      <c r="L7" s="147"/>
      <c r="M7" s="147"/>
      <c r="N7" s="150"/>
      <c r="O7" s="147"/>
      <c r="P7" s="147"/>
      <c r="Q7" s="150"/>
      <c r="R7" s="147"/>
      <c r="S7" s="147"/>
      <c r="T7" s="150"/>
    </row>
    <row r="8" spans="1:20" ht="15">
      <c r="A8" s="2">
        <v>1</v>
      </c>
      <c r="B8" s="22" t="s">
        <v>55</v>
      </c>
      <c r="C8" s="123">
        <v>167</v>
      </c>
      <c r="D8" s="3">
        <v>151</v>
      </c>
      <c r="E8" s="36">
        <f aca="true" t="shared" si="0" ref="E8:E18">D8/C8*100</f>
        <v>90.41916167664671</v>
      </c>
      <c r="F8" s="3"/>
      <c r="G8" s="3"/>
      <c r="H8" s="36"/>
      <c r="I8" s="3">
        <v>42781</v>
      </c>
      <c r="J8" s="3">
        <v>29807</v>
      </c>
      <c r="K8" s="36">
        <f>J8*100/I8</f>
        <v>69.67345316846263</v>
      </c>
      <c r="L8" s="3"/>
      <c r="M8" s="3"/>
      <c r="N8" s="36"/>
      <c r="O8" s="36">
        <f aca="true" t="shared" si="1" ref="O8:O18">C8/I8*100000</f>
        <v>390.360206633786</v>
      </c>
      <c r="P8" s="36">
        <f aca="true" t="shared" si="2" ref="P8:P17">D8/J8*100000</f>
        <v>506.5924111785822</v>
      </c>
      <c r="Q8" s="36">
        <f aca="true" t="shared" si="3" ref="Q8:Q18">P8/O8*100</f>
        <v>129.7756283989876</v>
      </c>
      <c r="R8" s="36"/>
      <c r="S8" s="36"/>
      <c r="T8" s="36"/>
    </row>
    <row r="9" spans="1:20" ht="15">
      <c r="A9" s="2">
        <v>2</v>
      </c>
      <c r="B9" s="22" t="s">
        <v>56</v>
      </c>
      <c r="C9" s="123">
        <v>85.64</v>
      </c>
      <c r="D9" s="3">
        <v>98.27</v>
      </c>
      <c r="E9" s="36">
        <f t="shared" si="0"/>
        <v>114.74778141055582</v>
      </c>
      <c r="F9" s="3"/>
      <c r="G9" s="3"/>
      <c r="H9" s="36"/>
      <c r="I9" s="3">
        <v>31708</v>
      </c>
      <c r="J9" s="3">
        <v>30260</v>
      </c>
      <c r="K9" s="36">
        <f aca="true" t="shared" si="4" ref="K9:K23">J9*100/I9</f>
        <v>95.4333291282957</v>
      </c>
      <c r="L9" s="3"/>
      <c r="M9" s="3"/>
      <c r="N9" s="36"/>
      <c r="O9" s="36">
        <f t="shared" si="1"/>
        <v>270.0895673016273</v>
      </c>
      <c r="P9" s="36">
        <f t="shared" si="2"/>
        <v>324.7521480502313</v>
      </c>
      <c r="Q9" s="36">
        <f t="shared" si="3"/>
        <v>120.23868648268024</v>
      </c>
      <c r="R9" s="36"/>
      <c r="S9" s="36"/>
      <c r="T9" s="36"/>
    </row>
    <row r="10" spans="1:20" ht="15">
      <c r="A10" s="2">
        <v>3</v>
      </c>
      <c r="B10" s="37" t="s">
        <v>57</v>
      </c>
      <c r="C10" s="124">
        <v>75.05</v>
      </c>
      <c r="D10" s="19">
        <v>59</v>
      </c>
      <c r="E10" s="36">
        <f t="shared" si="0"/>
        <v>78.61425716189207</v>
      </c>
      <c r="F10" s="19"/>
      <c r="G10" s="19"/>
      <c r="H10" s="36"/>
      <c r="I10" s="3">
        <v>11674</v>
      </c>
      <c r="J10" s="3">
        <v>9142</v>
      </c>
      <c r="K10" s="36">
        <f t="shared" si="4"/>
        <v>78.3107760836046</v>
      </c>
      <c r="L10" s="19"/>
      <c r="M10" s="19"/>
      <c r="N10" s="86"/>
      <c r="O10" s="36">
        <f t="shared" si="1"/>
        <v>642.8816172691451</v>
      </c>
      <c r="P10" s="36">
        <f t="shared" si="2"/>
        <v>645.3730037190987</v>
      </c>
      <c r="Q10" s="36">
        <f t="shared" si="3"/>
        <v>100.38753424939053</v>
      </c>
      <c r="R10" s="86"/>
      <c r="S10" s="86"/>
      <c r="T10" s="86"/>
    </row>
    <row r="11" spans="1:20" ht="15">
      <c r="A11" s="2">
        <v>4</v>
      </c>
      <c r="B11" s="22" t="s">
        <v>58</v>
      </c>
      <c r="C11" s="123">
        <v>478</v>
      </c>
      <c r="D11" s="3">
        <v>419.2</v>
      </c>
      <c r="E11" s="36">
        <f t="shared" si="0"/>
        <v>87.69874476987447</v>
      </c>
      <c r="F11" s="3">
        <v>212</v>
      </c>
      <c r="G11" s="3">
        <v>188</v>
      </c>
      <c r="H11" s="36">
        <f>G11/F11*100</f>
        <v>88.67924528301887</v>
      </c>
      <c r="I11" s="3">
        <v>112608</v>
      </c>
      <c r="J11" s="3">
        <v>106229</v>
      </c>
      <c r="K11" s="36">
        <f t="shared" si="4"/>
        <v>94.33521597044614</v>
      </c>
      <c r="L11" s="3">
        <v>49150</v>
      </c>
      <c r="M11" s="3">
        <v>48218</v>
      </c>
      <c r="N11" s="36">
        <f>M11/L11*100</f>
        <v>98.10376398779248</v>
      </c>
      <c r="O11" s="36">
        <f t="shared" si="1"/>
        <v>424.4813867576016</v>
      </c>
      <c r="P11" s="36">
        <f t="shared" si="2"/>
        <v>394.61917178924773</v>
      </c>
      <c r="Q11" s="36">
        <f t="shared" si="3"/>
        <v>92.96501191808285</v>
      </c>
      <c r="R11" s="36">
        <f>F11/L11*100000</f>
        <v>431.3326551373347</v>
      </c>
      <c r="S11" s="36">
        <f>G11/M11*100000</f>
        <v>389.8958895018458</v>
      </c>
      <c r="T11" s="36">
        <f>S11/R11*100</f>
        <v>90.39331589158358</v>
      </c>
    </row>
    <row r="12" spans="1:20" ht="15">
      <c r="A12" s="2">
        <v>5</v>
      </c>
      <c r="B12" s="22" t="s">
        <v>59</v>
      </c>
      <c r="C12" s="125">
        <v>153</v>
      </c>
      <c r="D12" s="87">
        <v>134.6</v>
      </c>
      <c r="E12" s="88">
        <f t="shared" si="0"/>
        <v>87.97385620915033</v>
      </c>
      <c r="F12" s="87">
        <v>145</v>
      </c>
      <c r="G12" s="87">
        <v>12.9</v>
      </c>
      <c r="H12" s="36">
        <f>G12/F12*100</f>
        <v>8.89655172413793</v>
      </c>
      <c r="I12" s="3">
        <v>36394</v>
      </c>
      <c r="J12" s="3">
        <v>35171</v>
      </c>
      <c r="K12" s="36">
        <f t="shared" si="4"/>
        <v>96.6395559707644</v>
      </c>
      <c r="L12" s="3">
        <v>37542</v>
      </c>
      <c r="M12" s="3">
        <v>16053</v>
      </c>
      <c r="N12" s="36">
        <f>M12/L12*100</f>
        <v>42.76010867828033</v>
      </c>
      <c r="O12" s="36">
        <f t="shared" si="1"/>
        <v>420.3989668626697</v>
      </c>
      <c r="P12" s="36">
        <f t="shared" si="2"/>
        <v>382.7016576156492</v>
      </c>
      <c r="Q12" s="36">
        <f t="shared" si="3"/>
        <v>91.03296815205188</v>
      </c>
      <c r="R12" s="36">
        <f>F12/L12*100000</f>
        <v>386.2340844920356</v>
      </c>
      <c r="S12" s="36">
        <f>G12/M12*100000</f>
        <v>80.35881143711457</v>
      </c>
      <c r="T12" s="36">
        <f>S12/R12*100</f>
        <v>20.80572757911831</v>
      </c>
    </row>
    <row r="13" spans="1:20" ht="15">
      <c r="A13" s="2">
        <v>6</v>
      </c>
      <c r="B13" s="38" t="s">
        <v>71</v>
      </c>
      <c r="C13" s="125">
        <v>102.4</v>
      </c>
      <c r="D13" s="87">
        <v>133.52</v>
      </c>
      <c r="E13" s="88">
        <f t="shared" si="0"/>
        <v>130.390625</v>
      </c>
      <c r="F13" s="87"/>
      <c r="G13" s="87"/>
      <c r="H13" s="88"/>
      <c r="I13" s="87">
        <v>31143</v>
      </c>
      <c r="J13" s="87">
        <v>26155</v>
      </c>
      <c r="K13" s="36">
        <f t="shared" si="4"/>
        <v>83.9835597084417</v>
      </c>
      <c r="L13" s="87"/>
      <c r="M13" s="87"/>
      <c r="N13" s="88"/>
      <c r="O13" s="36">
        <f t="shared" si="1"/>
        <v>328.80583116591214</v>
      </c>
      <c r="P13" s="36">
        <f t="shared" si="2"/>
        <v>510.49512521506404</v>
      </c>
      <c r="Q13" s="36">
        <f t="shared" si="3"/>
        <v>155.25732113840562</v>
      </c>
      <c r="R13" s="36"/>
      <c r="S13" s="36"/>
      <c r="T13" s="88"/>
    </row>
    <row r="14" spans="1:20" ht="15">
      <c r="A14" s="2">
        <v>7</v>
      </c>
      <c r="B14" s="38" t="s">
        <v>60</v>
      </c>
      <c r="C14" s="125">
        <v>52.7</v>
      </c>
      <c r="D14" s="87"/>
      <c r="E14" s="88">
        <f t="shared" si="0"/>
        <v>0</v>
      </c>
      <c r="F14" s="87"/>
      <c r="G14" s="87"/>
      <c r="H14" s="88"/>
      <c r="I14" s="87">
        <v>22350</v>
      </c>
      <c r="J14" s="87"/>
      <c r="K14" s="36">
        <f t="shared" si="4"/>
        <v>0</v>
      </c>
      <c r="L14" s="87"/>
      <c r="M14" s="87"/>
      <c r="N14" s="88"/>
      <c r="O14" s="36">
        <f t="shared" si="1"/>
        <v>235.79418344519019</v>
      </c>
      <c r="P14" s="36"/>
      <c r="Q14" s="88"/>
      <c r="R14" s="36"/>
      <c r="S14" s="3"/>
      <c r="T14" s="88"/>
    </row>
    <row r="15" spans="1:20" ht="15">
      <c r="A15" s="2">
        <v>8</v>
      </c>
      <c r="B15" s="32" t="s">
        <v>85</v>
      </c>
      <c r="C15" s="125">
        <v>28.21</v>
      </c>
      <c r="D15" s="87">
        <v>125.92</v>
      </c>
      <c r="E15" s="88">
        <f t="shared" si="0"/>
        <v>446.3665366891173</v>
      </c>
      <c r="F15" s="87"/>
      <c r="G15" s="87"/>
      <c r="H15" s="88"/>
      <c r="I15" s="87">
        <v>8897</v>
      </c>
      <c r="J15" s="87">
        <v>40828</v>
      </c>
      <c r="K15" s="36">
        <f t="shared" si="4"/>
        <v>458.89625716533664</v>
      </c>
      <c r="L15" s="87"/>
      <c r="M15" s="87"/>
      <c r="N15" s="88"/>
      <c r="O15" s="36">
        <f t="shared" si="1"/>
        <v>317.07317073170736</v>
      </c>
      <c r="P15" s="36">
        <f t="shared" si="2"/>
        <v>308.4157930831782</v>
      </c>
      <c r="Q15" s="88"/>
      <c r="R15" s="36"/>
      <c r="S15" s="3"/>
      <c r="T15" s="88"/>
    </row>
    <row r="16" spans="1:20" s="69" customFormat="1" ht="15">
      <c r="A16" s="2">
        <v>9</v>
      </c>
      <c r="B16" s="32" t="s">
        <v>70</v>
      </c>
      <c r="C16" s="126">
        <v>87.34</v>
      </c>
      <c r="D16" s="89">
        <v>187.365</v>
      </c>
      <c r="E16" s="90">
        <f t="shared" si="0"/>
        <v>214.5237004808793</v>
      </c>
      <c r="F16" s="89"/>
      <c r="G16" s="89"/>
      <c r="H16" s="90"/>
      <c r="I16" s="89">
        <v>22309</v>
      </c>
      <c r="J16" s="89">
        <v>38023</v>
      </c>
      <c r="K16" s="36">
        <f t="shared" si="4"/>
        <v>170.43793984490566</v>
      </c>
      <c r="L16" s="89"/>
      <c r="M16" s="89"/>
      <c r="N16" s="90"/>
      <c r="O16" s="36">
        <f t="shared" si="1"/>
        <v>391.50118786140126</v>
      </c>
      <c r="P16" s="36">
        <f t="shared" si="2"/>
        <v>492.76753543907637</v>
      </c>
      <c r="Q16" s="90">
        <f t="shared" si="3"/>
        <v>125.86616611072078</v>
      </c>
      <c r="R16" s="36"/>
      <c r="S16" s="36"/>
      <c r="T16" s="36"/>
    </row>
    <row r="17" spans="1:20" ht="15">
      <c r="A17" s="2">
        <v>10</v>
      </c>
      <c r="B17" s="38" t="s">
        <v>61</v>
      </c>
      <c r="C17" s="125">
        <v>123</v>
      </c>
      <c r="D17" s="87">
        <v>155</v>
      </c>
      <c r="E17" s="88">
        <f t="shared" si="0"/>
        <v>126.01626016260164</v>
      </c>
      <c r="F17" s="87"/>
      <c r="G17" s="87"/>
      <c r="H17" s="88"/>
      <c r="I17" s="87">
        <v>30738</v>
      </c>
      <c r="J17" s="87">
        <v>29329</v>
      </c>
      <c r="K17" s="36">
        <f t="shared" si="4"/>
        <v>95.41609733879888</v>
      </c>
      <c r="L17" s="87"/>
      <c r="M17" s="87"/>
      <c r="N17" s="88"/>
      <c r="O17" s="36">
        <f t="shared" si="1"/>
        <v>400.1561585008784</v>
      </c>
      <c r="P17" s="36">
        <f t="shared" si="2"/>
        <v>528.487162876334</v>
      </c>
      <c r="Q17" s="88">
        <f t="shared" si="3"/>
        <v>132.07023099587605</v>
      </c>
      <c r="R17" s="36"/>
      <c r="S17" s="36"/>
      <c r="T17" s="88"/>
    </row>
    <row r="18" spans="1:20" ht="15">
      <c r="A18" s="2">
        <v>11</v>
      </c>
      <c r="B18" s="38" t="s">
        <v>62</v>
      </c>
      <c r="C18" s="125">
        <v>63.5</v>
      </c>
      <c r="D18" s="87">
        <v>19.1</v>
      </c>
      <c r="E18" s="88">
        <f t="shared" si="0"/>
        <v>30.078740157480315</v>
      </c>
      <c r="F18" s="87"/>
      <c r="G18" s="87"/>
      <c r="H18" s="88"/>
      <c r="I18" s="87">
        <v>11336</v>
      </c>
      <c r="J18" s="87">
        <v>2735</v>
      </c>
      <c r="K18" s="36">
        <f t="shared" si="4"/>
        <v>24.12667607621736</v>
      </c>
      <c r="L18" s="87"/>
      <c r="M18" s="87"/>
      <c r="N18" s="88"/>
      <c r="O18" s="36">
        <f t="shared" si="1"/>
        <v>560.1623147494707</v>
      </c>
      <c r="P18" s="36">
        <f>D18/J18*100000</f>
        <v>698.3546617915905</v>
      </c>
      <c r="Q18" s="88">
        <f t="shared" si="3"/>
        <v>124.67005426881055</v>
      </c>
      <c r="R18" s="36"/>
      <c r="S18" s="36"/>
      <c r="T18" s="88"/>
    </row>
    <row r="19" spans="1:20" ht="15">
      <c r="A19" s="2">
        <v>12</v>
      </c>
      <c r="B19" s="80" t="s">
        <v>63</v>
      </c>
      <c r="C19" s="125"/>
      <c r="D19" s="87"/>
      <c r="E19" s="88"/>
      <c r="F19" s="87">
        <v>5934</v>
      </c>
      <c r="G19" s="87">
        <v>7789</v>
      </c>
      <c r="H19" s="88">
        <f>G19/F19*100</f>
        <v>131.26053252443546</v>
      </c>
      <c r="I19" s="3"/>
      <c r="J19" s="87"/>
      <c r="K19" s="36"/>
      <c r="L19" s="87">
        <v>1547060</v>
      </c>
      <c r="M19" s="87">
        <v>1821060</v>
      </c>
      <c r="N19" s="88">
        <f>M19/L19*100</f>
        <v>117.71101314751853</v>
      </c>
      <c r="O19" s="36"/>
      <c r="P19" s="36"/>
      <c r="Q19" s="88"/>
      <c r="R19" s="36">
        <f aca="true" t="shared" si="5" ref="R19:S21">F19/L19*100000</f>
        <v>383.5662482385945</v>
      </c>
      <c r="S19" s="36">
        <f t="shared" si="5"/>
        <v>427.7179225286372</v>
      </c>
      <c r="T19" s="88">
        <f>S19/R19*100</f>
        <v>111.51083404569488</v>
      </c>
    </row>
    <row r="20" spans="1:20" ht="43.5" customHeight="1">
      <c r="A20" s="136" t="s">
        <v>101</v>
      </c>
      <c r="B20" s="137"/>
      <c r="C20" s="127">
        <f>SUM(C8:C19)</f>
        <v>1415.8400000000001</v>
      </c>
      <c r="D20" s="3">
        <f>SUM(D8:D19)</f>
        <v>1482.975</v>
      </c>
      <c r="E20" s="36">
        <f>D20/C20*100</f>
        <v>104.74170810261046</v>
      </c>
      <c r="F20" s="36">
        <f>SUM(F11:F19)</f>
        <v>6291</v>
      </c>
      <c r="G20" s="3">
        <f>SUM(G11:G19)</f>
        <v>7989.9</v>
      </c>
      <c r="H20" s="36">
        <f>G20/F20*100</f>
        <v>127.00524558893657</v>
      </c>
      <c r="I20" s="3">
        <f>SUM(I8:I19)</f>
        <v>361938</v>
      </c>
      <c r="J20" s="3">
        <f>SUM(J8:J19)</f>
        <v>347679</v>
      </c>
      <c r="K20" s="36">
        <f t="shared" si="4"/>
        <v>96.06037498135039</v>
      </c>
      <c r="L20" s="3">
        <f>SUM(L11:L19)</f>
        <v>1633752</v>
      </c>
      <c r="M20" s="3">
        <f>SUM(M11:M19)</f>
        <v>1885331</v>
      </c>
      <c r="N20" s="36">
        <f>M20/L20*100</f>
        <v>115.39884878488289</v>
      </c>
      <c r="O20" s="36">
        <f aca="true" t="shared" si="6" ref="O20:P23">C20/I20*100000</f>
        <v>391.1830202962939</v>
      </c>
      <c r="P20" s="36">
        <f t="shared" si="6"/>
        <v>426.53568377727726</v>
      </c>
      <c r="Q20" s="36">
        <f>P20/O20*100</f>
        <v>109.03737167687038</v>
      </c>
      <c r="R20" s="36">
        <f t="shared" si="5"/>
        <v>385.06456304261604</v>
      </c>
      <c r="S20" s="36">
        <f t="shared" si="5"/>
        <v>423.7929573109443</v>
      </c>
      <c r="T20" s="36">
        <f>S20/R20*100</f>
        <v>110.05763655900014</v>
      </c>
    </row>
    <row r="21" spans="1:20" ht="15">
      <c r="A21" s="2">
        <v>13</v>
      </c>
      <c r="B21" s="32" t="s">
        <v>80</v>
      </c>
      <c r="C21" s="95"/>
      <c r="D21" s="87"/>
      <c r="E21" s="36"/>
      <c r="F21" s="87">
        <v>16</v>
      </c>
      <c r="G21" s="87">
        <v>31</v>
      </c>
      <c r="H21" s="36"/>
      <c r="I21" s="3"/>
      <c r="J21" s="87"/>
      <c r="K21" s="36"/>
      <c r="L21" s="87">
        <v>21070</v>
      </c>
      <c r="M21" s="87">
        <v>18466</v>
      </c>
      <c r="N21" s="88">
        <f>M21/L21*100</f>
        <v>87.64119601328903</v>
      </c>
      <c r="O21" s="36"/>
      <c r="P21" s="36"/>
      <c r="Q21" s="36"/>
      <c r="R21" s="36">
        <f t="shared" si="5"/>
        <v>75.93735168485999</v>
      </c>
      <c r="S21" s="36">
        <f t="shared" si="5"/>
        <v>167.87609660998592</v>
      </c>
      <c r="T21" s="36"/>
    </row>
    <row r="22" spans="1:20" ht="18" customHeight="1">
      <c r="A22" s="138" t="s">
        <v>88</v>
      </c>
      <c r="B22" s="139"/>
      <c r="C22" s="87"/>
      <c r="D22" s="87"/>
      <c r="E22" s="36"/>
      <c r="F22" s="87">
        <f>SUM(F21)</f>
        <v>16</v>
      </c>
      <c r="G22" s="87">
        <f>SUM(G21)</f>
        <v>31</v>
      </c>
      <c r="H22" s="36"/>
      <c r="I22" s="3"/>
      <c r="J22" s="87"/>
      <c r="K22" s="36"/>
      <c r="L22" s="87">
        <f>SUM(L21)</f>
        <v>21070</v>
      </c>
      <c r="M22" s="87">
        <f>SUM(M21)</f>
        <v>18466</v>
      </c>
      <c r="N22" s="88">
        <f>M22/L22*100</f>
        <v>87.64119601328903</v>
      </c>
      <c r="O22" s="36"/>
      <c r="P22" s="36"/>
      <c r="Q22" s="36"/>
      <c r="R22" s="36">
        <f>F22/L22*100000</f>
        <v>75.93735168485999</v>
      </c>
      <c r="S22" s="36">
        <f>G22/M22*100000</f>
        <v>167.87609660998592</v>
      </c>
      <c r="T22" s="36"/>
    </row>
    <row r="23" spans="1:20" ht="36.75" customHeight="1">
      <c r="A23" s="134" t="s">
        <v>89</v>
      </c>
      <c r="B23" s="135"/>
      <c r="C23" s="88">
        <f>C20+C22</f>
        <v>1415.8400000000001</v>
      </c>
      <c r="D23" s="88">
        <f>D20+D22</f>
        <v>1482.975</v>
      </c>
      <c r="E23" s="36">
        <f>D23/C23*100</f>
        <v>104.74170810261046</v>
      </c>
      <c r="F23" s="88">
        <f>F20+F22</f>
        <v>6307</v>
      </c>
      <c r="G23" s="88">
        <f>G20+G22</f>
        <v>8020.9</v>
      </c>
      <c r="H23" s="36">
        <f>G23/F23*100</f>
        <v>127.17456794038368</v>
      </c>
      <c r="I23" s="88">
        <f>I20+I22</f>
        <v>361938</v>
      </c>
      <c r="J23" s="88">
        <f>J20+J22</f>
        <v>347679</v>
      </c>
      <c r="K23" s="36">
        <f t="shared" si="4"/>
        <v>96.06037498135039</v>
      </c>
      <c r="L23" s="88">
        <f>L20+L22</f>
        <v>1654822</v>
      </c>
      <c r="M23" s="88">
        <f>M20+M22</f>
        <v>1903797</v>
      </c>
      <c r="N23" s="88"/>
      <c r="O23" s="36">
        <f t="shared" si="6"/>
        <v>391.1830202962939</v>
      </c>
      <c r="P23" s="36">
        <f t="shared" si="6"/>
        <v>426.53568377727726</v>
      </c>
      <c r="Q23" s="36">
        <f>P23/O23*100</f>
        <v>109.03737167687038</v>
      </c>
      <c r="R23" s="36">
        <f>F23/L23*100000</f>
        <v>381.12860476836784</v>
      </c>
      <c r="S23" s="36">
        <f>G23/M23*100000</f>
        <v>421.3106754554188</v>
      </c>
      <c r="T23" s="36">
        <f>S23/R23*100</f>
        <v>110.54291653376995</v>
      </c>
    </row>
  </sheetData>
  <sheetProtection/>
  <mergeCells count="24">
    <mergeCell ref="C6:C7"/>
    <mergeCell ref="D6:D7"/>
    <mergeCell ref="A23:B23"/>
    <mergeCell ref="T5:T7"/>
    <mergeCell ref="L5:M5"/>
    <mergeCell ref="R5:S5"/>
    <mergeCell ref="L6:L7"/>
    <mergeCell ref="M6:M7"/>
    <mergeCell ref="A20:B20"/>
    <mergeCell ref="A22:B22"/>
    <mergeCell ref="F6:F7"/>
    <mergeCell ref="I6:I7"/>
    <mergeCell ref="K5:K7"/>
    <mergeCell ref="E5:E7"/>
    <mergeCell ref="Q5:Q7"/>
    <mergeCell ref="N5:N7"/>
    <mergeCell ref="I5:J5"/>
    <mergeCell ref="P6:P7"/>
    <mergeCell ref="R6:R7"/>
    <mergeCell ref="O6:O7"/>
    <mergeCell ref="G6:G7"/>
    <mergeCell ref="H5:H7"/>
    <mergeCell ref="J6:J7"/>
    <mergeCell ref="S6:S7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75" zoomScaleNormal="50" zoomScaleSheetLayoutView="75" zoomScalePageLayoutView="0" workbookViewId="0" topLeftCell="A1">
      <selection activeCell="A23" sqref="A23:B23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7.375" style="0" customWidth="1"/>
    <col min="8" max="8" width="8.75390625" style="0" customWidth="1"/>
    <col min="9" max="9" width="8.375" style="0" customWidth="1"/>
    <col min="10" max="10" width="9.625" style="0" customWidth="1"/>
  </cols>
  <sheetData>
    <row r="1" ht="15.75">
      <c r="B1" s="1" t="s">
        <v>115</v>
      </c>
    </row>
    <row r="2" spans="1:10" ht="15">
      <c r="A2" s="20"/>
      <c r="B2" s="20"/>
      <c r="C2" s="20"/>
      <c r="D2" s="20"/>
      <c r="E2" s="20"/>
      <c r="F2" s="20"/>
      <c r="G2" s="20"/>
      <c r="H2" s="10" t="s">
        <v>54</v>
      </c>
      <c r="I2" s="20"/>
      <c r="J2" s="20"/>
    </row>
    <row r="3" spans="1:10" ht="15" customHeight="1">
      <c r="A3" s="23" t="s">
        <v>2</v>
      </c>
      <c r="B3" s="23" t="s">
        <v>3</v>
      </c>
      <c r="C3" s="25"/>
      <c r="D3" s="25" t="s">
        <v>51</v>
      </c>
      <c r="E3" s="27"/>
      <c r="F3" s="158" t="s">
        <v>10</v>
      </c>
      <c r="G3" s="159"/>
      <c r="H3" s="160"/>
      <c r="I3" s="25" t="s">
        <v>6</v>
      </c>
      <c r="J3" s="21" t="s">
        <v>7</v>
      </c>
    </row>
    <row r="4" spans="1:10" ht="15" customHeight="1">
      <c r="A4" s="33"/>
      <c r="B4" s="33"/>
      <c r="C4" s="9">
        <v>2011</v>
      </c>
      <c r="D4" s="42">
        <v>2012</v>
      </c>
      <c r="E4" s="19" t="s">
        <v>4</v>
      </c>
      <c r="F4" s="9">
        <v>2011</v>
      </c>
      <c r="G4" s="42">
        <v>2012</v>
      </c>
      <c r="H4" s="19" t="s">
        <v>4</v>
      </c>
      <c r="I4" s="9">
        <v>2011</v>
      </c>
      <c r="J4" s="42">
        <v>2012</v>
      </c>
    </row>
    <row r="5" spans="1:10" ht="15">
      <c r="A5" s="29"/>
      <c r="B5" s="29"/>
      <c r="C5" s="28"/>
      <c r="D5" s="35"/>
      <c r="E5" s="11">
        <v>2011</v>
      </c>
      <c r="F5" s="28"/>
      <c r="G5" s="35"/>
      <c r="H5" s="11">
        <v>2011</v>
      </c>
      <c r="I5" s="35"/>
      <c r="J5" s="29"/>
    </row>
    <row r="6" spans="1:10" ht="15">
      <c r="A6" s="3">
        <v>1</v>
      </c>
      <c r="B6" s="22" t="s">
        <v>55</v>
      </c>
      <c r="C6" s="3"/>
      <c r="D6" s="3"/>
      <c r="E6" s="36"/>
      <c r="F6" s="3">
        <v>22</v>
      </c>
      <c r="G6" s="3">
        <v>17</v>
      </c>
      <c r="H6" s="88">
        <f aca="true" t="shared" si="0" ref="H6:H19">G6*100/F6</f>
        <v>77.27272727272727</v>
      </c>
      <c r="I6" s="122">
        <f>F6+(C6*0.2)+('численность 1'!M6*0.3)+'численность 1'!G6+(('численность 1'!C6-'численность 1'!G6)*0.6)</f>
        <v>297.4</v>
      </c>
      <c r="J6" s="122">
        <f>G6+(D6*0.2)+('численность 1'!N6*0.3)+'численность 1'!H6+(('численность 1'!D6-'численность 1'!H6)*0.6)</f>
        <v>254.6</v>
      </c>
    </row>
    <row r="7" spans="1:10" ht="15">
      <c r="A7" s="3">
        <v>2</v>
      </c>
      <c r="B7" s="22" t="s">
        <v>56</v>
      </c>
      <c r="C7" s="3"/>
      <c r="D7" s="3"/>
      <c r="E7" s="36"/>
      <c r="F7" s="3">
        <v>5</v>
      </c>
      <c r="G7" s="3">
        <v>4</v>
      </c>
      <c r="H7" s="88">
        <f t="shared" si="0"/>
        <v>80</v>
      </c>
      <c r="I7" s="122">
        <f>F7+(C7*0.2)+('численность 1'!M7*0.3)+'численность 1'!G7+(('численность 1'!C7-'численность 1'!G7)*0.6)</f>
        <v>177.8</v>
      </c>
      <c r="J7" s="122">
        <f>G7+(D7*0.2)+('численность 1'!N7*0.3)+'численность 1'!H7+(('численность 1'!D7-'численность 1'!H7)*0.6)</f>
        <v>176.8</v>
      </c>
    </row>
    <row r="8" spans="1:10" ht="15">
      <c r="A8" s="3">
        <v>3</v>
      </c>
      <c r="B8" s="22" t="s">
        <v>57</v>
      </c>
      <c r="C8" s="3"/>
      <c r="D8" s="3"/>
      <c r="E8" s="36"/>
      <c r="F8" s="3">
        <v>1</v>
      </c>
      <c r="G8" s="3">
        <v>1</v>
      </c>
      <c r="H8" s="88">
        <f t="shared" si="0"/>
        <v>100</v>
      </c>
      <c r="I8" s="122">
        <f>F8+(C8*0.2)+('численность 1'!M8*0.3)+'численность 1'!G8+(('численность 1'!C8-'численность 1'!G8)*0.6)</f>
        <v>97</v>
      </c>
      <c r="J8" s="122">
        <f>G8+(D8*0.2)+('численность 1'!N8*0.3)+'численность 1'!H8+(('численность 1'!D8-'численность 1'!H8)*0.6)</f>
        <v>95.19999999999999</v>
      </c>
    </row>
    <row r="9" spans="1:10" ht="15">
      <c r="A9" s="3">
        <v>4</v>
      </c>
      <c r="B9" s="22" t="s">
        <v>58</v>
      </c>
      <c r="C9" s="3"/>
      <c r="D9" s="3"/>
      <c r="E9" s="3"/>
      <c r="F9" s="3">
        <v>19</v>
      </c>
      <c r="G9" s="3">
        <v>20</v>
      </c>
      <c r="H9" s="88">
        <f t="shared" si="0"/>
        <v>105.26315789473684</v>
      </c>
      <c r="I9" s="122">
        <f>F9+(C9*0.2)+('численность 1'!M9*0.3)+'численность 1'!G9+(('численность 1'!C9-'численность 1'!G9)*0.6)</f>
        <v>753.3</v>
      </c>
      <c r="J9" s="122">
        <f>G9+(D9*0.2)+('численность 1'!N9*0.3)+'численность 1'!H9+(('численность 1'!D9-'численность 1'!H9)*0.6)</f>
        <v>767.5</v>
      </c>
    </row>
    <row r="10" spans="1:10" ht="15">
      <c r="A10" s="3">
        <v>5</v>
      </c>
      <c r="B10" s="22" t="s">
        <v>59</v>
      </c>
      <c r="C10" s="85">
        <v>170</v>
      </c>
      <c r="D10" s="3">
        <v>115</v>
      </c>
      <c r="E10" s="88">
        <f>D10*100/C10</f>
        <v>67.6470588235294</v>
      </c>
      <c r="F10" s="3">
        <v>20</v>
      </c>
      <c r="G10" s="3">
        <v>14</v>
      </c>
      <c r="H10" s="88">
        <f t="shared" si="0"/>
        <v>70</v>
      </c>
      <c r="I10" s="122">
        <f>F10+(C10*0.2)+('численность 1'!M10*0.3)+'численность 1'!G10+(('численность 1'!C10-'численность 1'!G10)*0.6)</f>
        <v>552.7</v>
      </c>
      <c r="J10" s="122">
        <f>G10+(D10*0.2)+('численность 1'!N10*0.3)+'численность 1'!H10+(('численность 1'!D10-'численность 1'!H10)*0.6)</f>
        <v>346.8</v>
      </c>
    </row>
    <row r="11" spans="1:10" ht="15">
      <c r="A11" s="3">
        <v>6</v>
      </c>
      <c r="B11" s="38" t="s">
        <v>71</v>
      </c>
      <c r="C11" s="87"/>
      <c r="D11" s="87"/>
      <c r="E11" s="88"/>
      <c r="F11" s="3">
        <v>9</v>
      </c>
      <c r="G11" s="3">
        <v>11</v>
      </c>
      <c r="H11" s="88">
        <f t="shared" si="0"/>
        <v>122.22222222222223</v>
      </c>
      <c r="I11" s="122">
        <f>F11+(C11*0.2)+('численность 1'!M11*0.3)+'численность 1'!G11+(('численность 1'!C11-'численность 1'!G11)*0.6)</f>
        <v>210.39999999999998</v>
      </c>
      <c r="J11" s="122">
        <f>G11+(D11*0.2)+('численность 1'!N11*0.3)+'численность 1'!H11+(('численность 1'!D11-'численность 1'!H11)*0.6)</f>
        <v>198.6</v>
      </c>
    </row>
    <row r="12" spans="1:10" ht="15">
      <c r="A12" s="3">
        <v>7</v>
      </c>
      <c r="B12" s="22" t="s">
        <v>60</v>
      </c>
      <c r="C12" s="87"/>
      <c r="D12" s="87"/>
      <c r="E12" s="88"/>
      <c r="F12" s="87">
        <v>3</v>
      </c>
      <c r="G12" s="87"/>
      <c r="H12" s="88">
        <f t="shared" si="0"/>
        <v>0</v>
      </c>
      <c r="I12" s="122">
        <f>F12+(C12*0.2)+('численность 1'!M12*0.3)+'численность 1'!G12+(('численность 1'!C12-'численность 1'!G12)*0.6)</f>
        <v>63</v>
      </c>
      <c r="J12" s="122">
        <f>G12+(D12*0.2)+('численность 1'!N12*0.3)+'численность 1'!H12+(('численность 1'!D12-'численность 1'!H12)*0.6)</f>
        <v>0</v>
      </c>
    </row>
    <row r="13" spans="1:10" ht="15">
      <c r="A13" s="3">
        <v>8</v>
      </c>
      <c r="B13" s="32" t="s">
        <v>85</v>
      </c>
      <c r="C13" s="87"/>
      <c r="D13" s="87"/>
      <c r="E13" s="88"/>
      <c r="F13" s="87"/>
      <c r="G13" s="87">
        <v>3</v>
      </c>
      <c r="H13" s="88"/>
      <c r="I13" s="122">
        <f>F13+(C13*0.2)+('численность 1'!M13*0.3)+'численность 1'!G13+(('численность 1'!C13-'численность 1'!G13)*0.6)</f>
        <v>85.2</v>
      </c>
      <c r="J13" s="122">
        <f>G13+(D13*0.2)+('численность 1'!N13*0.3)+'численность 1'!H13+(('численность 1'!D13-'численность 1'!H13)*0.6)</f>
        <v>173.6</v>
      </c>
    </row>
    <row r="14" spans="1:10" ht="15">
      <c r="A14" s="3">
        <v>9</v>
      </c>
      <c r="B14" s="32" t="s">
        <v>70</v>
      </c>
      <c r="C14" s="87">
        <v>145</v>
      </c>
      <c r="D14" s="87">
        <v>193</v>
      </c>
      <c r="E14" s="88">
        <f>D14*100/C14</f>
        <v>133.10344827586206</v>
      </c>
      <c r="F14" s="3">
        <v>6</v>
      </c>
      <c r="G14" s="3">
        <v>4</v>
      </c>
      <c r="H14" s="88">
        <f t="shared" si="0"/>
        <v>66.66666666666667</v>
      </c>
      <c r="I14" s="122">
        <f>F14+(C14*0.2)+('численность 1'!M14*0.3)+'численность 1'!G14+(('численность 1'!C14-'численность 1'!G14)*0.6)</f>
        <v>207.8</v>
      </c>
      <c r="J14" s="122">
        <f>G14+(D14*0.2)+('численность 1'!N14*0.3)+'численность 1'!H14+(('численность 1'!D14-'численность 1'!H14)*0.6)</f>
        <v>231.6</v>
      </c>
    </row>
    <row r="15" spans="1:10" ht="15">
      <c r="A15" s="3">
        <v>10</v>
      </c>
      <c r="B15" s="22" t="s">
        <v>61</v>
      </c>
      <c r="C15" s="87"/>
      <c r="D15" s="87"/>
      <c r="E15" s="88"/>
      <c r="F15" s="3">
        <v>3</v>
      </c>
      <c r="G15" s="3">
        <v>3</v>
      </c>
      <c r="H15" s="88">
        <f t="shared" si="0"/>
        <v>100</v>
      </c>
      <c r="I15" s="122">
        <f>F15+(C15*0.2)+('численность 1'!M15*0.3)+'численность 1'!G15+(('численность 1'!C15-'численность 1'!G15)*0.6)</f>
        <v>193.6</v>
      </c>
      <c r="J15" s="122">
        <f>G15+(D15*0.2)+('численность 1'!N15*0.3)+'численность 1'!H15+(('численность 1'!D15-'численность 1'!H15)*0.6)</f>
        <v>188.8</v>
      </c>
    </row>
    <row r="16" spans="1:10" ht="15">
      <c r="A16" s="3">
        <v>11</v>
      </c>
      <c r="B16" s="22" t="s">
        <v>62</v>
      </c>
      <c r="C16" s="87"/>
      <c r="D16" s="87"/>
      <c r="E16" s="88"/>
      <c r="F16" s="3">
        <v>1</v>
      </c>
      <c r="G16" s="3">
        <v>1</v>
      </c>
      <c r="H16" s="88">
        <f t="shared" si="0"/>
        <v>100</v>
      </c>
      <c r="I16" s="122">
        <f>F16+(C16*0.2)+('численность 1'!M16*0.3)+'численность 1'!G16+(('численность 1'!C16-'численность 1'!G16)*0.6)</f>
        <v>50.8</v>
      </c>
      <c r="J16" s="122">
        <f>G16+(D16*0.2)+('численность 1'!N16*0.3)+'численность 1'!H16+(('численность 1'!D16-'численность 1'!H16)*0.6)</f>
        <v>42.2</v>
      </c>
    </row>
    <row r="17" spans="1:10" ht="15">
      <c r="A17" s="3">
        <v>12</v>
      </c>
      <c r="B17" s="22" t="s">
        <v>63</v>
      </c>
      <c r="C17" s="87"/>
      <c r="D17" s="87"/>
      <c r="E17" s="88"/>
      <c r="F17" s="3">
        <v>1</v>
      </c>
      <c r="G17" s="3">
        <v>1</v>
      </c>
      <c r="H17" s="88">
        <f t="shared" si="0"/>
        <v>100</v>
      </c>
      <c r="I17" s="122">
        <f>F17+(C17*0.2)+('численность 1'!M17*0.3)+'численность 1'!G17+(('численность 1'!C17-'численность 1'!G17)*0.6)</f>
        <v>2771.7999999999997</v>
      </c>
      <c r="J17" s="122">
        <f>G17+(D17*0.2)+('численность 1'!N17*0.3)+'численность 1'!H17+(('численность 1'!D17-'численность 1'!H17)*0.6)</f>
        <v>2943.7</v>
      </c>
    </row>
    <row r="18" spans="1:10" ht="15">
      <c r="A18" s="3">
        <v>13</v>
      </c>
      <c r="B18" s="32" t="s">
        <v>69</v>
      </c>
      <c r="C18" s="87"/>
      <c r="D18" s="87"/>
      <c r="E18" s="88"/>
      <c r="F18" s="3">
        <v>138</v>
      </c>
      <c r="G18" s="3">
        <v>169</v>
      </c>
      <c r="H18" s="88">
        <f t="shared" si="0"/>
        <v>122.46376811594203</v>
      </c>
      <c r="I18" s="122">
        <f>F18+(C18*0.2)+('численность 1'!M18*0.3)+'численность 1'!G18+(('численность 1'!C18-'численность 1'!G18)*0.6)</f>
        <v>138</v>
      </c>
      <c r="J18" s="122">
        <f>G18+(D18*0.2)+('численность 1'!N18*0.3)+'численность 1'!H18+(('численность 1'!D18-'численность 1'!H18)*0.6)</f>
        <v>169</v>
      </c>
    </row>
    <row r="19" spans="1:10" ht="60" customHeight="1">
      <c r="A19" s="154" t="s">
        <v>101</v>
      </c>
      <c r="B19" s="155"/>
      <c r="C19" s="87">
        <f>SUM(C10:C18)</f>
        <v>315</v>
      </c>
      <c r="D19" s="87">
        <f>SUM(D10:D18)</f>
        <v>308</v>
      </c>
      <c r="E19" s="88">
        <f>D19*100/C19</f>
        <v>97.77777777777777</v>
      </c>
      <c r="F19" s="3">
        <f>SUM(F6:F18)</f>
        <v>228</v>
      </c>
      <c r="G19" s="3">
        <f>SUM(G6:G18)</f>
        <v>248</v>
      </c>
      <c r="H19" s="88">
        <f t="shared" si="0"/>
        <v>108.7719298245614</v>
      </c>
      <c r="I19" s="122">
        <f>SUM(I6:I18)</f>
        <v>5598.799999999999</v>
      </c>
      <c r="J19" s="122">
        <f>SUM(J6:J18)</f>
        <v>5588.4</v>
      </c>
    </row>
    <row r="20" spans="1:10" ht="15">
      <c r="A20" s="3">
        <v>1</v>
      </c>
      <c r="B20" s="32" t="s">
        <v>80</v>
      </c>
      <c r="C20" s="87"/>
      <c r="D20" s="87"/>
      <c r="E20" s="88"/>
      <c r="F20" s="3"/>
      <c r="G20" s="3"/>
      <c r="H20" s="88"/>
      <c r="I20" s="122">
        <f>F20+(C20*0.2)+('численность 1'!M20*0.3)+'численность 1'!G20+(('численность 1'!C20-'численность 1'!G20)*0.6)</f>
        <v>28.5</v>
      </c>
      <c r="J20" s="122">
        <f>G20+(D20*0.2)+('численность 1'!N20*0.3)+'численность 1'!H20+(('численность 1'!D20-'численность 1'!H20)*0.6)</f>
        <v>23.7</v>
      </c>
    </row>
    <row r="21" spans="1:10" ht="15">
      <c r="A21" s="3">
        <v>2</v>
      </c>
      <c r="B21" s="32" t="s">
        <v>86</v>
      </c>
      <c r="C21" s="3"/>
      <c r="D21" s="3">
        <v>61</v>
      </c>
      <c r="E21" s="36"/>
      <c r="F21" s="3"/>
      <c r="G21" s="3">
        <v>8</v>
      </c>
      <c r="H21" s="88"/>
      <c r="I21" s="122">
        <f>F21+(C21*0.2)+('численность 1'!M21*0.3)+'численность 1'!G21+(('численность 1'!C21-'численность 1'!G21)*0.6)</f>
        <v>0</v>
      </c>
      <c r="J21" s="122">
        <f>G21+(D21*0.2)+('численность 1'!N21*0.3)+'численность 1'!H21+(('численность 1'!D21-'численность 1'!H21)*0.6)</f>
        <v>20.200000000000003</v>
      </c>
    </row>
    <row r="22" spans="1:10" ht="25.5" customHeight="1">
      <c r="A22" s="154" t="s">
        <v>88</v>
      </c>
      <c r="B22" s="155"/>
      <c r="C22" s="87">
        <f>SUM(C21)</f>
        <v>0</v>
      </c>
      <c r="D22" s="87">
        <f>SUM(D21)</f>
        <v>61</v>
      </c>
      <c r="E22" s="36"/>
      <c r="F22" s="87">
        <f>SUM(F20:F21)</f>
        <v>0</v>
      </c>
      <c r="G22" s="87">
        <f>SUM(G20:G21)</f>
        <v>8</v>
      </c>
      <c r="H22" s="88"/>
      <c r="I22" s="122">
        <f>SUM(I20:I21)</f>
        <v>28.5</v>
      </c>
      <c r="J22" s="122">
        <f>SUM(J20:J21)</f>
        <v>43.900000000000006</v>
      </c>
    </row>
    <row r="23" spans="1:10" ht="41.25" customHeight="1">
      <c r="A23" s="156" t="s">
        <v>89</v>
      </c>
      <c r="B23" s="157"/>
      <c r="C23" s="87">
        <f>C19+C22</f>
        <v>315</v>
      </c>
      <c r="D23" s="87">
        <f>D19+D22</f>
        <v>369</v>
      </c>
      <c r="E23" s="36">
        <f>D23/C23*100</f>
        <v>117.14285714285715</v>
      </c>
      <c r="F23" s="87">
        <f>F19+F22</f>
        <v>228</v>
      </c>
      <c r="G23" s="87">
        <f>G19+G22</f>
        <v>256</v>
      </c>
      <c r="H23" s="88">
        <f>G23*100/F23</f>
        <v>112.28070175438596</v>
      </c>
      <c r="I23" s="119">
        <f>I19+I22</f>
        <v>5627.299999999999</v>
      </c>
      <c r="J23" s="119">
        <f>J19+J22</f>
        <v>5632.299999999999</v>
      </c>
    </row>
  </sheetData>
  <sheetProtection/>
  <mergeCells count="4">
    <mergeCell ref="A22:B22"/>
    <mergeCell ref="A23:B23"/>
    <mergeCell ref="F3:H3"/>
    <mergeCell ref="A19:B19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"/>
  <sheetViews>
    <sheetView view="pageBreakPreview" zoomScale="60" zoomScaleNormal="50" zoomScalePageLayoutView="0" workbookViewId="0" topLeftCell="A1">
      <selection activeCell="A23" sqref="A23:B23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114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53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46" t="s">
        <v>3</v>
      </c>
      <c r="C3" s="141" t="s">
        <v>73</v>
      </c>
      <c r="D3" s="164"/>
      <c r="E3" s="165"/>
      <c r="F3" s="148" t="s">
        <v>72</v>
      </c>
      <c r="G3" s="141" t="s">
        <v>8</v>
      </c>
      <c r="H3" s="164"/>
      <c r="I3" s="165"/>
      <c r="J3" s="166" t="s">
        <v>67</v>
      </c>
      <c r="K3" s="167"/>
      <c r="L3" s="168"/>
      <c r="M3" s="141" t="s">
        <v>9</v>
      </c>
      <c r="N3" s="164"/>
      <c r="O3" s="164"/>
      <c r="P3" s="164"/>
      <c r="Q3" s="164"/>
      <c r="R3" s="164"/>
      <c r="S3" s="164"/>
      <c r="T3" s="164"/>
      <c r="U3" s="165"/>
    </row>
    <row r="4" spans="1:21" s="20" customFormat="1" ht="23.25" customHeight="1">
      <c r="A4" s="33"/>
      <c r="B4" s="163"/>
      <c r="C4" s="146">
        <v>2011</v>
      </c>
      <c r="D4" s="146">
        <v>2012</v>
      </c>
      <c r="E4" s="99" t="s">
        <v>4</v>
      </c>
      <c r="F4" s="149"/>
      <c r="G4" s="146">
        <v>2011</v>
      </c>
      <c r="H4" s="146">
        <v>2012</v>
      </c>
      <c r="I4" s="99" t="s">
        <v>4</v>
      </c>
      <c r="J4" s="146">
        <v>2011</v>
      </c>
      <c r="K4" s="146">
        <v>2012</v>
      </c>
      <c r="L4" s="99" t="s">
        <v>4</v>
      </c>
      <c r="M4" s="146">
        <v>2011</v>
      </c>
      <c r="N4" s="146">
        <v>2012</v>
      </c>
      <c r="O4" s="99" t="s">
        <v>4</v>
      </c>
      <c r="P4" s="96" t="s">
        <v>5</v>
      </c>
      <c r="Q4" s="100" t="s">
        <v>66</v>
      </c>
      <c r="R4" s="148" t="s">
        <v>100</v>
      </c>
      <c r="S4" s="96" t="s">
        <v>50</v>
      </c>
      <c r="T4" s="101"/>
      <c r="U4" s="148" t="s">
        <v>100</v>
      </c>
    </row>
    <row r="5" spans="1:21" s="20" customFormat="1" ht="23.25" customHeight="1">
      <c r="A5" s="29"/>
      <c r="B5" s="147"/>
      <c r="C5" s="162"/>
      <c r="D5" s="162"/>
      <c r="E5" s="102">
        <v>2011</v>
      </c>
      <c r="F5" s="150"/>
      <c r="G5" s="162"/>
      <c r="H5" s="162"/>
      <c r="I5" s="102">
        <v>2011</v>
      </c>
      <c r="J5" s="162"/>
      <c r="K5" s="162"/>
      <c r="L5" s="102">
        <v>2011</v>
      </c>
      <c r="M5" s="162"/>
      <c r="N5" s="162"/>
      <c r="O5" s="102">
        <v>2011</v>
      </c>
      <c r="P5" s="97">
        <v>2011</v>
      </c>
      <c r="Q5" s="97">
        <v>2012</v>
      </c>
      <c r="R5" s="161"/>
      <c r="S5" s="97">
        <v>2011</v>
      </c>
      <c r="T5" s="97">
        <v>2012</v>
      </c>
      <c r="U5" s="161"/>
    </row>
    <row r="6" spans="1:34" s="20" customFormat="1" ht="24.75" customHeight="1">
      <c r="A6" s="3">
        <v>1</v>
      </c>
      <c r="B6" s="22" t="s">
        <v>55</v>
      </c>
      <c r="C6" s="3">
        <v>339</v>
      </c>
      <c r="D6" s="3">
        <v>276</v>
      </c>
      <c r="E6" s="36">
        <f aca="true" t="shared" si="0" ref="E6:E16">D6*100/C6</f>
        <v>81.41592920353982</v>
      </c>
      <c r="F6" s="3"/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3">K6*100/J6</f>
        <v>100</v>
      </c>
      <c r="M6" s="66"/>
      <c r="N6" s="3"/>
      <c r="O6" s="36"/>
      <c r="P6" s="66"/>
      <c r="Q6" s="3"/>
      <c r="R6" s="36"/>
      <c r="S6" s="109"/>
      <c r="T6" s="36"/>
      <c r="U6" s="36"/>
      <c r="AH6" s="85"/>
    </row>
    <row r="7" spans="1:34" s="20" customFormat="1" ht="24.75" customHeight="1">
      <c r="A7" s="3">
        <v>2</v>
      </c>
      <c r="B7" s="22" t="s">
        <v>56</v>
      </c>
      <c r="C7" s="3">
        <v>218</v>
      </c>
      <c r="D7" s="3">
        <v>218</v>
      </c>
      <c r="E7" s="36">
        <f t="shared" si="0"/>
        <v>100</v>
      </c>
      <c r="F7" s="3">
        <v>10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6"/>
      <c r="N7" s="3"/>
      <c r="O7" s="36"/>
      <c r="P7" s="66"/>
      <c r="Q7" s="3"/>
      <c r="R7" s="36"/>
      <c r="S7" s="109"/>
      <c r="T7" s="36"/>
      <c r="U7" s="36"/>
      <c r="AH7" s="85"/>
    </row>
    <row r="8" spans="1:34" s="20" customFormat="1" ht="24.75" customHeight="1">
      <c r="A8" s="3">
        <v>3</v>
      </c>
      <c r="B8" s="22" t="s">
        <v>57</v>
      </c>
      <c r="C8" s="3">
        <v>120</v>
      </c>
      <c r="D8" s="3">
        <v>117</v>
      </c>
      <c r="E8" s="36">
        <f t="shared" si="0"/>
        <v>97.5</v>
      </c>
      <c r="F8" s="87">
        <v>3</v>
      </c>
      <c r="G8" s="3">
        <v>60</v>
      </c>
      <c r="H8" s="3">
        <v>60</v>
      </c>
      <c r="I8" s="36">
        <f t="shared" si="1"/>
        <v>100</v>
      </c>
      <c r="J8" s="3">
        <v>60</v>
      </c>
      <c r="K8" s="3">
        <v>60</v>
      </c>
      <c r="L8" s="36">
        <f t="shared" si="2"/>
        <v>100</v>
      </c>
      <c r="M8" s="66"/>
      <c r="N8" s="3"/>
      <c r="O8" s="98"/>
      <c r="P8" s="66"/>
      <c r="Q8" s="3"/>
      <c r="R8" s="36"/>
      <c r="S8" s="109"/>
      <c r="T8" s="36"/>
      <c r="U8" s="36"/>
      <c r="AH8" s="85"/>
    </row>
    <row r="9" spans="1:34" s="20" customFormat="1" ht="24.75" customHeight="1">
      <c r="A9" s="3">
        <v>4</v>
      </c>
      <c r="B9" s="22" t="s">
        <v>58</v>
      </c>
      <c r="C9" s="3">
        <v>806</v>
      </c>
      <c r="D9" s="3">
        <v>840</v>
      </c>
      <c r="E9" s="36">
        <f t="shared" si="0"/>
        <v>104.21836228287842</v>
      </c>
      <c r="F9" s="3">
        <v>34</v>
      </c>
      <c r="G9" s="3">
        <v>308</v>
      </c>
      <c r="H9" s="3">
        <v>308</v>
      </c>
      <c r="I9" s="36">
        <f t="shared" si="1"/>
        <v>100</v>
      </c>
      <c r="J9" s="3">
        <v>308</v>
      </c>
      <c r="K9" s="3">
        <v>308</v>
      </c>
      <c r="L9" s="36">
        <f t="shared" si="2"/>
        <v>100</v>
      </c>
      <c r="M9" s="3">
        <v>425</v>
      </c>
      <c r="N9" s="3">
        <v>401</v>
      </c>
      <c r="O9" s="36">
        <f>N9*100/M9</f>
        <v>94.3529411764706</v>
      </c>
      <c r="P9" s="3">
        <v>20</v>
      </c>
      <c r="Q9" s="3">
        <v>28</v>
      </c>
      <c r="R9" s="36">
        <f>Q9*100/P9</f>
        <v>140</v>
      </c>
      <c r="S9" s="3">
        <v>24</v>
      </c>
      <c r="T9" s="3">
        <v>38</v>
      </c>
      <c r="U9" s="36">
        <f>T9*100/S9</f>
        <v>158.33333333333334</v>
      </c>
      <c r="AH9" s="85"/>
    </row>
    <row r="10" spans="1:34" s="20" customFormat="1" ht="24.75" customHeight="1">
      <c r="A10" s="3">
        <v>5</v>
      </c>
      <c r="B10" s="22" t="s">
        <v>59</v>
      </c>
      <c r="C10" s="3">
        <v>447</v>
      </c>
      <c r="D10" s="3">
        <v>310</v>
      </c>
      <c r="E10" s="36">
        <f t="shared" si="0"/>
        <v>69.35123042505593</v>
      </c>
      <c r="F10" s="119"/>
      <c r="G10" s="3">
        <v>280</v>
      </c>
      <c r="H10" s="3">
        <v>200</v>
      </c>
      <c r="I10" s="36">
        <f t="shared" si="1"/>
        <v>71.42857142857143</v>
      </c>
      <c r="J10" s="3">
        <v>280</v>
      </c>
      <c r="K10" s="3">
        <v>234</v>
      </c>
      <c r="L10" s="36">
        <f t="shared" si="2"/>
        <v>83.57142857142857</v>
      </c>
      <c r="M10" s="3">
        <v>395</v>
      </c>
      <c r="N10" s="3">
        <v>146</v>
      </c>
      <c r="O10" s="36">
        <f>N10*100/M10</f>
        <v>36.962025316455694</v>
      </c>
      <c r="P10" s="3">
        <v>80</v>
      </c>
      <c r="Q10" s="3">
        <v>60</v>
      </c>
      <c r="R10" s="36">
        <f>Q10*100/P10</f>
        <v>75</v>
      </c>
      <c r="S10" s="3">
        <v>8</v>
      </c>
      <c r="T10" s="3"/>
      <c r="U10" s="36">
        <f>T10*100/S10</f>
        <v>0</v>
      </c>
      <c r="AH10" s="85"/>
    </row>
    <row r="11" spans="1:34" s="20" customFormat="1" ht="24.75" customHeight="1">
      <c r="A11" s="3">
        <v>6</v>
      </c>
      <c r="B11" s="38" t="s">
        <v>71</v>
      </c>
      <c r="C11" s="3">
        <v>279</v>
      </c>
      <c r="D11" s="3">
        <v>256</v>
      </c>
      <c r="E11" s="36">
        <f t="shared" si="0"/>
        <v>91.75627240143369</v>
      </c>
      <c r="F11" s="119"/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85"/>
    </row>
    <row r="12" spans="1:34" s="20" customFormat="1" ht="24.75" customHeight="1">
      <c r="A12" s="3">
        <v>7</v>
      </c>
      <c r="B12" s="22" t="s">
        <v>60</v>
      </c>
      <c r="C12" s="3">
        <v>60</v>
      </c>
      <c r="D12" s="3"/>
      <c r="E12" s="36">
        <f t="shared" si="0"/>
        <v>0</v>
      </c>
      <c r="F12" s="3"/>
      <c r="G12" s="3">
        <v>60</v>
      </c>
      <c r="H12" s="3"/>
      <c r="I12" s="36">
        <f t="shared" si="1"/>
        <v>0</v>
      </c>
      <c r="J12" s="3">
        <v>60</v>
      </c>
      <c r="K12" s="3"/>
      <c r="L12" s="36">
        <f t="shared" si="2"/>
        <v>0</v>
      </c>
      <c r="M12" s="3"/>
      <c r="N12" s="3"/>
      <c r="O12" s="36"/>
      <c r="P12" s="3"/>
      <c r="Q12" s="3"/>
      <c r="R12" s="36"/>
      <c r="S12" s="3"/>
      <c r="T12" s="3"/>
      <c r="U12" s="36"/>
      <c r="AH12" s="85"/>
    </row>
    <row r="13" spans="1:34" s="20" customFormat="1" ht="24.75" customHeight="1">
      <c r="A13" s="3">
        <v>8</v>
      </c>
      <c r="B13" s="32" t="s">
        <v>85</v>
      </c>
      <c r="C13" s="3">
        <v>142</v>
      </c>
      <c r="D13" s="3">
        <v>241</v>
      </c>
      <c r="E13" s="36">
        <f t="shared" si="0"/>
        <v>169.71830985915494</v>
      </c>
      <c r="F13" s="3">
        <v>7</v>
      </c>
      <c r="G13" s="3"/>
      <c r="H13" s="3">
        <v>65</v>
      </c>
      <c r="I13" s="36"/>
      <c r="J13" s="3"/>
      <c r="K13" s="3">
        <v>65</v>
      </c>
      <c r="L13" s="36"/>
      <c r="M13" s="3"/>
      <c r="N13" s="3"/>
      <c r="O13" s="36"/>
      <c r="P13" s="3"/>
      <c r="Q13" s="3"/>
      <c r="R13" s="36"/>
      <c r="S13" s="3"/>
      <c r="T13" s="3"/>
      <c r="U13" s="36"/>
      <c r="AH13" s="85"/>
    </row>
    <row r="14" spans="1:34" s="20" customFormat="1" ht="24.75" customHeight="1">
      <c r="A14" s="3">
        <v>9</v>
      </c>
      <c r="B14" s="32" t="s">
        <v>70</v>
      </c>
      <c r="C14" s="3">
        <v>236</v>
      </c>
      <c r="D14" s="3">
        <v>263</v>
      </c>
      <c r="E14" s="36">
        <f t="shared" si="0"/>
        <v>111.44067796610169</v>
      </c>
      <c r="F14" s="3">
        <v>24</v>
      </c>
      <c r="G14" s="3">
        <v>78</v>
      </c>
      <c r="H14" s="3">
        <v>78</v>
      </c>
      <c r="I14" s="36">
        <f t="shared" si="1"/>
        <v>100</v>
      </c>
      <c r="J14" s="3">
        <v>78</v>
      </c>
      <c r="K14" s="3">
        <v>78</v>
      </c>
      <c r="L14" s="36">
        <f t="shared" si="2"/>
        <v>100</v>
      </c>
      <c r="M14" s="3"/>
      <c r="N14" s="3"/>
      <c r="O14" s="36"/>
      <c r="P14" s="3"/>
      <c r="Q14" s="3"/>
      <c r="R14" s="36"/>
      <c r="S14" s="3"/>
      <c r="T14" s="3"/>
      <c r="U14" s="36"/>
      <c r="AH14" s="85"/>
    </row>
    <row r="15" spans="1:34" s="20" customFormat="1" ht="24.75" customHeight="1">
      <c r="A15" s="3">
        <v>10</v>
      </c>
      <c r="B15" s="22" t="s">
        <v>61</v>
      </c>
      <c r="C15" s="3">
        <v>251</v>
      </c>
      <c r="D15" s="3">
        <v>243</v>
      </c>
      <c r="E15" s="36">
        <f t="shared" si="0"/>
        <v>96.81274900398407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85"/>
    </row>
    <row r="16" spans="1:34" s="20" customFormat="1" ht="24.75" customHeight="1">
      <c r="A16" s="3">
        <v>11</v>
      </c>
      <c r="B16" s="22" t="s">
        <v>62</v>
      </c>
      <c r="C16" s="3">
        <v>55</v>
      </c>
      <c r="D16" s="3">
        <v>42</v>
      </c>
      <c r="E16" s="36">
        <f t="shared" si="0"/>
        <v>76.36363636363636</v>
      </c>
      <c r="F16" s="3"/>
      <c r="G16" s="3">
        <v>42</v>
      </c>
      <c r="H16" s="3">
        <v>40</v>
      </c>
      <c r="I16" s="36">
        <f t="shared" si="1"/>
        <v>95.23809523809524</v>
      </c>
      <c r="J16" s="3">
        <v>42</v>
      </c>
      <c r="K16" s="3">
        <v>41</v>
      </c>
      <c r="L16" s="36">
        <f t="shared" si="2"/>
        <v>97.61904761904762</v>
      </c>
      <c r="M16" s="3"/>
      <c r="N16" s="3"/>
      <c r="O16" s="36"/>
      <c r="P16" s="3"/>
      <c r="Q16" s="3"/>
      <c r="R16" s="36"/>
      <c r="S16" s="3"/>
      <c r="T16" s="3"/>
      <c r="U16" s="36"/>
      <c r="AH16" s="85"/>
    </row>
    <row r="17" spans="1:34" s="20" customFormat="1" ht="24.75" customHeight="1">
      <c r="A17" s="3">
        <v>12</v>
      </c>
      <c r="B17" s="22" t="s">
        <v>63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9236</v>
      </c>
      <c r="N17" s="3">
        <v>9809</v>
      </c>
      <c r="O17" s="36">
        <f>N17*100/M17</f>
        <v>106.203984408835</v>
      </c>
      <c r="P17" s="3">
        <v>240</v>
      </c>
      <c r="Q17" s="3">
        <v>240</v>
      </c>
      <c r="R17" s="36">
        <f>Q17*100/P17</f>
        <v>100</v>
      </c>
      <c r="S17" s="3">
        <v>474</v>
      </c>
      <c r="T17" s="3">
        <v>457</v>
      </c>
      <c r="U17" s="36">
        <f>T17*100/S17</f>
        <v>96.41350210970464</v>
      </c>
      <c r="AH17" s="85"/>
    </row>
    <row r="18" spans="1:34" s="20" customFormat="1" ht="24.75" customHeight="1">
      <c r="A18" s="3">
        <v>13</v>
      </c>
      <c r="B18" s="32" t="s">
        <v>69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5"/>
    </row>
    <row r="19" spans="1:21" s="20" customFormat="1" ht="57" customHeight="1">
      <c r="A19" s="154" t="s">
        <v>101</v>
      </c>
      <c r="B19" s="155"/>
      <c r="C19" s="3">
        <f>SUM(C6:C18)</f>
        <v>2953</v>
      </c>
      <c r="D19" s="3">
        <f>SUM(D6:D18)</f>
        <v>2806</v>
      </c>
      <c r="E19" s="36">
        <f>D19*100/C19</f>
        <v>95.02201151371487</v>
      </c>
      <c r="F19" s="3">
        <f>SUM(F6:F18)</f>
        <v>94</v>
      </c>
      <c r="G19" s="3">
        <f>SUM(G6:G18)</f>
        <v>1298</v>
      </c>
      <c r="H19" s="3">
        <f>SUM(H6:H18)</f>
        <v>1221</v>
      </c>
      <c r="I19" s="36">
        <f>H19*100/G19</f>
        <v>94.0677966101695</v>
      </c>
      <c r="J19" s="3">
        <f>SUM(J6:J18)</f>
        <v>1298</v>
      </c>
      <c r="K19" s="3">
        <f>SUM(K6:K18)</f>
        <v>1256</v>
      </c>
      <c r="L19" s="36">
        <f t="shared" si="2"/>
        <v>96.76425269645608</v>
      </c>
      <c r="M19" s="3">
        <f>SUM(M9:M18)</f>
        <v>10056</v>
      </c>
      <c r="N19" s="3">
        <f>SUM(N9:N18)</f>
        <v>10356</v>
      </c>
      <c r="O19" s="36">
        <f>N19*100/M19</f>
        <v>102.98329355608593</v>
      </c>
      <c r="P19" s="3">
        <f>SUM(P9:P18)</f>
        <v>340</v>
      </c>
      <c r="Q19" s="3">
        <f>SUM(Q9:Q18)</f>
        <v>328</v>
      </c>
      <c r="R19" s="36">
        <f>Q19*100/P19</f>
        <v>96.47058823529412</v>
      </c>
      <c r="S19" s="3">
        <f>SUM(S9:S18)</f>
        <v>506</v>
      </c>
      <c r="T19" s="36">
        <f>SUM(T9:T18)</f>
        <v>495</v>
      </c>
      <c r="U19" s="36">
        <f>T19*100/S19</f>
        <v>97.82608695652173</v>
      </c>
    </row>
    <row r="20" spans="1:34" s="20" customFormat="1" ht="24.75" customHeight="1">
      <c r="A20" s="3">
        <v>1</v>
      </c>
      <c r="B20" s="32" t="s">
        <v>80</v>
      </c>
      <c r="C20" s="3"/>
      <c r="D20" s="3"/>
      <c r="E20" s="36"/>
      <c r="F20" s="3"/>
      <c r="G20" s="3"/>
      <c r="H20" s="3"/>
      <c r="I20" s="36"/>
      <c r="J20" s="3"/>
      <c r="K20" s="3"/>
      <c r="L20" s="36"/>
      <c r="M20" s="3">
        <v>95</v>
      </c>
      <c r="N20" s="3">
        <v>79</v>
      </c>
      <c r="O20" s="36">
        <f>N20*100/M20</f>
        <v>83.15789473684211</v>
      </c>
      <c r="P20" s="3">
        <v>8</v>
      </c>
      <c r="Q20" s="3">
        <v>10</v>
      </c>
      <c r="R20" s="36">
        <f>Q20*100/P20</f>
        <v>125</v>
      </c>
      <c r="S20" s="3">
        <v>2</v>
      </c>
      <c r="T20" s="3">
        <v>5</v>
      </c>
      <c r="U20" s="36">
        <f>T20*100/S20</f>
        <v>250</v>
      </c>
      <c r="AH20" s="85"/>
    </row>
    <row r="21" spans="1:34" s="20" customFormat="1" ht="24.75" customHeight="1">
      <c r="A21" s="3">
        <v>2</v>
      </c>
      <c r="B21" s="32" t="s">
        <v>86</v>
      </c>
      <c r="C21" s="3"/>
      <c r="D21" s="3"/>
      <c r="E21" s="36"/>
      <c r="F21" s="3"/>
      <c r="G21" s="3"/>
      <c r="H21" s="3"/>
      <c r="I21" s="36"/>
      <c r="J21" s="3"/>
      <c r="K21" s="3"/>
      <c r="L21" s="36"/>
      <c r="M21" s="3"/>
      <c r="N21" s="3"/>
      <c r="O21" s="36"/>
      <c r="P21" s="3"/>
      <c r="Q21" s="3"/>
      <c r="R21" s="36"/>
      <c r="S21" s="3"/>
      <c r="T21" s="3"/>
      <c r="U21" s="36"/>
      <c r="AH21" s="85"/>
    </row>
    <row r="22" spans="1:34" s="20" customFormat="1" ht="24.75" customHeight="1">
      <c r="A22" s="154" t="s">
        <v>88</v>
      </c>
      <c r="B22" s="155"/>
      <c r="C22" s="3"/>
      <c r="D22" s="3"/>
      <c r="E22" s="36"/>
      <c r="F22" s="3"/>
      <c r="G22" s="3"/>
      <c r="H22" s="3"/>
      <c r="I22" s="36"/>
      <c r="J22" s="3"/>
      <c r="K22" s="3"/>
      <c r="L22" s="36"/>
      <c r="M22" s="3">
        <f>SUM(M20:M21)</f>
        <v>95</v>
      </c>
      <c r="N22" s="3">
        <f>SUM(N20:N21)</f>
        <v>79</v>
      </c>
      <c r="O22" s="36">
        <f>N22*100/M22</f>
        <v>83.15789473684211</v>
      </c>
      <c r="P22" s="3">
        <f>SUM(P20:P21)</f>
        <v>8</v>
      </c>
      <c r="Q22" s="3">
        <f>SUM(Q20:Q21)</f>
        <v>10</v>
      </c>
      <c r="R22" s="36">
        <f>Q22*100/P22</f>
        <v>125</v>
      </c>
      <c r="S22" s="3">
        <f>SUM(S20:S21)</f>
        <v>2</v>
      </c>
      <c r="T22" s="3">
        <f>SUM(T20:T21)</f>
        <v>5</v>
      </c>
      <c r="U22" s="36">
        <f>T22*100/S22</f>
        <v>250</v>
      </c>
      <c r="AH22" s="85"/>
    </row>
    <row r="23" spans="1:34" s="20" customFormat="1" ht="36" customHeight="1">
      <c r="A23" s="156" t="s">
        <v>89</v>
      </c>
      <c r="B23" s="157"/>
      <c r="C23" s="3">
        <f>C19+C22</f>
        <v>2953</v>
      </c>
      <c r="D23" s="3">
        <f>D19+D22</f>
        <v>2806</v>
      </c>
      <c r="E23" s="36">
        <f>D23*100/C23</f>
        <v>95.02201151371487</v>
      </c>
      <c r="F23" s="3">
        <f>F19+F22</f>
        <v>94</v>
      </c>
      <c r="G23" s="3">
        <f>G19+G22</f>
        <v>1298</v>
      </c>
      <c r="H23" s="3">
        <f>H19+H22</f>
        <v>1221</v>
      </c>
      <c r="I23" s="36">
        <f>H23*100/G23</f>
        <v>94.0677966101695</v>
      </c>
      <c r="J23" s="3">
        <f>J19+J22</f>
        <v>1298</v>
      </c>
      <c r="K23" s="3">
        <f>K19+K22</f>
        <v>1256</v>
      </c>
      <c r="L23" s="36">
        <f t="shared" si="2"/>
        <v>96.76425269645608</v>
      </c>
      <c r="M23" s="3">
        <f>M19+M22</f>
        <v>10151</v>
      </c>
      <c r="N23" s="3">
        <f>N19+N22</f>
        <v>10435</v>
      </c>
      <c r="O23" s="36">
        <f>N23*100/M23</f>
        <v>102.79775391587036</v>
      </c>
      <c r="P23" s="3">
        <f>P19+P22</f>
        <v>348</v>
      </c>
      <c r="Q23" s="3">
        <f>Q19+Q22</f>
        <v>338</v>
      </c>
      <c r="R23" s="36">
        <f>Q23*100/P23</f>
        <v>97.1264367816092</v>
      </c>
      <c r="S23" s="3">
        <f>S19+S22</f>
        <v>508</v>
      </c>
      <c r="T23" s="3">
        <f>T19+T22</f>
        <v>500</v>
      </c>
      <c r="U23" s="36">
        <f>T23*100/S23</f>
        <v>98.4251968503937</v>
      </c>
      <c r="AH23" s="85"/>
    </row>
  </sheetData>
  <sheetProtection/>
  <mergeCells count="19">
    <mergeCell ref="F3:F5"/>
    <mergeCell ref="C3:E3"/>
    <mergeCell ref="A19:B19"/>
    <mergeCell ref="J3:L3"/>
    <mergeCell ref="J4:J5"/>
    <mergeCell ref="K4:K5"/>
    <mergeCell ref="M3:U3"/>
    <mergeCell ref="N4:N5"/>
    <mergeCell ref="R4:R5"/>
    <mergeCell ref="A22:B22"/>
    <mergeCell ref="A23:B23"/>
    <mergeCell ref="U4:U5"/>
    <mergeCell ref="M4:M5"/>
    <mergeCell ref="B3:B5"/>
    <mergeCell ref="G4:G5"/>
    <mergeCell ref="H4:H5"/>
    <mergeCell ref="D4:D5"/>
    <mergeCell ref="C4:C5"/>
    <mergeCell ref="G3:I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6"/>
  <sheetViews>
    <sheetView view="pageBreakPreview" zoomScale="75" zoomScaleNormal="75" zoomScaleSheetLayoutView="75" zoomScalePageLayoutView="0" workbookViewId="0" topLeftCell="A1">
      <selection activeCell="A13" sqref="A13:B13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113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82" t="s">
        <v>104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2.75">
      <c r="A4" s="146" t="s">
        <v>2</v>
      </c>
      <c r="B4" s="148" t="s">
        <v>3</v>
      </c>
      <c r="C4" s="152" t="s">
        <v>77</v>
      </c>
      <c r="D4" s="175"/>
      <c r="E4" s="171"/>
      <c r="F4" s="169" t="s">
        <v>64</v>
      </c>
      <c r="G4" s="183"/>
      <c r="H4" s="169" t="s">
        <v>76</v>
      </c>
      <c r="I4" s="170"/>
      <c r="J4" s="171"/>
      <c r="K4" s="169" t="s">
        <v>74</v>
      </c>
      <c r="L4" s="183"/>
      <c r="M4" s="169" t="s">
        <v>75</v>
      </c>
      <c r="N4" s="183"/>
    </row>
    <row r="5" spans="1:14" ht="31.5" customHeight="1">
      <c r="A5" s="163"/>
      <c r="B5" s="149"/>
      <c r="C5" s="176"/>
      <c r="D5" s="177"/>
      <c r="E5" s="178"/>
      <c r="F5" s="172"/>
      <c r="G5" s="184"/>
      <c r="H5" s="172"/>
      <c r="I5" s="173"/>
      <c r="J5" s="174"/>
      <c r="K5" s="172"/>
      <c r="L5" s="184"/>
      <c r="M5" s="172"/>
      <c r="N5" s="184"/>
    </row>
    <row r="6" spans="1:14" ht="30">
      <c r="A6" s="147"/>
      <c r="B6" s="150"/>
      <c r="C6" s="3">
        <v>2011</v>
      </c>
      <c r="D6" s="19">
        <v>2012</v>
      </c>
      <c r="E6" s="94" t="s">
        <v>107</v>
      </c>
      <c r="F6" s="3">
        <v>2011</v>
      </c>
      <c r="G6" s="19">
        <v>2012</v>
      </c>
      <c r="H6" s="3">
        <v>2011</v>
      </c>
      <c r="I6" s="19">
        <v>2012</v>
      </c>
      <c r="J6" s="94" t="s">
        <v>107</v>
      </c>
      <c r="K6" s="22" t="s">
        <v>1</v>
      </c>
      <c r="L6" s="24" t="s">
        <v>32</v>
      </c>
      <c r="M6" s="38" t="s">
        <v>44</v>
      </c>
      <c r="N6" s="51" t="s">
        <v>45</v>
      </c>
    </row>
    <row r="7" spans="1:14" ht="16.5" customHeight="1">
      <c r="A7" s="31">
        <v>1</v>
      </c>
      <c r="B7" s="22" t="s">
        <v>58</v>
      </c>
      <c r="C7" s="31">
        <v>468</v>
      </c>
      <c r="D7" s="31">
        <v>623</v>
      </c>
      <c r="E7" s="31">
        <f aca="true" t="shared" si="0" ref="E7:E13">D7-C7</f>
        <v>155</v>
      </c>
      <c r="F7" s="31">
        <v>259</v>
      </c>
      <c r="G7" s="31">
        <v>286</v>
      </c>
      <c r="H7" s="75">
        <f>F7*100/20</f>
        <v>1295</v>
      </c>
      <c r="I7" s="75">
        <f>G7*100/28</f>
        <v>1021.4285714285714</v>
      </c>
      <c r="J7" s="74">
        <f aca="true" t="shared" si="1" ref="J7:J13">I7-H7</f>
        <v>-273.57142857142856</v>
      </c>
      <c r="K7" s="31">
        <v>75</v>
      </c>
      <c r="L7" s="31">
        <v>32</v>
      </c>
      <c r="M7" s="92">
        <f aca="true" t="shared" si="2" ref="M7:M13">G7/L7</f>
        <v>8.9375</v>
      </c>
      <c r="N7" s="92">
        <f aca="true" t="shared" si="3" ref="N7:N13">(D7-G7)/(K7-L7)</f>
        <v>7.837209302325581</v>
      </c>
    </row>
    <row r="8" spans="1:15" ht="16.5" customHeight="1">
      <c r="A8" s="31">
        <v>2</v>
      </c>
      <c r="B8" s="31" t="s">
        <v>59</v>
      </c>
      <c r="C8" s="31">
        <v>374</v>
      </c>
      <c r="D8" s="31">
        <v>136</v>
      </c>
      <c r="E8" s="31">
        <f t="shared" si="0"/>
        <v>-238</v>
      </c>
      <c r="F8" s="31">
        <v>362</v>
      </c>
      <c r="G8" s="31">
        <v>118</v>
      </c>
      <c r="H8" s="75">
        <f>F8*100/80</f>
        <v>452.5</v>
      </c>
      <c r="I8" s="75">
        <f>G8*100/80</f>
        <v>147.5</v>
      </c>
      <c r="J8" s="74">
        <f t="shared" si="1"/>
        <v>-305</v>
      </c>
      <c r="K8" s="32">
        <v>22</v>
      </c>
      <c r="L8" s="32">
        <v>19</v>
      </c>
      <c r="M8" s="92">
        <f t="shared" si="2"/>
        <v>6.2105263157894735</v>
      </c>
      <c r="N8" s="92">
        <f t="shared" si="3"/>
        <v>6</v>
      </c>
      <c r="O8" s="15"/>
    </row>
    <row r="9" spans="1:14" ht="16.5" customHeight="1">
      <c r="A9" s="31">
        <v>3</v>
      </c>
      <c r="B9" s="32" t="s">
        <v>63</v>
      </c>
      <c r="C9" s="31">
        <v>8725</v>
      </c>
      <c r="D9" s="31">
        <v>9081</v>
      </c>
      <c r="E9" s="31">
        <f t="shared" si="0"/>
        <v>356</v>
      </c>
      <c r="F9" s="31">
        <v>4987</v>
      </c>
      <c r="G9" s="31">
        <v>5685</v>
      </c>
      <c r="H9" s="75">
        <f>F9*100/226</f>
        <v>2206.637168141593</v>
      </c>
      <c r="I9" s="75">
        <f>G9*100/240</f>
        <v>2368.75</v>
      </c>
      <c r="J9" s="74">
        <f t="shared" si="1"/>
        <v>162.11283185840693</v>
      </c>
      <c r="K9" s="32">
        <v>1029</v>
      </c>
      <c r="L9" s="32">
        <v>587</v>
      </c>
      <c r="M9" s="116">
        <f t="shared" si="2"/>
        <v>9.684838160136286</v>
      </c>
      <c r="N9" s="116">
        <f t="shared" si="3"/>
        <v>7.683257918552036</v>
      </c>
    </row>
    <row r="10" spans="1:14" ht="42.75" customHeight="1">
      <c r="A10" s="180" t="s">
        <v>99</v>
      </c>
      <c r="B10" s="181"/>
      <c r="C10" s="31">
        <f>SUM(C7:C9)</f>
        <v>9567</v>
      </c>
      <c r="D10" s="31">
        <f>SUM(D7:D9)</f>
        <v>9840</v>
      </c>
      <c r="E10" s="31">
        <f t="shared" si="0"/>
        <v>273</v>
      </c>
      <c r="F10" s="31">
        <f>SUM(F7:F9)</f>
        <v>5608</v>
      </c>
      <c r="G10" s="31">
        <f>SUM(G7:G9)</f>
        <v>6089</v>
      </c>
      <c r="H10" s="75">
        <f>F10*100/326</f>
        <v>1720.2453987730062</v>
      </c>
      <c r="I10" s="75">
        <f>G10*100/348</f>
        <v>1749.712643678161</v>
      </c>
      <c r="J10" s="74">
        <f t="shared" si="1"/>
        <v>29.467244905154757</v>
      </c>
      <c r="K10" s="74">
        <f>SUM(K7:K9)</f>
        <v>1126</v>
      </c>
      <c r="L10" s="74">
        <f>SUM(L7:L9)</f>
        <v>638</v>
      </c>
      <c r="M10" s="92">
        <f t="shared" si="2"/>
        <v>9.543887147335424</v>
      </c>
      <c r="N10" s="92">
        <f t="shared" si="3"/>
        <v>7.686475409836065</v>
      </c>
    </row>
    <row r="11" spans="1:14" ht="15">
      <c r="A11" s="31">
        <v>1</v>
      </c>
      <c r="B11" s="32" t="s">
        <v>80</v>
      </c>
      <c r="C11" s="31">
        <v>25</v>
      </c>
      <c r="D11" s="31">
        <v>38</v>
      </c>
      <c r="E11" s="31">
        <f t="shared" si="0"/>
        <v>13</v>
      </c>
      <c r="F11" s="31">
        <v>25</v>
      </c>
      <c r="G11" s="31">
        <v>38</v>
      </c>
      <c r="H11" s="75">
        <f>F11*100/11</f>
        <v>227.27272727272728</v>
      </c>
      <c r="I11" s="75">
        <f>G11*100/10</f>
        <v>380</v>
      </c>
      <c r="J11" s="74">
        <f t="shared" si="1"/>
        <v>152.72727272727272</v>
      </c>
      <c r="K11" s="74">
        <v>5</v>
      </c>
      <c r="L11" s="74">
        <v>5</v>
      </c>
      <c r="M11" s="92">
        <f t="shared" si="2"/>
        <v>7.6</v>
      </c>
      <c r="N11" s="92"/>
    </row>
    <row r="12" spans="1:14" ht="25.5" customHeight="1">
      <c r="A12" s="154" t="s">
        <v>88</v>
      </c>
      <c r="B12" s="155"/>
      <c r="C12" s="31">
        <f>SUM(C11)</f>
        <v>25</v>
      </c>
      <c r="D12" s="31">
        <f>SUM(D11)</f>
        <v>38</v>
      </c>
      <c r="E12" s="31">
        <f t="shared" si="0"/>
        <v>13</v>
      </c>
      <c r="F12" s="31">
        <f>SUM(F11)</f>
        <v>25</v>
      </c>
      <c r="G12" s="31">
        <f>SUM(G11)</f>
        <v>38</v>
      </c>
      <c r="H12" s="75">
        <f>F12*100/11</f>
        <v>227.27272727272728</v>
      </c>
      <c r="I12" s="75">
        <f>G12*100/10</f>
        <v>380</v>
      </c>
      <c r="J12" s="74">
        <f t="shared" si="1"/>
        <v>152.72727272727272</v>
      </c>
      <c r="K12" s="31">
        <f>SUM(K11)</f>
        <v>5</v>
      </c>
      <c r="L12" s="31">
        <f>SUM(L11)</f>
        <v>5</v>
      </c>
      <c r="M12" s="92">
        <f t="shared" si="2"/>
        <v>7.6</v>
      </c>
      <c r="N12" s="92"/>
    </row>
    <row r="13" spans="1:14" ht="28.5" customHeight="1">
      <c r="A13" s="179" t="s">
        <v>89</v>
      </c>
      <c r="B13" s="179"/>
      <c r="C13" s="31">
        <f>C10+C12</f>
        <v>9592</v>
      </c>
      <c r="D13" s="31">
        <f>SUM(D10:D11)</f>
        <v>9878</v>
      </c>
      <c r="E13" s="31">
        <f t="shared" si="0"/>
        <v>286</v>
      </c>
      <c r="F13" s="31">
        <f>F10+F12</f>
        <v>5633</v>
      </c>
      <c r="G13" s="31">
        <f>SUM(G10:G11)</f>
        <v>6127</v>
      </c>
      <c r="H13" s="75">
        <f>F13*100/337</f>
        <v>1671.513353115727</v>
      </c>
      <c r="I13" s="75">
        <f>G13*100/358</f>
        <v>1711.4525139664804</v>
      </c>
      <c r="J13" s="74">
        <f t="shared" si="1"/>
        <v>39.9391608507533</v>
      </c>
      <c r="K13" s="31">
        <f>K10+K12</f>
        <v>1131</v>
      </c>
      <c r="L13" s="31">
        <f>SUM(L10:L11)</f>
        <v>643</v>
      </c>
      <c r="M13" s="92">
        <f t="shared" si="2"/>
        <v>9.528771384136858</v>
      </c>
      <c r="N13" s="92">
        <f t="shared" si="3"/>
        <v>7.686475409836065</v>
      </c>
    </row>
    <row r="15" spans="2:17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15">
      <c r="B16" s="72"/>
      <c r="C16" s="111"/>
      <c r="D16" s="111"/>
      <c r="E16" s="111"/>
      <c r="F16" s="111"/>
      <c r="G16" s="111"/>
      <c r="H16" s="112"/>
      <c r="I16" s="113"/>
      <c r="J16" s="112"/>
      <c r="K16" s="111"/>
      <c r="L16" s="111"/>
      <c r="M16" s="114"/>
      <c r="N16" s="114"/>
      <c r="O16" s="72"/>
      <c r="P16" s="72"/>
      <c r="Q16" s="72"/>
    </row>
    <row r="17" spans="2:17" ht="15">
      <c r="B17" s="72"/>
      <c r="C17" s="111"/>
      <c r="D17" s="111"/>
      <c r="E17" s="111"/>
      <c r="F17" s="111"/>
      <c r="G17" s="111"/>
      <c r="H17" s="113"/>
      <c r="I17" s="113"/>
      <c r="J17" s="112"/>
      <c r="K17" s="115"/>
      <c r="L17" s="115"/>
      <c r="M17" s="114"/>
      <c r="N17" s="114"/>
      <c r="O17" s="72"/>
      <c r="P17" s="72"/>
      <c r="Q17" s="72"/>
    </row>
    <row r="18" spans="2:17" ht="15">
      <c r="B18" s="72"/>
      <c r="C18" s="111"/>
      <c r="D18" s="111"/>
      <c r="E18" s="111"/>
      <c r="F18" s="111"/>
      <c r="G18" s="111"/>
      <c r="H18" s="112"/>
      <c r="I18" s="113"/>
      <c r="J18" s="112"/>
      <c r="K18" s="115"/>
      <c r="L18" s="115"/>
      <c r="M18" s="114"/>
      <c r="N18" s="114"/>
      <c r="O18" s="72"/>
      <c r="P18" s="72"/>
      <c r="Q18" s="72"/>
    </row>
    <row r="19" spans="2:17" ht="15">
      <c r="B19" s="72"/>
      <c r="C19" s="111"/>
      <c r="D19" s="111"/>
      <c r="E19" s="111"/>
      <c r="F19" s="111"/>
      <c r="G19" s="111"/>
      <c r="H19" s="112"/>
      <c r="I19" s="113"/>
      <c r="J19" s="112"/>
      <c r="K19" s="115"/>
      <c r="L19" s="115"/>
      <c r="M19" s="114"/>
      <c r="N19" s="114"/>
      <c r="O19" s="72"/>
      <c r="P19" s="72"/>
      <c r="Q19" s="72"/>
    </row>
    <row r="20" spans="2:17" ht="15">
      <c r="B20" s="72"/>
      <c r="C20" s="111"/>
      <c r="D20" s="111"/>
      <c r="E20" s="111"/>
      <c r="F20" s="111"/>
      <c r="G20" s="111"/>
      <c r="H20" s="112"/>
      <c r="I20" s="113"/>
      <c r="J20" s="112"/>
      <c r="K20" s="115"/>
      <c r="L20" s="115"/>
      <c r="M20" s="114"/>
      <c r="N20" s="114"/>
      <c r="O20" s="72"/>
      <c r="P20" s="72"/>
      <c r="Q20" s="72"/>
    </row>
    <row r="21" spans="2:17" ht="15">
      <c r="B21" s="72"/>
      <c r="C21" s="111"/>
      <c r="D21" s="111"/>
      <c r="E21" s="111"/>
      <c r="F21" s="111"/>
      <c r="G21" s="111"/>
      <c r="H21" s="112"/>
      <c r="I21" s="113"/>
      <c r="J21" s="112"/>
      <c r="K21" s="113"/>
      <c r="L21" s="113"/>
      <c r="M21" s="114"/>
      <c r="N21" s="114"/>
      <c r="O21" s="72"/>
      <c r="P21" s="72"/>
      <c r="Q21" s="72"/>
    </row>
    <row r="22" spans="2:17" ht="15">
      <c r="B22" s="72"/>
      <c r="C22" s="111"/>
      <c r="D22" s="111"/>
      <c r="E22" s="111"/>
      <c r="F22" s="111"/>
      <c r="G22" s="111"/>
      <c r="H22" s="112"/>
      <c r="I22" s="113"/>
      <c r="J22" s="112"/>
      <c r="K22" s="115"/>
      <c r="L22" s="115"/>
      <c r="M22" s="114"/>
      <c r="N22" s="114"/>
      <c r="O22" s="72"/>
      <c r="P22" s="72"/>
      <c r="Q22" s="72"/>
    </row>
    <row r="23" spans="2:17" ht="15">
      <c r="B23" s="72"/>
      <c r="C23" s="111"/>
      <c r="D23" s="111"/>
      <c r="E23" s="111"/>
      <c r="F23" s="111"/>
      <c r="G23" s="111"/>
      <c r="H23" s="113"/>
      <c r="I23" s="113"/>
      <c r="J23" s="112"/>
      <c r="K23" s="115"/>
      <c r="L23" s="115"/>
      <c r="M23" s="114"/>
      <c r="N23" s="114"/>
      <c r="O23" s="72"/>
      <c r="P23" s="72"/>
      <c r="Q23" s="72"/>
    </row>
    <row r="24" spans="2:17" ht="12.7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ht="12.7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</sheetData>
  <sheetProtection/>
  <mergeCells count="11">
    <mergeCell ref="A3:N3"/>
    <mergeCell ref="F4:G5"/>
    <mergeCell ref="K4:L5"/>
    <mergeCell ref="M4:N5"/>
    <mergeCell ref="B4:B6"/>
    <mergeCell ref="A4:A6"/>
    <mergeCell ref="H4:J5"/>
    <mergeCell ref="C4:E5"/>
    <mergeCell ref="A12:B12"/>
    <mergeCell ref="A13:B13"/>
    <mergeCell ref="A10:B10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5" zoomScaleNormal="75" zoomScaleSheetLayoutView="65" zoomScalePageLayoutView="0" workbookViewId="0" topLeftCell="A1">
      <selection activeCell="A20" sqref="A20:B20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20"/>
      <c r="B1" s="20"/>
      <c r="C1" s="129" t="s">
        <v>112</v>
      </c>
      <c r="D1" s="129"/>
      <c r="E1" s="129"/>
      <c r="F1" s="129"/>
      <c r="G1" s="129"/>
      <c r="H1" s="129"/>
      <c r="I1" s="129"/>
      <c r="J1" s="129"/>
      <c r="K1" s="129"/>
      <c r="L1" s="20"/>
      <c r="M1" s="20"/>
      <c r="N1" s="20"/>
    </row>
    <row r="2" spans="1:14" ht="15">
      <c r="A2" s="146" t="s">
        <v>2</v>
      </c>
      <c r="B2" s="146" t="s">
        <v>3</v>
      </c>
      <c r="C2" s="24" t="s">
        <v>34</v>
      </c>
      <c r="D2" s="25"/>
      <c r="E2" s="27"/>
      <c r="F2" s="49" t="s">
        <v>35</v>
      </c>
      <c r="G2" s="25"/>
      <c r="H2" s="27"/>
      <c r="I2" s="24" t="s">
        <v>36</v>
      </c>
      <c r="J2" s="25"/>
      <c r="K2" s="27"/>
      <c r="L2" s="24" t="s">
        <v>37</v>
      </c>
      <c r="M2" s="25"/>
      <c r="N2" s="27"/>
    </row>
    <row r="3" spans="1:14" ht="15">
      <c r="A3" s="163"/>
      <c r="B3" s="163"/>
      <c r="C3" s="18">
        <v>2011</v>
      </c>
      <c r="D3" s="19">
        <v>2012</v>
      </c>
      <c r="E3" s="9" t="s">
        <v>33</v>
      </c>
      <c r="F3" s="18">
        <v>2011</v>
      </c>
      <c r="G3" s="19">
        <v>2012</v>
      </c>
      <c r="H3" s="9" t="s">
        <v>33</v>
      </c>
      <c r="I3" s="18">
        <v>2011</v>
      </c>
      <c r="J3" s="19">
        <v>2012</v>
      </c>
      <c r="K3" s="9" t="s">
        <v>33</v>
      </c>
      <c r="L3" s="18">
        <v>2011</v>
      </c>
      <c r="M3" s="19">
        <v>2012</v>
      </c>
      <c r="N3" s="9" t="s">
        <v>33</v>
      </c>
    </row>
    <row r="4" spans="1:14" ht="15">
      <c r="A4" s="147"/>
      <c r="B4" s="147"/>
      <c r="C4" s="29"/>
      <c r="D4" s="29"/>
      <c r="E4" s="45" t="s">
        <v>103</v>
      </c>
      <c r="F4" s="29"/>
      <c r="G4" s="29"/>
      <c r="H4" s="45" t="s">
        <v>105</v>
      </c>
      <c r="I4" s="29"/>
      <c r="J4" s="29"/>
      <c r="K4" s="45" t="s">
        <v>103</v>
      </c>
      <c r="L4" s="29"/>
      <c r="M4" s="29"/>
      <c r="N4" s="45" t="s">
        <v>103</v>
      </c>
    </row>
    <row r="5" spans="1:14" ht="16.5" customHeight="1">
      <c r="A5" s="31">
        <v>1</v>
      </c>
      <c r="B5" s="31" t="s">
        <v>55</v>
      </c>
      <c r="C5" s="12">
        <v>149</v>
      </c>
      <c r="D5" s="12">
        <v>150</v>
      </c>
      <c r="E5" s="16">
        <f aca="true" t="shared" si="0" ref="E5:E15">D5-C5</f>
        <v>1</v>
      </c>
      <c r="F5" s="12">
        <v>6</v>
      </c>
      <c r="G5" s="12">
        <v>20</v>
      </c>
      <c r="H5" s="16">
        <f aca="true" t="shared" si="1" ref="H5:H15">G5-F5</f>
        <v>14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56</v>
      </c>
      <c r="C6" s="12">
        <v>146</v>
      </c>
      <c r="D6" s="12">
        <v>147</v>
      </c>
      <c r="E6" s="16">
        <f t="shared" si="0"/>
        <v>1</v>
      </c>
      <c r="F6" s="12">
        <v>9</v>
      </c>
      <c r="G6" s="12">
        <v>1</v>
      </c>
      <c r="H6" s="16">
        <f t="shared" si="1"/>
        <v>-8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57</v>
      </c>
      <c r="C7" s="12">
        <v>33</v>
      </c>
      <c r="D7" s="12">
        <v>43</v>
      </c>
      <c r="E7" s="16">
        <f t="shared" si="0"/>
        <v>10</v>
      </c>
      <c r="F7" s="12">
        <v>2</v>
      </c>
      <c r="G7" s="12">
        <v>4</v>
      </c>
      <c r="H7" s="16">
        <f t="shared" si="1"/>
        <v>2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58</v>
      </c>
      <c r="C8" s="12">
        <v>203</v>
      </c>
      <c r="D8" s="12">
        <v>393</v>
      </c>
      <c r="E8" s="16">
        <f t="shared" si="0"/>
        <v>190</v>
      </c>
      <c r="F8" s="12">
        <v>18</v>
      </c>
      <c r="G8" s="12">
        <v>12</v>
      </c>
      <c r="H8" s="16">
        <f t="shared" si="1"/>
        <v>-6</v>
      </c>
      <c r="I8" s="16">
        <v>79</v>
      </c>
      <c r="J8" s="16">
        <v>84</v>
      </c>
      <c r="K8" s="12">
        <f>J8-I8</f>
        <v>5</v>
      </c>
      <c r="L8" s="12">
        <v>36</v>
      </c>
      <c r="M8" s="12">
        <v>44</v>
      </c>
      <c r="N8" s="12">
        <f>M8-L8</f>
        <v>8</v>
      </c>
    </row>
    <row r="9" spans="1:14" ht="16.5" customHeight="1">
      <c r="A9" s="31">
        <v>5</v>
      </c>
      <c r="B9" s="31" t="s">
        <v>59</v>
      </c>
      <c r="C9" s="12">
        <v>173</v>
      </c>
      <c r="D9" s="12">
        <v>136</v>
      </c>
      <c r="E9" s="16">
        <f t="shared" si="0"/>
        <v>-37</v>
      </c>
      <c r="F9" s="12"/>
      <c r="G9" s="12"/>
      <c r="H9" s="16">
        <f t="shared" si="1"/>
        <v>0</v>
      </c>
      <c r="I9" s="12">
        <v>101</v>
      </c>
      <c r="J9" s="12">
        <v>114</v>
      </c>
      <c r="K9" s="12">
        <f>J9-I9</f>
        <v>13</v>
      </c>
      <c r="L9" s="12">
        <v>10</v>
      </c>
      <c r="M9" s="16">
        <v>12</v>
      </c>
      <c r="N9" s="12">
        <f>M9-L9</f>
        <v>2</v>
      </c>
    </row>
    <row r="10" spans="1:14" ht="16.5" customHeight="1">
      <c r="A10" s="31">
        <v>6</v>
      </c>
      <c r="B10" s="32" t="s">
        <v>71</v>
      </c>
      <c r="C10" s="12">
        <v>39</v>
      </c>
      <c r="D10" s="12">
        <v>53</v>
      </c>
      <c r="E10" s="16">
        <f t="shared" si="0"/>
        <v>14</v>
      </c>
      <c r="F10" s="12">
        <v>2</v>
      </c>
      <c r="G10" s="12">
        <v>4</v>
      </c>
      <c r="H10" s="16">
        <f t="shared" si="1"/>
        <v>2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60</v>
      </c>
      <c r="C11" s="12">
        <v>58</v>
      </c>
      <c r="D11" s="12"/>
      <c r="E11" s="16">
        <f t="shared" si="0"/>
        <v>-58</v>
      </c>
      <c r="F11" s="12">
        <v>2</v>
      </c>
      <c r="G11" s="12"/>
      <c r="H11" s="16">
        <f t="shared" si="1"/>
        <v>-2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85</v>
      </c>
      <c r="C12" s="12">
        <v>5</v>
      </c>
      <c r="D12" s="12">
        <v>81</v>
      </c>
      <c r="E12" s="16">
        <f t="shared" si="0"/>
        <v>76</v>
      </c>
      <c r="F12" s="12">
        <v>5</v>
      </c>
      <c r="G12" s="12">
        <v>18</v>
      </c>
      <c r="H12" s="16">
        <f t="shared" si="1"/>
        <v>13</v>
      </c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70</v>
      </c>
      <c r="C13" s="12">
        <v>91</v>
      </c>
      <c r="D13" s="12">
        <v>122</v>
      </c>
      <c r="E13" s="16">
        <f t="shared" si="0"/>
        <v>31</v>
      </c>
      <c r="F13" s="12">
        <v>10</v>
      </c>
      <c r="G13" s="12">
        <v>39</v>
      </c>
      <c r="H13" s="16">
        <f t="shared" si="1"/>
        <v>29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61</v>
      </c>
      <c r="C14" s="12">
        <v>80</v>
      </c>
      <c r="D14" s="12">
        <v>50</v>
      </c>
      <c r="E14" s="16">
        <f t="shared" si="0"/>
        <v>-30</v>
      </c>
      <c r="F14" s="12">
        <v>18</v>
      </c>
      <c r="G14" s="12"/>
      <c r="H14" s="16">
        <f t="shared" si="1"/>
        <v>-18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62</v>
      </c>
      <c r="C15" s="12">
        <v>44</v>
      </c>
      <c r="D15" s="12">
        <v>23</v>
      </c>
      <c r="E15" s="16">
        <f t="shared" si="0"/>
        <v>-21</v>
      </c>
      <c r="F15" s="12">
        <v>5</v>
      </c>
      <c r="G15" s="12"/>
      <c r="H15" s="16">
        <f t="shared" si="1"/>
        <v>-5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63</v>
      </c>
      <c r="C16" s="16"/>
      <c r="D16" s="16"/>
      <c r="E16" s="16"/>
      <c r="F16" s="16"/>
      <c r="G16" s="16"/>
      <c r="H16" s="16"/>
      <c r="I16" s="12">
        <v>1678</v>
      </c>
      <c r="J16" s="12">
        <v>1546</v>
      </c>
      <c r="K16" s="12">
        <f>J16-I16</f>
        <v>-132</v>
      </c>
      <c r="L16" s="12">
        <v>697</v>
      </c>
      <c r="M16" s="12">
        <v>635</v>
      </c>
      <c r="N16" s="12">
        <f>M16-L16</f>
        <v>-62</v>
      </c>
    </row>
    <row r="17" spans="1:14" ht="60.75" customHeight="1">
      <c r="A17" s="154" t="s">
        <v>98</v>
      </c>
      <c r="B17" s="155"/>
      <c r="C17" s="12">
        <f>SUM(C5:C15)</f>
        <v>1021</v>
      </c>
      <c r="D17" s="12">
        <f>SUM(D5:D16)</f>
        <v>1198</v>
      </c>
      <c r="E17" s="12">
        <f>D17-C17</f>
        <v>177</v>
      </c>
      <c r="F17" s="12">
        <f>SUM(F5:F16)</f>
        <v>77</v>
      </c>
      <c r="G17" s="12">
        <f>SUM(G5:G16)</f>
        <v>98</v>
      </c>
      <c r="H17" s="12">
        <f>G17-F17</f>
        <v>21</v>
      </c>
      <c r="I17" s="12">
        <f>SUM(I8:I16)</f>
        <v>1858</v>
      </c>
      <c r="J17" s="12">
        <f>SUM(J8:J16)</f>
        <v>1744</v>
      </c>
      <c r="K17" s="12">
        <f>J17-I17</f>
        <v>-114</v>
      </c>
      <c r="L17" s="12">
        <f>SUM(L8:L16)</f>
        <v>743</v>
      </c>
      <c r="M17" s="12">
        <f>SUM(M8:M16)</f>
        <v>691</v>
      </c>
      <c r="N17" s="12">
        <f>M17-L17</f>
        <v>-52</v>
      </c>
    </row>
    <row r="18" spans="1:14" ht="16.5" customHeight="1">
      <c r="A18" s="31">
        <v>1</v>
      </c>
      <c r="B18" s="32" t="s">
        <v>80</v>
      </c>
      <c r="C18" s="12"/>
      <c r="D18" s="16"/>
      <c r="E18" s="12"/>
      <c r="F18" s="16"/>
      <c r="G18" s="16"/>
      <c r="H18" s="12"/>
      <c r="I18" s="12">
        <v>7</v>
      </c>
      <c r="J18" s="12"/>
      <c r="K18" s="12">
        <f>J18-I18</f>
        <v>-7</v>
      </c>
      <c r="L18" s="12"/>
      <c r="M18" s="12"/>
      <c r="N18" s="12">
        <f>M18-L18</f>
        <v>0</v>
      </c>
    </row>
    <row r="19" spans="1:14" ht="18.75" customHeight="1">
      <c r="A19" s="154" t="s">
        <v>88</v>
      </c>
      <c r="B19" s="155"/>
      <c r="C19" s="12"/>
      <c r="D19" s="12"/>
      <c r="E19" s="12"/>
      <c r="F19" s="12"/>
      <c r="G19" s="12"/>
      <c r="H19" s="12"/>
      <c r="I19" s="12">
        <f>I18</f>
        <v>7</v>
      </c>
      <c r="J19" s="12">
        <f>J18</f>
        <v>0</v>
      </c>
      <c r="K19" s="12">
        <f>J19-I19</f>
        <v>-7</v>
      </c>
      <c r="L19" s="12">
        <f>L18</f>
        <v>0</v>
      </c>
      <c r="M19" s="12">
        <f>M18</f>
        <v>0</v>
      </c>
      <c r="N19" s="12">
        <f>M19-L19</f>
        <v>0</v>
      </c>
    </row>
    <row r="20" spans="1:14" ht="39" customHeight="1">
      <c r="A20" s="156" t="s">
        <v>89</v>
      </c>
      <c r="B20" s="157"/>
      <c r="C20" s="12">
        <f>C17+C19</f>
        <v>1021</v>
      </c>
      <c r="D20" s="12">
        <f>D17+D19</f>
        <v>1198</v>
      </c>
      <c r="E20" s="12">
        <f>D20-C20</f>
        <v>177</v>
      </c>
      <c r="F20" s="12">
        <f>F17+F19</f>
        <v>77</v>
      </c>
      <c r="G20" s="12">
        <f>G17+G19</f>
        <v>98</v>
      </c>
      <c r="H20" s="12">
        <f>G20-F20</f>
        <v>21</v>
      </c>
      <c r="I20" s="12">
        <f>I17+I19</f>
        <v>1865</v>
      </c>
      <c r="J20" s="12">
        <f>J17+J19</f>
        <v>1744</v>
      </c>
      <c r="K20" s="12">
        <f>J20-I20</f>
        <v>-121</v>
      </c>
      <c r="L20" s="12">
        <f>L17+L19</f>
        <v>743</v>
      </c>
      <c r="M20" s="12">
        <f>M17+M19</f>
        <v>691</v>
      </c>
      <c r="N20" s="12">
        <f>M20-L20</f>
        <v>-52</v>
      </c>
    </row>
  </sheetData>
  <sheetProtection/>
  <mergeCells count="5">
    <mergeCell ref="B2:B4"/>
    <mergeCell ref="A2:A4"/>
    <mergeCell ref="A17:B17"/>
    <mergeCell ref="A19:B19"/>
    <mergeCell ref="A20:B2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zoomScalePageLayoutView="0" workbookViewId="0" topLeftCell="A1">
      <selection activeCell="A17" sqref="A17:B17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85" t="s">
        <v>111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51" t="s">
        <v>2</v>
      </c>
      <c r="B3" s="151" t="s">
        <v>3</v>
      </c>
      <c r="C3" s="24" t="s">
        <v>24</v>
      </c>
      <c r="D3" s="25"/>
      <c r="E3" s="27"/>
      <c r="F3" s="5" t="s">
        <v>25</v>
      </c>
      <c r="G3" s="7"/>
      <c r="H3" s="23" t="s">
        <v>27</v>
      </c>
      <c r="I3" s="34" t="s">
        <v>28</v>
      </c>
      <c r="J3" s="21"/>
      <c r="K3" s="23" t="s">
        <v>27</v>
      </c>
      <c r="L3" s="50" t="s">
        <v>30</v>
      </c>
      <c r="M3" s="21"/>
      <c r="N3" s="23" t="s">
        <v>27</v>
      </c>
    </row>
    <row r="4" spans="1:14" ht="15">
      <c r="A4" s="188"/>
      <c r="B4" s="188"/>
      <c r="C4" s="18">
        <v>2011</v>
      </c>
      <c r="D4" s="19">
        <v>2012</v>
      </c>
      <c r="E4" s="19" t="s">
        <v>95</v>
      </c>
      <c r="F4" s="18">
        <v>2011</v>
      </c>
      <c r="G4" s="19">
        <v>2012</v>
      </c>
      <c r="H4" s="44" t="s">
        <v>26</v>
      </c>
      <c r="I4" s="30" t="s">
        <v>29</v>
      </c>
      <c r="J4" s="28"/>
      <c r="K4" s="44" t="s">
        <v>26</v>
      </c>
      <c r="L4" s="52" t="s">
        <v>31</v>
      </c>
      <c r="M4" s="28"/>
      <c r="N4" s="44" t="s">
        <v>26</v>
      </c>
    </row>
    <row r="5" spans="1:14" ht="15">
      <c r="A5" s="188"/>
      <c r="B5" s="188"/>
      <c r="C5" s="40"/>
      <c r="D5" s="11"/>
      <c r="E5" s="11" t="s">
        <v>96</v>
      </c>
      <c r="F5" s="29"/>
      <c r="G5" s="28"/>
      <c r="H5" s="29" t="s">
        <v>97</v>
      </c>
      <c r="I5" s="18">
        <v>2011</v>
      </c>
      <c r="J5" s="19">
        <v>2012</v>
      </c>
      <c r="K5" s="29" t="s">
        <v>97</v>
      </c>
      <c r="L5" s="18">
        <v>2011</v>
      </c>
      <c r="M5" s="19">
        <v>2012</v>
      </c>
      <c r="N5" s="29" t="s">
        <v>97</v>
      </c>
    </row>
    <row r="6" spans="1:14" ht="16.5" customHeight="1">
      <c r="A6" s="31">
        <v>1</v>
      </c>
      <c r="B6" s="31" t="s">
        <v>55</v>
      </c>
      <c r="C6" s="36">
        <v>128</v>
      </c>
      <c r="D6" s="36">
        <v>86</v>
      </c>
      <c r="E6" s="36">
        <f aca="true" t="shared" si="0" ref="E6:E17">D6*100/C6</f>
        <v>67.1875</v>
      </c>
      <c r="F6" s="36">
        <v>120</v>
      </c>
      <c r="G6" s="36">
        <v>83</v>
      </c>
      <c r="H6" s="36">
        <f aca="true" t="shared" si="1" ref="H6:H17">G6-F6</f>
        <v>-37</v>
      </c>
      <c r="I6" s="36">
        <f>F6*100/180</f>
        <v>66.66666666666667</v>
      </c>
      <c r="J6" s="36">
        <f>G6*100/180</f>
        <v>46.111111111111114</v>
      </c>
      <c r="K6" s="36">
        <f aca="true" t="shared" si="2" ref="K6:K17">J6-I6</f>
        <v>-20.555555555555557</v>
      </c>
      <c r="L6" s="36">
        <f>(C6-F6)*100/180</f>
        <v>4.444444444444445</v>
      </c>
      <c r="M6" s="36">
        <f>(D6-G6)*100/180</f>
        <v>1.6666666666666667</v>
      </c>
      <c r="N6" s="36">
        <f>M6-L6</f>
        <v>-2.7777777777777777</v>
      </c>
    </row>
    <row r="7" spans="1:14" ht="16.5" customHeight="1">
      <c r="A7" s="31">
        <v>2</v>
      </c>
      <c r="B7" s="31" t="s">
        <v>56</v>
      </c>
      <c r="C7" s="36">
        <v>100</v>
      </c>
      <c r="D7" s="36">
        <v>85</v>
      </c>
      <c r="E7" s="36">
        <f t="shared" si="0"/>
        <v>85</v>
      </c>
      <c r="F7" s="36">
        <v>91</v>
      </c>
      <c r="G7" s="36">
        <v>82</v>
      </c>
      <c r="H7" s="36">
        <f t="shared" si="1"/>
        <v>-9</v>
      </c>
      <c r="I7" s="36">
        <f>F7*100/105</f>
        <v>86.66666666666667</v>
      </c>
      <c r="J7" s="36">
        <f>G7*100/105</f>
        <v>78.0952380952381</v>
      </c>
      <c r="K7" s="36">
        <f>J7-I7</f>
        <v>-8.57142857142857</v>
      </c>
      <c r="L7" s="36">
        <f>(C7-F7)*100/105</f>
        <v>8.571428571428571</v>
      </c>
      <c r="M7" s="36">
        <f>(D7-G7)*100/105</f>
        <v>2.857142857142857</v>
      </c>
      <c r="N7" s="36">
        <f>M7-L7</f>
        <v>-5.7142857142857135</v>
      </c>
    </row>
    <row r="8" spans="1:14" ht="16.5" customHeight="1">
      <c r="A8" s="31">
        <v>3</v>
      </c>
      <c r="B8" s="31" t="s">
        <v>57</v>
      </c>
      <c r="C8" s="36">
        <v>42</v>
      </c>
      <c r="D8" s="36">
        <v>43</v>
      </c>
      <c r="E8" s="36">
        <f t="shared" si="0"/>
        <v>102.38095238095238</v>
      </c>
      <c r="F8" s="36">
        <v>37</v>
      </c>
      <c r="G8" s="36">
        <v>41</v>
      </c>
      <c r="H8" s="36">
        <f t="shared" si="1"/>
        <v>4</v>
      </c>
      <c r="I8" s="36">
        <f>F8*100/60</f>
        <v>61.666666666666664</v>
      </c>
      <c r="J8" s="36">
        <f>G8*100/60</f>
        <v>68.33333333333333</v>
      </c>
      <c r="K8" s="36">
        <f>J8-I8</f>
        <v>6.666666666666664</v>
      </c>
      <c r="L8" s="36">
        <f>(C8-F8)*100/60</f>
        <v>8.333333333333334</v>
      </c>
      <c r="M8" s="36">
        <f>(D8-G8)*100/60</f>
        <v>3.3333333333333335</v>
      </c>
      <c r="N8" s="36">
        <f>M8-L8</f>
        <v>-5</v>
      </c>
    </row>
    <row r="9" spans="1:14" ht="16.5" customHeight="1">
      <c r="A9" s="31">
        <v>4</v>
      </c>
      <c r="B9" s="22" t="s">
        <v>58</v>
      </c>
      <c r="C9" s="36">
        <v>144</v>
      </c>
      <c r="D9" s="36">
        <v>160</v>
      </c>
      <c r="E9" s="36">
        <f t="shared" si="0"/>
        <v>111.11111111111111</v>
      </c>
      <c r="F9" s="36">
        <v>114</v>
      </c>
      <c r="G9" s="36">
        <v>134</v>
      </c>
      <c r="H9" s="36">
        <f t="shared" si="1"/>
        <v>20</v>
      </c>
      <c r="I9" s="36">
        <f>F9*100/308</f>
        <v>37.01298701298701</v>
      </c>
      <c r="J9" s="36">
        <f>G9*100/308</f>
        <v>43.506493506493506</v>
      </c>
      <c r="K9" s="36">
        <f t="shared" si="2"/>
        <v>6.493506493506494</v>
      </c>
      <c r="L9" s="36">
        <f>(C9-F9)*100/308</f>
        <v>9.74025974025974</v>
      </c>
      <c r="M9" s="36">
        <f>(D9-G9)*100/308</f>
        <v>8.441558441558442</v>
      </c>
      <c r="N9" s="36">
        <f aca="true" t="shared" si="3" ref="N9:N17">M9-L9</f>
        <v>-1.2987012987012978</v>
      </c>
    </row>
    <row r="10" spans="1:14" ht="16.5" customHeight="1">
      <c r="A10" s="31">
        <v>5</v>
      </c>
      <c r="B10" s="31" t="s">
        <v>59</v>
      </c>
      <c r="C10" s="36">
        <v>81</v>
      </c>
      <c r="D10" s="36">
        <v>120</v>
      </c>
      <c r="E10" s="36">
        <f t="shared" si="0"/>
        <v>148.14814814814815</v>
      </c>
      <c r="F10" s="36">
        <v>73</v>
      </c>
      <c r="G10" s="36">
        <v>106</v>
      </c>
      <c r="H10" s="36">
        <f t="shared" si="1"/>
        <v>33</v>
      </c>
      <c r="I10" s="36">
        <f>F10*100/280</f>
        <v>26.071428571428573</v>
      </c>
      <c r="J10" s="36">
        <f>G10*100/280</f>
        <v>37.857142857142854</v>
      </c>
      <c r="K10" s="36">
        <f t="shared" si="2"/>
        <v>11.785714285714281</v>
      </c>
      <c r="L10" s="36">
        <f>(C10-F10)*100/280</f>
        <v>2.857142857142857</v>
      </c>
      <c r="M10" s="36">
        <f>(D10-G10)*100/280</f>
        <v>5</v>
      </c>
      <c r="N10" s="36">
        <f t="shared" si="3"/>
        <v>2.142857142857143</v>
      </c>
    </row>
    <row r="11" spans="1:14" ht="16.5" customHeight="1">
      <c r="A11" s="31">
        <v>6</v>
      </c>
      <c r="B11" s="32" t="s">
        <v>71</v>
      </c>
      <c r="C11" s="88">
        <v>69</v>
      </c>
      <c r="D11" s="88">
        <v>64</v>
      </c>
      <c r="E11" s="36">
        <f t="shared" si="0"/>
        <v>92.7536231884058</v>
      </c>
      <c r="F11" s="88">
        <v>63</v>
      </c>
      <c r="G11" s="88">
        <v>51</v>
      </c>
      <c r="H11" s="36">
        <f t="shared" si="1"/>
        <v>-12</v>
      </c>
      <c r="I11" s="88">
        <f>F11*100/85</f>
        <v>74.11764705882354</v>
      </c>
      <c r="J11" s="88">
        <f>G11*100/85</f>
        <v>60</v>
      </c>
      <c r="K11" s="36">
        <f t="shared" si="2"/>
        <v>-14.117647058823536</v>
      </c>
      <c r="L11" s="36">
        <f>(C11-F11)*100/85</f>
        <v>7.0588235294117645</v>
      </c>
      <c r="M11" s="36">
        <f>(D11-G11)*100/85</f>
        <v>15.294117647058824</v>
      </c>
      <c r="N11" s="88">
        <f t="shared" si="3"/>
        <v>8.23529411764706</v>
      </c>
    </row>
    <row r="12" spans="1:14" ht="16.5" customHeight="1">
      <c r="A12" s="31">
        <v>7</v>
      </c>
      <c r="B12" s="32" t="s">
        <v>60</v>
      </c>
      <c r="C12" s="88">
        <v>66</v>
      </c>
      <c r="D12" s="88"/>
      <c r="E12" s="36">
        <f t="shared" si="0"/>
        <v>0</v>
      </c>
      <c r="F12" s="88">
        <v>58</v>
      </c>
      <c r="G12" s="88"/>
      <c r="H12" s="36">
        <f t="shared" si="1"/>
        <v>-58</v>
      </c>
      <c r="I12" s="88">
        <f>F12*100/60</f>
        <v>96.66666666666667</v>
      </c>
      <c r="J12" s="88">
        <f>G12*100/60</f>
        <v>0</v>
      </c>
      <c r="K12" s="36">
        <f t="shared" si="2"/>
        <v>-96.66666666666667</v>
      </c>
      <c r="L12" s="36">
        <f>(C12-F12)*100/60</f>
        <v>13.333333333333334</v>
      </c>
      <c r="M12" s="36">
        <f>(D12-G12)*100/60</f>
        <v>0</v>
      </c>
      <c r="N12" s="88">
        <f t="shared" si="3"/>
        <v>-13.333333333333334</v>
      </c>
    </row>
    <row r="13" spans="1:14" ht="16.5" customHeight="1">
      <c r="A13" s="31">
        <v>8</v>
      </c>
      <c r="B13" s="32" t="s">
        <v>85</v>
      </c>
      <c r="C13" s="117"/>
      <c r="D13" s="88">
        <v>79</v>
      </c>
      <c r="E13" s="36">
        <f>D13*100/C14</f>
        <v>98.75</v>
      </c>
      <c r="F13" s="88"/>
      <c r="G13" s="88">
        <v>65</v>
      </c>
      <c r="H13" s="36">
        <f t="shared" si="1"/>
        <v>65</v>
      </c>
      <c r="I13" s="88"/>
      <c r="J13" s="88">
        <f>G13*100/5</f>
        <v>1300</v>
      </c>
      <c r="K13" s="36"/>
      <c r="L13" s="36"/>
      <c r="M13" s="36">
        <f>(D13-G13)*100/5</f>
        <v>280</v>
      </c>
      <c r="N13" s="88"/>
    </row>
    <row r="14" spans="1:14" ht="16.5" customHeight="1">
      <c r="A14" s="31">
        <v>9</v>
      </c>
      <c r="B14" s="32" t="s">
        <v>70</v>
      </c>
      <c r="C14" s="88">
        <v>80</v>
      </c>
      <c r="D14" s="88">
        <v>48</v>
      </c>
      <c r="E14" s="36">
        <f>D14*100/C15</f>
        <v>76.19047619047619</v>
      </c>
      <c r="F14" s="88">
        <v>69</v>
      </c>
      <c r="G14" s="88">
        <v>41</v>
      </c>
      <c r="H14" s="36">
        <f t="shared" si="1"/>
        <v>-28</v>
      </c>
      <c r="I14" s="88">
        <f>F14*100/78</f>
        <v>88.46153846153847</v>
      </c>
      <c r="J14" s="88">
        <f>G14*100/78</f>
        <v>52.56410256410256</v>
      </c>
      <c r="K14" s="36">
        <f t="shared" si="2"/>
        <v>-35.897435897435905</v>
      </c>
      <c r="L14" s="36">
        <f>(C14-F14)*100/78</f>
        <v>14.102564102564102</v>
      </c>
      <c r="M14" s="36">
        <f>(D14-G14)*100/78</f>
        <v>8.974358974358974</v>
      </c>
      <c r="N14" s="88">
        <f t="shared" si="3"/>
        <v>-5.128205128205128</v>
      </c>
    </row>
    <row r="15" spans="1:14" ht="16.5" customHeight="1">
      <c r="A15" s="31">
        <v>10</v>
      </c>
      <c r="B15" s="32" t="s">
        <v>61</v>
      </c>
      <c r="C15" s="88">
        <v>63</v>
      </c>
      <c r="D15" s="88">
        <v>82</v>
      </c>
      <c r="E15" s="36">
        <f>D15*100/C16</f>
        <v>303.7037037037037</v>
      </c>
      <c r="F15" s="88">
        <v>60</v>
      </c>
      <c r="G15" s="88">
        <v>73</v>
      </c>
      <c r="H15" s="36">
        <f t="shared" si="1"/>
        <v>13</v>
      </c>
      <c r="I15" s="88">
        <f>F15*100/100</f>
        <v>60</v>
      </c>
      <c r="J15" s="88">
        <f>G15*100/100</f>
        <v>73</v>
      </c>
      <c r="K15" s="36">
        <f t="shared" si="2"/>
        <v>13</v>
      </c>
      <c r="L15" s="36">
        <f>(C15-F15)*100/100</f>
        <v>3</v>
      </c>
      <c r="M15" s="36">
        <f>(D15-G15)*100/100</f>
        <v>9</v>
      </c>
      <c r="N15" s="88">
        <f t="shared" si="3"/>
        <v>6</v>
      </c>
    </row>
    <row r="16" spans="1:14" ht="16.5" customHeight="1">
      <c r="A16" s="31">
        <v>11</v>
      </c>
      <c r="B16" s="32" t="s">
        <v>62</v>
      </c>
      <c r="C16" s="88">
        <v>27</v>
      </c>
      <c r="D16" s="88">
        <v>29</v>
      </c>
      <c r="E16" s="36">
        <f>D16*100/C17</f>
        <v>3.625</v>
      </c>
      <c r="F16" s="88">
        <v>27</v>
      </c>
      <c r="G16" s="88">
        <v>29</v>
      </c>
      <c r="H16" s="36">
        <f t="shared" si="1"/>
        <v>2</v>
      </c>
      <c r="I16" s="88">
        <f>F16*100/42</f>
        <v>64.28571428571429</v>
      </c>
      <c r="J16" s="88">
        <f>G16*100/42</f>
        <v>69.04761904761905</v>
      </c>
      <c r="K16" s="36">
        <f t="shared" si="2"/>
        <v>4.761904761904759</v>
      </c>
      <c r="L16" s="36">
        <f>(C16-F16)*100/42</f>
        <v>0</v>
      </c>
      <c r="M16" s="36">
        <f>(D16-G16)*100/42</f>
        <v>0</v>
      </c>
      <c r="N16" s="88">
        <f t="shared" si="3"/>
        <v>0</v>
      </c>
    </row>
    <row r="17" spans="1:14" ht="61.5" customHeight="1">
      <c r="A17" s="186" t="s">
        <v>94</v>
      </c>
      <c r="B17" s="187"/>
      <c r="C17" s="36">
        <f>SUM(C6:C16)</f>
        <v>800</v>
      </c>
      <c r="D17" s="3">
        <f>SUM(D6:D16)</f>
        <v>796</v>
      </c>
      <c r="E17" s="36">
        <f t="shared" si="0"/>
        <v>99.5</v>
      </c>
      <c r="F17" s="3">
        <f>SUM(F6:F16)</f>
        <v>712</v>
      </c>
      <c r="G17" s="3">
        <f>SUM(G6:G16)</f>
        <v>705</v>
      </c>
      <c r="H17" s="36">
        <f t="shared" si="1"/>
        <v>-7</v>
      </c>
      <c r="I17" s="36">
        <f>F17*100/1298</f>
        <v>54.85362095531587</v>
      </c>
      <c r="J17" s="36">
        <f>G17*100/1303</f>
        <v>54.10590943975441</v>
      </c>
      <c r="K17" s="36">
        <f t="shared" si="2"/>
        <v>-0.7477115155614555</v>
      </c>
      <c r="L17" s="36">
        <f>(C17-F17)*100/1298</f>
        <v>6.779661016949152</v>
      </c>
      <c r="M17" s="36">
        <f>(D17-G17)*100/1303</f>
        <v>6.983883346124329</v>
      </c>
      <c r="N17" s="36">
        <f t="shared" si="3"/>
        <v>0.20422232917517658</v>
      </c>
    </row>
  </sheetData>
  <sheetProtection/>
  <mergeCells count="4">
    <mergeCell ref="A1:N1"/>
    <mergeCell ref="A17:B17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A17" sqref="A17:B17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89" t="s">
        <v>106</v>
      </c>
      <c r="B1" s="189"/>
      <c r="C1" s="189"/>
      <c r="D1" s="189"/>
      <c r="E1" s="189"/>
      <c r="F1" s="189"/>
      <c r="G1" s="76"/>
      <c r="H1" s="76"/>
      <c r="I1" s="76"/>
    </row>
    <row r="2" spans="1:9" ht="15.75">
      <c r="A2" s="190" t="s">
        <v>110</v>
      </c>
      <c r="B2" s="190"/>
      <c r="C2" s="190"/>
      <c r="D2" s="190"/>
      <c r="E2" s="190"/>
      <c r="F2" s="190"/>
      <c r="G2" s="76"/>
      <c r="H2" s="76"/>
      <c r="I2" s="76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6"/>
      <c r="H3" s="76"/>
      <c r="I3" s="76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6"/>
      <c r="H4" s="76"/>
      <c r="I4" s="76"/>
    </row>
    <row r="5" spans="1:9" ht="15">
      <c r="A5" s="3">
        <v>1</v>
      </c>
      <c r="B5" s="22" t="s">
        <v>55</v>
      </c>
      <c r="C5" s="36">
        <f>(молоко!C7*1000)/1875</f>
        <v>155.73333333333332</v>
      </c>
      <c r="D5" s="36">
        <f>(молоко!D7*1000)/1875</f>
        <v>134.66666666666666</v>
      </c>
      <c r="E5" s="36">
        <f>(мясо!C6*1000)/1875</f>
        <v>15.733333333333333</v>
      </c>
      <c r="F5" s="36">
        <f>(мясо!D6*1000)/1875</f>
        <v>14.186666666666667</v>
      </c>
      <c r="H5" s="76"/>
      <c r="I5" s="76"/>
    </row>
    <row r="6" spans="1:9" ht="15">
      <c r="A6" s="3">
        <v>2</v>
      </c>
      <c r="B6" s="22" t="s">
        <v>56</v>
      </c>
      <c r="C6" s="36">
        <f>(молоко!C8*1000)/799</f>
        <v>250.31289111389236</v>
      </c>
      <c r="D6" s="36">
        <f>(молоко!D8*1000)/799</f>
        <v>256.0913642052566</v>
      </c>
      <c r="E6" s="36">
        <f>(мясо!C7*1000)/799</f>
        <v>17.521902377972467</v>
      </c>
      <c r="F6" s="36">
        <f>(мясо!D7*1000)/799</f>
        <v>8.908635794743429</v>
      </c>
      <c r="H6" s="76"/>
      <c r="I6" s="76"/>
    </row>
    <row r="7" spans="1:9" ht="15">
      <c r="A7" s="3">
        <v>3</v>
      </c>
      <c r="B7" s="22" t="s">
        <v>57</v>
      </c>
      <c r="C7" s="36">
        <f>(молоко!C9*1000)/2025</f>
        <v>71.11111111111111</v>
      </c>
      <c r="D7" s="36">
        <f>(молоко!D9*1000)/2025</f>
        <v>70.61728395061728</v>
      </c>
      <c r="E7" s="36">
        <f>(мясо!C8*1000)/2025</f>
        <v>2.617283950617284</v>
      </c>
      <c r="F7" s="36">
        <f>(мясо!D8*1000)/2025</f>
        <v>3.111111111111111</v>
      </c>
      <c r="H7" s="76"/>
      <c r="I7" s="76"/>
    </row>
    <row r="8" spans="1:9" ht="15">
      <c r="A8" s="3">
        <v>4</v>
      </c>
      <c r="B8" s="38" t="s">
        <v>58</v>
      </c>
      <c r="C8" s="36">
        <f>(молоко!C10*1000)/2478</f>
        <v>233.89830508474577</v>
      </c>
      <c r="D8" s="36">
        <f>(молоко!D10*1000)/2478</f>
        <v>283.0508474576271</v>
      </c>
      <c r="E8" s="36">
        <f>(мясо!C9*1000)/2478</f>
        <v>35.06860371267151</v>
      </c>
      <c r="F8" s="36">
        <f>(мясо!D9*1000)/2478</f>
        <v>20.782889426957222</v>
      </c>
      <c r="H8" s="76"/>
      <c r="I8" s="76"/>
    </row>
    <row r="9" spans="1:9" ht="15">
      <c r="A9" s="3">
        <v>5</v>
      </c>
      <c r="B9" s="22" t="s">
        <v>59</v>
      </c>
      <c r="C9" s="36">
        <f>(молоко!C11*1000)/2157</f>
        <v>151.59944367176635</v>
      </c>
      <c r="D9" s="36">
        <f>(молоко!D11*1000)/2157</f>
        <v>126.10106629578118</v>
      </c>
      <c r="E9" s="36">
        <f>(мясо!C10*1000)/2157</f>
        <v>19.054242002781642</v>
      </c>
      <c r="F9" s="36">
        <f>(мясо!D10*1000)/2157</f>
        <v>22.57765414928141</v>
      </c>
      <c r="H9" s="76"/>
      <c r="I9" s="76"/>
    </row>
    <row r="10" spans="1:9" ht="15">
      <c r="A10" s="3">
        <v>6</v>
      </c>
      <c r="B10" s="38" t="s">
        <v>71</v>
      </c>
      <c r="C10" s="36">
        <f>(молоко!C12*1000)/859</f>
        <v>291.0360884749709</v>
      </c>
      <c r="D10" s="36">
        <f>(молоко!D12*1000)/859</f>
        <v>268.2013969732247</v>
      </c>
      <c r="E10" s="36">
        <f>(мясо!C11*1000)/859</f>
        <v>26.19324796274738</v>
      </c>
      <c r="F10" s="36">
        <f>(мясо!D11*1000)/859</f>
        <v>18.160651920838184</v>
      </c>
      <c r="H10" s="76"/>
      <c r="I10" s="76"/>
    </row>
    <row r="11" spans="1:9" ht="15">
      <c r="A11" s="3">
        <v>7</v>
      </c>
      <c r="B11" s="38" t="s">
        <v>60</v>
      </c>
      <c r="C11" s="36">
        <f>(молоко!C13*1000)/1482</f>
        <v>115.11470985155195</v>
      </c>
      <c r="D11" s="36"/>
      <c r="E11" s="36">
        <f>(мясо!C12*1000)/1482</f>
        <v>0.6747638326585695</v>
      </c>
      <c r="F11" s="36"/>
      <c r="H11" s="76"/>
      <c r="I11" s="76"/>
    </row>
    <row r="12" spans="1:9" ht="15">
      <c r="A12" s="3">
        <v>8</v>
      </c>
      <c r="B12" s="32" t="s">
        <v>85</v>
      </c>
      <c r="C12" s="36"/>
      <c r="D12" s="36">
        <f>(молоко!D14*1000)/1482</f>
        <v>132.2834008097166</v>
      </c>
      <c r="E12" s="36"/>
      <c r="F12" s="36">
        <f>(мясо!D13*1000)/1482</f>
        <v>10.740215924426451</v>
      </c>
      <c r="H12" s="76"/>
      <c r="I12" s="76"/>
    </row>
    <row r="13" spans="1:9" ht="15.75" customHeight="1">
      <c r="A13" s="3">
        <v>9</v>
      </c>
      <c r="B13" s="32" t="s">
        <v>70</v>
      </c>
      <c r="C13" s="36">
        <f>(молоко!C15*1000)/1077</f>
        <v>275.9192200557103</v>
      </c>
      <c r="D13" s="36">
        <f>(молоко!D15*1000)/1077</f>
        <v>266.7910863509749</v>
      </c>
      <c r="E13" s="36">
        <f>(мясо!C14*1000)/1077</f>
        <v>10.6313834726091</v>
      </c>
      <c r="F13" s="36">
        <f>(мясо!D14*1000)/1077</f>
        <v>11.671309192200557</v>
      </c>
      <c r="H13" s="76"/>
      <c r="I13" s="76"/>
    </row>
    <row r="14" spans="1:9" ht="15">
      <c r="A14" s="3">
        <v>10</v>
      </c>
      <c r="B14" s="38" t="s">
        <v>61</v>
      </c>
      <c r="C14" s="36">
        <f>(молоко!C16*1000)/1084</f>
        <v>183.0258302583026</v>
      </c>
      <c r="D14" s="36">
        <f>(молоко!D16*1000)/1084</f>
        <v>194.64944649446494</v>
      </c>
      <c r="E14" s="36">
        <f>(мясо!C15*1000)/1084</f>
        <v>11.715867158671587</v>
      </c>
      <c r="F14" s="36">
        <f>(мясо!D15*1000)/1084</f>
        <v>17.804428044280442</v>
      </c>
      <c r="H14" s="76"/>
      <c r="I14" s="76"/>
    </row>
    <row r="15" spans="1:9" ht="15">
      <c r="A15" s="3">
        <v>11</v>
      </c>
      <c r="B15" s="38" t="s">
        <v>62</v>
      </c>
      <c r="C15" s="36">
        <f>(молоко!C17*1000)/674</f>
        <v>148.3679525222552</v>
      </c>
      <c r="D15" s="36">
        <f>(молоко!D17*1000)/674</f>
        <v>143.17507418397625</v>
      </c>
      <c r="E15" s="36">
        <f>(мясо!C16*1000)/674</f>
        <v>17.2106824925816</v>
      </c>
      <c r="F15" s="36">
        <f>(мясо!D16*1000)/674</f>
        <v>6.379821958456973</v>
      </c>
      <c r="H15" s="76"/>
      <c r="I15" s="76"/>
    </row>
    <row r="16" spans="1:9" ht="15">
      <c r="A16" s="3">
        <v>12</v>
      </c>
      <c r="B16" s="38" t="s">
        <v>63</v>
      </c>
      <c r="C16" s="36"/>
      <c r="D16" s="36"/>
      <c r="E16" s="36">
        <f>(мясо!C17*1000)/983</f>
        <v>597.1515768056969</v>
      </c>
      <c r="F16" s="36">
        <f>(мясо!D17*1000)/983</f>
        <v>746.6937945066124</v>
      </c>
      <c r="H16" s="76"/>
      <c r="I16" s="76"/>
    </row>
    <row r="17" spans="1:6" ht="63.75" customHeight="1">
      <c r="A17" s="186" t="s">
        <v>94</v>
      </c>
      <c r="B17" s="187"/>
      <c r="C17" s="36">
        <f>(молоко!C18*1000)/22877</f>
        <v>111.84880010490886</v>
      </c>
      <c r="D17" s="36">
        <f>(молоко!D18*1000)/22877</f>
        <v>113.42308869169906</v>
      </c>
      <c r="E17" s="36">
        <f>(мясо!C23*1000)/22877</f>
        <v>36.204047733531496</v>
      </c>
      <c r="F17" s="36">
        <f>(мясо!D23*1000)/22877</f>
        <v>41.36053678366918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0" zoomScaleNormal="75" zoomScaleSheetLayoutView="70" zoomScalePageLayoutView="0" workbookViewId="0" topLeftCell="A1">
      <selection activeCell="A21" sqref="A21:B21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109</v>
      </c>
      <c r="D1" s="43"/>
      <c r="E1" s="43"/>
      <c r="F1" s="14"/>
      <c r="G1" s="14"/>
      <c r="H1" s="14"/>
      <c r="I1" s="14"/>
      <c r="J1" s="14"/>
      <c r="K1" s="14"/>
    </row>
    <row r="2" spans="1:11" ht="18" customHeight="1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46" t="s">
        <v>2</v>
      </c>
      <c r="B3" s="193" t="s">
        <v>3</v>
      </c>
      <c r="C3" s="194" t="s">
        <v>90</v>
      </c>
      <c r="D3" s="195"/>
      <c r="E3" s="196"/>
      <c r="F3" s="54" t="s">
        <v>11</v>
      </c>
      <c r="G3" s="55" t="s">
        <v>14</v>
      </c>
      <c r="H3" s="56" t="s">
        <v>16</v>
      </c>
      <c r="I3" s="57"/>
      <c r="J3" s="53"/>
      <c r="K3" s="53" t="s">
        <v>17</v>
      </c>
    </row>
    <row r="4" spans="1:11" ht="18">
      <c r="A4" s="163"/>
      <c r="B4" s="163"/>
      <c r="C4" s="58">
        <v>2011</v>
      </c>
      <c r="D4" s="54">
        <v>2012</v>
      </c>
      <c r="E4" s="54" t="s">
        <v>95</v>
      </c>
      <c r="F4" s="59" t="s">
        <v>12</v>
      </c>
      <c r="G4" s="60" t="s">
        <v>15</v>
      </c>
      <c r="H4" s="58">
        <v>2011</v>
      </c>
      <c r="I4" s="54">
        <v>2012</v>
      </c>
      <c r="J4" s="54" t="s">
        <v>95</v>
      </c>
      <c r="K4" s="61" t="s">
        <v>18</v>
      </c>
    </row>
    <row r="5" spans="1:11" ht="18">
      <c r="A5" s="147"/>
      <c r="B5" s="147"/>
      <c r="C5" s="62"/>
      <c r="D5" s="63"/>
      <c r="E5" s="63" t="s">
        <v>96</v>
      </c>
      <c r="F5" s="63" t="s">
        <v>13</v>
      </c>
      <c r="G5" s="64"/>
      <c r="H5" s="62"/>
      <c r="I5" s="63"/>
      <c r="J5" s="63" t="s">
        <v>96</v>
      </c>
      <c r="K5" s="65" t="s">
        <v>0</v>
      </c>
    </row>
    <row r="6" spans="1:11" ht="18" customHeight="1">
      <c r="A6" s="197" t="s">
        <v>91</v>
      </c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6.5" customHeight="1">
      <c r="A7" s="31">
        <v>1</v>
      </c>
      <c r="B7" s="66" t="s">
        <v>55</v>
      </c>
      <c r="C7" s="12">
        <v>292</v>
      </c>
      <c r="D7" s="12">
        <v>252.5</v>
      </c>
      <c r="E7" s="13">
        <f aca="true" t="shared" si="0" ref="E7:E17">D7/C7*100</f>
        <v>86.47260273972603</v>
      </c>
      <c r="F7" s="12">
        <v>213.7</v>
      </c>
      <c r="G7" s="13">
        <f aca="true" t="shared" si="1" ref="G7:G17">F7/D7*100</f>
        <v>84.63366336633663</v>
      </c>
      <c r="H7" s="17">
        <f>C7/'численность 1'!J6*1000</f>
        <v>1622.2222222222222</v>
      </c>
      <c r="I7" s="17">
        <f>D7/'численность 1'!K6*1000</f>
        <v>1402.7777777777776</v>
      </c>
      <c r="J7" s="13">
        <f aca="true" t="shared" si="2" ref="J7:J20">I7/H7*100</f>
        <v>86.47260273972603</v>
      </c>
      <c r="K7" s="12"/>
    </row>
    <row r="8" spans="1:11" ht="16.5" customHeight="1">
      <c r="A8" s="31">
        <v>2</v>
      </c>
      <c r="B8" s="66" t="s">
        <v>56</v>
      </c>
      <c r="C8" s="12">
        <v>200</v>
      </c>
      <c r="D8" s="12">
        <v>204.617</v>
      </c>
      <c r="E8" s="13">
        <f t="shared" si="0"/>
        <v>102.30850000000001</v>
      </c>
      <c r="F8" s="12">
        <v>180.725</v>
      </c>
      <c r="G8" s="13">
        <f t="shared" si="1"/>
        <v>88.32355082911</v>
      </c>
      <c r="H8" s="17">
        <f>C8/'численность 1'!J7*1000</f>
        <v>1904.7619047619046</v>
      </c>
      <c r="I8" s="13">
        <f>D8/'численность 1'!K7*1000</f>
        <v>1948.7333333333331</v>
      </c>
      <c r="J8" s="13">
        <f t="shared" si="2"/>
        <v>102.30850000000001</v>
      </c>
      <c r="K8" s="12"/>
    </row>
    <row r="9" spans="1:11" ht="16.5" customHeight="1">
      <c r="A9" s="31">
        <v>3</v>
      </c>
      <c r="B9" s="66" t="s">
        <v>57</v>
      </c>
      <c r="C9" s="12">
        <v>144</v>
      </c>
      <c r="D9" s="12">
        <v>143</v>
      </c>
      <c r="E9" s="13">
        <f t="shared" si="0"/>
        <v>99.30555555555556</v>
      </c>
      <c r="F9" s="12">
        <v>105</v>
      </c>
      <c r="G9" s="13">
        <f t="shared" si="1"/>
        <v>73.42657342657343</v>
      </c>
      <c r="H9" s="17">
        <f>C9/'численность 1'!J8*1000</f>
        <v>2400</v>
      </c>
      <c r="I9" s="13">
        <f>D9/'численность 1'!K8*1000</f>
        <v>2383.3333333333335</v>
      </c>
      <c r="J9" s="13">
        <f t="shared" si="2"/>
        <v>99.30555555555556</v>
      </c>
      <c r="K9" s="12"/>
    </row>
    <row r="10" spans="1:11" ht="16.5" customHeight="1">
      <c r="A10" s="31">
        <v>4</v>
      </c>
      <c r="B10" s="66" t="s">
        <v>58</v>
      </c>
      <c r="C10" s="12">
        <v>579.6</v>
      </c>
      <c r="D10" s="12">
        <v>701.4</v>
      </c>
      <c r="E10" s="13">
        <f t="shared" si="0"/>
        <v>121.01449275362317</v>
      </c>
      <c r="F10" s="12">
        <v>650.4</v>
      </c>
      <c r="G10" s="13">
        <f t="shared" si="1"/>
        <v>92.72882805816937</v>
      </c>
      <c r="H10" s="17">
        <f>C10/'численность 1'!J9*1000</f>
        <v>1881.8181818181818</v>
      </c>
      <c r="I10" s="13">
        <f>D10/'численность 1'!K9*1000</f>
        <v>2277.2727272727275</v>
      </c>
      <c r="J10" s="13">
        <f t="shared" si="2"/>
        <v>121.01449275362319</v>
      </c>
      <c r="K10" s="12"/>
    </row>
    <row r="11" spans="1:11" ht="16.5" customHeight="1">
      <c r="A11" s="31">
        <v>5</v>
      </c>
      <c r="B11" s="67" t="s">
        <v>59</v>
      </c>
      <c r="C11" s="12">
        <v>327</v>
      </c>
      <c r="D11" s="12">
        <v>272</v>
      </c>
      <c r="E11" s="13">
        <f t="shared" si="0"/>
        <v>83.18042813455658</v>
      </c>
      <c r="F11" s="12">
        <v>215.7</v>
      </c>
      <c r="G11" s="13">
        <f t="shared" si="1"/>
        <v>79.30147058823529</v>
      </c>
      <c r="H11" s="17">
        <f>C11/'численность 1'!J10*1000</f>
        <v>1167.857142857143</v>
      </c>
      <c r="I11" s="130">
        <f>D11/'численность 1'!K10*1000</f>
        <v>1162.3931623931626</v>
      </c>
      <c r="J11" s="13">
        <f t="shared" si="2"/>
        <v>99.53213622938395</v>
      </c>
      <c r="K11" s="12"/>
    </row>
    <row r="12" spans="1:11" ht="16.5" customHeight="1">
      <c r="A12" s="31">
        <v>6</v>
      </c>
      <c r="B12" s="67" t="s">
        <v>71</v>
      </c>
      <c r="C12" s="16">
        <v>250</v>
      </c>
      <c r="D12" s="16">
        <v>230.385</v>
      </c>
      <c r="E12" s="13">
        <f t="shared" si="0"/>
        <v>92.154</v>
      </c>
      <c r="F12" s="16">
        <v>174.4</v>
      </c>
      <c r="G12" s="17">
        <f t="shared" si="1"/>
        <v>75.69937278902707</v>
      </c>
      <c r="H12" s="17">
        <f>C12/'численность 1'!J11*1000</f>
        <v>2941.1764705882356</v>
      </c>
      <c r="I12" s="13">
        <f>D12/'численность 1'!K11*1000</f>
        <v>2710.4117647058824</v>
      </c>
      <c r="J12" s="13">
        <f t="shared" si="2"/>
        <v>92.154</v>
      </c>
      <c r="K12" s="131">
        <v>209.98</v>
      </c>
    </row>
    <row r="13" spans="1:11" ht="16.5" customHeight="1">
      <c r="A13" s="31">
        <v>7</v>
      </c>
      <c r="B13" s="67" t="s">
        <v>60</v>
      </c>
      <c r="C13" s="16">
        <v>170.6</v>
      </c>
      <c r="D13" s="16"/>
      <c r="E13" s="13">
        <f t="shared" si="0"/>
        <v>0</v>
      </c>
      <c r="F13" s="16"/>
      <c r="G13" s="17"/>
      <c r="H13" s="17">
        <f>C13/'численность 1'!J12*1000</f>
        <v>2843.3333333333335</v>
      </c>
      <c r="I13" s="13"/>
      <c r="J13" s="13"/>
      <c r="K13" s="16"/>
    </row>
    <row r="14" spans="1:11" ht="16.5" customHeight="1">
      <c r="A14" s="31">
        <v>8</v>
      </c>
      <c r="B14" s="67" t="s">
        <v>85</v>
      </c>
      <c r="C14" s="16"/>
      <c r="D14" s="16">
        <v>196.044</v>
      </c>
      <c r="E14" s="13"/>
      <c r="F14" s="16">
        <v>131.709</v>
      </c>
      <c r="G14" s="17">
        <f t="shared" si="1"/>
        <v>67.18338740282793</v>
      </c>
      <c r="H14" s="17"/>
      <c r="I14" s="17">
        <f>D14/'численность 1'!K13*1000</f>
        <v>3016.0615384615385</v>
      </c>
      <c r="J14" s="13"/>
      <c r="K14" s="16">
        <v>55.942</v>
      </c>
    </row>
    <row r="15" spans="1:11" ht="16.5" customHeight="1">
      <c r="A15" s="31">
        <v>9</v>
      </c>
      <c r="B15" s="67" t="s">
        <v>70</v>
      </c>
      <c r="C15" s="16">
        <v>297.165</v>
      </c>
      <c r="D15" s="16">
        <v>287.334</v>
      </c>
      <c r="E15" s="17">
        <f t="shared" si="0"/>
        <v>96.69173691383574</v>
      </c>
      <c r="F15" s="16">
        <v>249</v>
      </c>
      <c r="G15" s="17">
        <f t="shared" si="1"/>
        <v>86.65873165027459</v>
      </c>
      <c r="H15" s="17">
        <f>C15/'численность 1'!J14*1000</f>
        <v>3809.807692307693</v>
      </c>
      <c r="I15" s="17">
        <f>D15/'численность 1'!K14*1000</f>
        <v>3683.7692307692305</v>
      </c>
      <c r="J15" s="13">
        <f t="shared" si="2"/>
        <v>96.69173691383573</v>
      </c>
      <c r="K15" s="16"/>
    </row>
    <row r="16" spans="1:11" ht="16.5" customHeight="1">
      <c r="A16" s="31">
        <v>10</v>
      </c>
      <c r="B16" s="67" t="s">
        <v>61</v>
      </c>
      <c r="C16" s="16">
        <v>198.4</v>
      </c>
      <c r="D16" s="16">
        <v>211</v>
      </c>
      <c r="E16" s="13">
        <f t="shared" si="0"/>
        <v>106.3508064516129</v>
      </c>
      <c r="F16" s="16">
        <v>166</v>
      </c>
      <c r="G16" s="17">
        <f t="shared" si="1"/>
        <v>78.67298578199052</v>
      </c>
      <c r="H16" s="17">
        <f>C16/'численность 1'!J15*1000</f>
        <v>1984</v>
      </c>
      <c r="I16" s="13">
        <f>D16/'численность 1'!K15*1000</f>
        <v>2110</v>
      </c>
      <c r="J16" s="13">
        <f t="shared" si="2"/>
        <v>106.3508064516129</v>
      </c>
      <c r="K16" s="16"/>
    </row>
    <row r="17" spans="1:11" ht="16.5" customHeight="1">
      <c r="A17" s="31">
        <v>11</v>
      </c>
      <c r="B17" s="67" t="s">
        <v>62</v>
      </c>
      <c r="C17" s="16">
        <v>100</v>
      </c>
      <c r="D17" s="16">
        <v>96.5</v>
      </c>
      <c r="E17" s="13">
        <f t="shared" si="0"/>
        <v>96.5</v>
      </c>
      <c r="F17" s="16">
        <v>87.3</v>
      </c>
      <c r="G17" s="17">
        <f t="shared" si="1"/>
        <v>90.46632124352331</v>
      </c>
      <c r="H17" s="17">
        <f>C17/'численность 1'!J16*1000</f>
        <v>2380.9523809523807</v>
      </c>
      <c r="I17" s="13">
        <f>D17/'численность 1'!K16*1000</f>
        <v>2353.6585365853657</v>
      </c>
      <c r="J17" s="13">
        <f t="shared" si="2"/>
        <v>98.85365853658537</v>
      </c>
      <c r="K17" s="16"/>
    </row>
    <row r="18" spans="1:11" ht="57" customHeight="1">
      <c r="A18" s="154" t="s">
        <v>101</v>
      </c>
      <c r="B18" s="155"/>
      <c r="C18" s="16">
        <f>SUM(C7:C17)</f>
        <v>2558.765</v>
      </c>
      <c r="D18" s="68">
        <f>SUM(D7:D17)</f>
        <v>2594.7799999999997</v>
      </c>
      <c r="E18" s="13">
        <f>D18/C18*100</f>
        <v>101.40751495350295</v>
      </c>
      <c r="F18" s="68">
        <f>SUM(F7:F17)</f>
        <v>2173.934</v>
      </c>
      <c r="G18" s="13">
        <f>F18/D18*100</f>
        <v>83.78105272894044</v>
      </c>
      <c r="H18" s="13">
        <f>C18/'численность 1'!J19*1000</f>
        <v>1971.3135593220338</v>
      </c>
      <c r="I18" s="13">
        <f>D18/'численность 1'!K19*1000</f>
        <v>2065.9076433121018</v>
      </c>
      <c r="J18" s="13">
        <f t="shared" si="2"/>
        <v>104.79853058092901</v>
      </c>
      <c r="K18" s="68">
        <f>SUM(K7:K17)</f>
        <v>265.92199999999997</v>
      </c>
    </row>
    <row r="19" spans="1:11" ht="18">
      <c r="A19" s="197" t="s">
        <v>92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9"/>
    </row>
    <row r="20" spans="1:11" ht="17.25" customHeight="1">
      <c r="A20" s="120">
        <v>1</v>
      </c>
      <c r="B20" s="67" t="s">
        <v>70</v>
      </c>
      <c r="C20" s="120">
        <v>21.42</v>
      </c>
      <c r="D20" s="120">
        <v>47.35</v>
      </c>
      <c r="E20" s="13">
        <f>D20/C20*100</f>
        <v>221.0550887021475</v>
      </c>
      <c r="F20" s="120">
        <v>27.55</v>
      </c>
      <c r="G20" s="13">
        <f>F20/D20*100</f>
        <v>58.18373812038015</v>
      </c>
      <c r="H20" s="120">
        <f>C20*1000/50</f>
        <v>428.4</v>
      </c>
      <c r="I20" s="128">
        <f>D20*1000/82</f>
        <v>577.439024390244</v>
      </c>
      <c r="J20" s="13">
        <f t="shared" si="2"/>
        <v>134.7896882330168</v>
      </c>
      <c r="K20" s="120"/>
    </row>
    <row r="21" spans="1:11" ht="37.5" customHeight="1">
      <c r="A21" s="191" t="s">
        <v>89</v>
      </c>
      <c r="B21" s="192"/>
      <c r="C21" s="120">
        <f>C18+C20</f>
        <v>2580.185</v>
      </c>
      <c r="D21" s="120">
        <f>D18+D20</f>
        <v>2642.1299999999997</v>
      </c>
      <c r="E21" s="13">
        <f>D21/C21*100</f>
        <v>102.40079684208689</v>
      </c>
      <c r="F21" s="120">
        <f>F18+F20</f>
        <v>2201.4840000000004</v>
      </c>
      <c r="G21" s="13">
        <f>F21/D21*100</f>
        <v>83.32231949222789</v>
      </c>
      <c r="H21" s="121" t="s">
        <v>93</v>
      </c>
      <c r="I21" s="121" t="s">
        <v>93</v>
      </c>
      <c r="J21" s="121" t="s">
        <v>93</v>
      </c>
      <c r="K21" s="120">
        <f>K18+K20</f>
        <v>265.92199999999997</v>
      </c>
    </row>
  </sheetData>
  <sheetProtection/>
  <mergeCells count="7">
    <mergeCell ref="A21:B21"/>
    <mergeCell ref="A3:A5"/>
    <mergeCell ref="B3:B5"/>
    <mergeCell ref="A18:B18"/>
    <mergeCell ref="C3:E3"/>
    <mergeCell ref="A6:K6"/>
    <mergeCell ref="A19:K19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2012-01-16T06:31:14Z</cp:lastPrinted>
  <dcterms:created xsi:type="dcterms:W3CDTF">2002-11-05T10:10:22Z</dcterms:created>
  <dcterms:modified xsi:type="dcterms:W3CDTF">2012-09-11T05:59:18Z</dcterms:modified>
  <cp:category/>
  <cp:version/>
  <cp:contentType/>
  <cp:contentStatus/>
</cp:coreProperties>
</file>