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'молоко'!$A$1:$K$16</definedName>
    <definedName name="_xlnm.Print_Area" localSheetId="9">'мясо'!$A$1:$K$19</definedName>
    <definedName name="_xlnm.Print_Area" localSheetId="7">'на 100 га'!$A$1:$F$16</definedName>
    <definedName name="_xlnm.Print_Area" localSheetId="0">'пало1'!$A$1:$T$19</definedName>
    <definedName name="_xlnm.Print_Area" localSheetId="1">'привес'!$A$1:$T$20</definedName>
    <definedName name="_xlnm.Print_Area" localSheetId="4">'приплод 2'!$A$1:$N$11</definedName>
    <definedName name="_xlnm.Print_Area" localSheetId="3">'численность 1'!$A$1:$U$19</definedName>
    <definedName name="_xlnm.Print_Area" localSheetId="2">'численность 2'!$A$1:$M$19</definedName>
  </definedNames>
  <calcPr fullCalcOnLoad="1"/>
</workbook>
</file>

<file path=xl/sharedStrings.xml><?xml version="1.0" encoding="utf-8"?>
<sst xmlns="http://schemas.openxmlformats.org/spreadsheetml/2006/main" count="274" uniqueCount="112">
  <si>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</si>
  <si>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</si>
  <si>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</si>
  <si>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</si>
  <si>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</si>
  <si>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</si>
  <si>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</si>
  <si>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</si>
  <si>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</si>
  <si>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</si>
  <si>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</si>
  <si>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</si>
  <si>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</si>
  <si>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</si>
  <si>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</si>
  <si>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</si>
  <si>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</si>
  <si>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</si>
  <si>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</si>
  <si>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</si>
  <si>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</si>
  <si>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</si>
  <si>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</si>
  <si>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</si>
  <si>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</si>
  <si>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</si>
  <si>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</si>
  <si>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</si>
  <si>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</si>
  <si>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</si>
  <si>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</si>
  <si>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</si>
  <si>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</si>
  <si>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</si>
  <si>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</si>
  <si>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</si>
  <si>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</si>
  <si>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</si>
  <si>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</si>
  <si>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</si>
  <si>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</si>
  <si>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</si>
  <si>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</si>
  <si>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</si>
  <si>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</si>
  <si>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</si>
  <si>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</si>
  <si>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</si>
  <si>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</si>
  <si>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</si>
  <si>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</si>
  <si>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</si>
  <si>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</si>
  <si>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</si>
  <si>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</si>
  <si>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</si>
  <si>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</si>
  <si>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</si>
  <si>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</si>
  <si>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</si>
  <si>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</si>
  <si>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</si>
  <si>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</si>
  <si>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</si>
  <si>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</si>
  <si>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</si>
  <si>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</si>
  <si>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</si>
  <si>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</si>
  <si>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</si>
  <si>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</si>
  <si>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</si>
  <si>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</si>
  <si>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</si>
  <si>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</si>
  <si>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</si>
  <si>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</si>
  <si>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</si>
  <si>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</si>
  <si>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</si>
  <si>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</si>
  <si>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</si>
  <si>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</si>
  <si>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</si>
  <si>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</si>
  <si>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</si>
  <si>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</si>
  <si>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</si>
  <si>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</si>
  <si>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</si>
  <si>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</si>
  <si>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</si>
  <si>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</si>
  <si>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</si>
  <si>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</si>
  <si>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</si>
  <si>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</si>
  <si>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</si>
  <si>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</si>
  <si>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</si>
  <si>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</si>
  <si>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</si>
  <si>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ПАЛО И ПОГИБЛО - КУПЛЕНО- ПРОДАНО крс, свиней за январь-апрель 2011г.по Ибресинскому.р-ну</t>
  </si>
  <si>
    <t>Показатели получения привесов за январь-апрель 2011 года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</si>
  <si>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1.05.2011 г., (голов)</t>
    </r>
  </si>
  <si>
    <t xml:space="preserve">      ЧИСЛЕННОСТЬ СКОТА по Ибресинскому району на 1.05.2011 г., (голов)</t>
  </si>
  <si>
    <t>Поступление приплода (поросят) за январь-апрель 2011 г.</t>
  </si>
  <si>
    <t>СЛУЧЕНО И ОСЕМЕНЕНО за январь-апрель 2011 г.по Ибресинскому р-ну</t>
  </si>
  <si>
    <t>Поступление приплода (телят) за январь-апрель 2011 г.</t>
  </si>
  <si>
    <t>по Ибресинскому району за январь-апрель 2011 года (ц)</t>
  </si>
  <si>
    <t xml:space="preserve">            Производство молока за  январь-апрель 2011 г. по Ибресинскому району</t>
  </si>
  <si>
    <t>Производство мяса за январь-апрель 2011г.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</si>
</sst>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12.75"/>
  <cols>
    <col min="1" max="1" width="4.00390625" style="74" customWidth="1"/>
    <col min="2" max="2" width="28.625" style="74" customWidth="1"/>
    <col min="3" max="4" width="8.75390625" style="74" customWidth="1"/>
    <col min="5" max="5" width="8.875" style="74" customWidth="1"/>
    <col min="6" max="7" width="8.75390625" style="74" customWidth="1"/>
    <col min="8" max="8" width="8.875" style="74" customWidth="1"/>
    <col min="9" max="14" width="8.75390625" style="74" customWidth="1"/>
    <col min="15" max="15" width="8.875" style="74" customWidth="1"/>
    <col min="16" max="18" width="8.75390625" style="74" customWidth="1"/>
    <col min="19" max="19" width="8.875" style="74" customWidth="1"/>
    <col min="20" max="20" width="8.75390625" style="74" customWidth="1"/>
    <col min="21" max="16384" width="9.125" style="74" customWidth="1"/>
  </cols>
  <sheetData>
    <row r="1" spans="3:18" ht="15">
      <c r="C1" s="134" t="s">
        <v>102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3:10" ht="15">
      <c r="C2" s="75"/>
      <c r="D2" s="75"/>
      <c r="E2" s="75"/>
      <c r="F2" s="75"/>
      <c r="G2" s="75"/>
      <c r="H2" s="75"/>
      <c r="I2" s="75"/>
      <c r="J2" s="75"/>
    </row>
    <row r="3" spans="1:20" s="21" customFormat="1" ht="18.75" customHeight="1">
      <c r="A3" s="35" t="s">
        <v>2</v>
      </c>
      <c r="B3" s="24" t="s">
        <v>3</v>
      </c>
      <c r="C3" s="139" t="s">
        <v>41</v>
      </c>
      <c r="D3" s="140"/>
      <c r="E3" s="141"/>
      <c r="F3" s="139" t="s">
        <v>55</v>
      </c>
      <c r="G3" s="140"/>
      <c r="H3" s="141"/>
      <c r="I3" s="139" t="s">
        <v>43</v>
      </c>
      <c r="J3" s="140"/>
      <c r="K3" s="140"/>
      <c r="L3" s="140"/>
      <c r="M3" s="140"/>
      <c r="N3" s="140"/>
      <c r="O3" s="140"/>
      <c r="P3" s="141"/>
      <c r="Q3" s="104"/>
      <c r="R3" s="108" t="s">
        <v>44</v>
      </c>
      <c r="S3" s="108"/>
      <c r="T3" s="107"/>
    </row>
    <row r="4" spans="1:20" s="21" customFormat="1" ht="18.75" customHeight="1">
      <c r="A4" s="40"/>
      <c r="B4" s="34"/>
      <c r="C4" s="135">
        <v>2010</v>
      </c>
      <c r="D4" s="135">
        <v>2011</v>
      </c>
      <c r="E4" s="112" t="s">
        <v>42</v>
      </c>
      <c r="F4" s="135">
        <v>2010</v>
      </c>
      <c r="G4" s="135">
        <v>2011</v>
      </c>
      <c r="H4" s="112" t="s">
        <v>42</v>
      </c>
      <c r="I4" s="137" t="s">
        <v>101</v>
      </c>
      <c r="J4" s="138"/>
      <c r="K4" s="137" t="s">
        <v>93</v>
      </c>
      <c r="L4" s="138"/>
      <c r="M4" s="137" t="s">
        <v>89</v>
      </c>
      <c r="N4" s="138"/>
      <c r="O4" s="137" t="s">
        <v>90</v>
      </c>
      <c r="P4" s="138"/>
      <c r="Q4" s="137" t="s">
        <v>92</v>
      </c>
      <c r="R4" s="138"/>
      <c r="S4" s="137" t="s">
        <v>93</v>
      </c>
      <c r="T4" s="138"/>
    </row>
    <row r="5" spans="1:20" s="21" customFormat="1" ht="18.75" customHeight="1">
      <c r="A5" s="31"/>
      <c r="B5" s="30"/>
      <c r="C5" s="136"/>
      <c r="D5" s="136"/>
      <c r="E5" s="113" t="s">
        <v>97</v>
      </c>
      <c r="F5" s="136"/>
      <c r="G5" s="136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1" customFormat="1" ht="15" customHeight="1">
      <c r="A6" s="32">
        <v>1</v>
      </c>
      <c r="B6" s="32" t="s">
        <v>61</v>
      </c>
      <c r="C6" s="118"/>
      <c r="D6" s="4"/>
      <c r="E6" s="12"/>
      <c r="F6" s="118"/>
      <c r="G6" s="4"/>
      <c r="H6" s="4"/>
      <c r="I6" s="118"/>
      <c r="J6" s="4"/>
      <c r="K6" s="4"/>
      <c r="L6" s="4"/>
      <c r="M6" s="4"/>
      <c r="N6" s="4"/>
      <c r="O6" s="4"/>
      <c r="P6" s="4"/>
      <c r="Q6" s="118"/>
      <c r="R6" s="4"/>
      <c r="S6" s="118"/>
      <c r="T6" s="4"/>
    </row>
    <row r="7" spans="1:20" s="21" customFormat="1" ht="13.5" customHeight="1">
      <c r="A7" s="32">
        <v>2</v>
      </c>
      <c r="B7" s="32" t="s">
        <v>62</v>
      </c>
      <c r="C7" s="118">
        <v>2</v>
      </c>
      <c r="D7" s="4">
        <v>2</v>
      </c>
      <c r="E7" s="12">
        <f aca="true" t="shared" si="0" ref="E7:E12">D7-C7</f>
        <v>0</v>
      </c>
      <c r="F7" s="118"/>
      <c r="G7" s="4"/>
      <c r="H7" s="4"/>
      <c r="I7" s="118"/>
      <c r="J7" s="4"/>
      <c r="K7" s="4"/>
      <c r="L7" s="4"/>
      <c r="M7" s="4"/>
      <c r="N7" s="4"/>
      <c r="O7" s="4"/>
      <c r="P7" s="4"/>
      <c r="Q7" s="118">
        <v>32</v>
      </c>
      <c r="R7" s="4">
        <v>21</v>
      </c>
      <c r="S7" s="118"/>
      <c r="T7" s="4"/>
    </row>
    <row r="8" spans="1:20" s="21" customFormat="1" ht="13.5" customHeight="1">
      <c r="A8" s="32">
        <v>3</v>
      </c>
      <c r="B8" s="32" t="s">
        <v>63</v>
      </c>
      <c r="C8" s="118">
        <v>1</v>
      </c>
      <c r="D8" s="4"/>
      <c r="E8" s="12">
        <f t="shared" si="0"/>
        <v>-1</v>
      </c>
      <c r="F8" s="118"/>
      <c r="G8" s="4"/>
      <c r="H8" s="4"/>
      <c r="I8" s="118"/>
      <c r="J8" s="4"/>
      <c r="K8" s="4"/>
      <c r="L8" s="4"/>
      <c r="M8" s="4"/>
      <c r="N8" s="4"/>
      <c r="O8" s="4"/>
      <c r="P8" s="4"/>
      <c r="Q8" s="118">
        <v>10</v>
      </c>
      <c r="R8" s="4">
        <v>7</v>
      </c>
      <c r="S8" s="118"/>
      <c r="T8" s="4"/>
    </row>
    <row r="9" spans="1:20" s="21" customFormat="1" ht="12.75" customHeight="1">
      <c r="A9" s="32">
        <v>4</v>
      </c>
      <c r="B9" s="23" t="s">
        <v>64</v>
      </c>
      <c r="C9" s="118">
        <v>2</v>
      </c>
      <c r="D9" s="4">
        <v>2</v>
      </c>
      <c r="E9" s="12">
        <f t="shared" si="0"/>
        <v>0</v>
      </c>
      <c r="F9" s="118"/>
      <c r="G9" s="4"/>
      <c r="H9" s="4"/>
      <c r="I9" s="118"/>
      <c r="J9" s="4"/>
      <c r="K9" s="4"/>
      <c r="L9" s="4"/>
      <c r="M9" s="4"/>
      <c r="N9" s="4"/>
      <c r="O9" s="4"/>
      <c r="P9" s="4"/>
      <c r="Q9" s="118"/>
      <c r="R9" s="4"/>
      <c r="S9" s="118">
        <v>105</v>
      </c>
      <c r="T9" s="4">
        <v>125</v>
      </c>
    </row>
    <row r="10" spans="1:20" s="21" customFormat="1" ht="13.5" customHeight="1">
      <c r="A10" s="32">
        <v>5</v>
      </c>
      <c r="B10" s="98" t="s">
        <v>65</v>
      </c>
      <c r="C10" s="118"/>
      <c r="D10" s="4"/>
      <c r="E10" s="12"/>
      <c r="F10" s="118">
        <v>67</v>
      </c>
      <c r="G10" s="4">
        <v>18</v>
      </c>
      <c r="H10" s="4">
        <f>G10-F10</f>
        <v>-49</v>
      </c>
      <c r="I10" s="118"/>
      <c r="J10" s="4"/>
      <c r="K10" s="12"/>
      <c r="L10" s="12">
        <v>2</v>
      </c>
      <c r="M10" s="12"/>
      <c r="N10" s="12"/>
      <c r="O10" s="12"/>
      <c r="P10" s="12"/>
      <c r="Q10" s="120">
        <v>5</v>
      </c>
      <c r="R10" s="12"/>
      <c r="S10" s="118">
        <v>133</v>
      </c>
      <c r="T10" s="4">
        <v>68</v>
      </c>
    </row>
    <row r="11" spans="1:20" s="21" customFormat="1" ht="12.75" customHeight="1">
      <c r="A11" s="32">
        <v>6</v>
      </c>
      <c r="B11" s="33" t="s">
        <v>81</v>
      </c>
      <c r="C11" s="118">
        <v>2</v>
      </c>
      <c r="D11" s="4">
        <v>1</v>
      </c>
      <c r="E11" s="12">
        <f t="shared" si="0"/>
        <v>-1</v>
      </c>
      <c r="F11" s="118"/>
      <c r="G11" s="4"/>
      <c r="H11" s="4"/>
      <c r="I11" s="119"/>
      <c r="J11" s="93"/>
      <c r="K11" s="93"/>
      <c r="L11" s="93"/>
      <c r="M11" s="93"/>
      <c r="N11" s="93"/>
      <c r="O11" s="93"/>
      <c r="P11" s="93"/>
      <c r="Q11" s="119"/>
      <c r="R11" s="93"/>
      <c r="S11" s="118"/>
      <c r="T11" s="4"/>
    </row>
    <row r="12" spans="1:20" s="21" customFormat="1" ht="12.75" customHeight="1">
      <c r="A12" s="32">
        <v>7</v>
      </c>
      <c r="B12" s="32" t="s">
        <v>66</v>
      </c>
      <c r="C12" s="118">
        <v>2</v>
      </c>
      <c r="D12" s="4"/>
      <c r="E12" s="12">
        <f t="shared" si="0"/>
        <v>-2</v>
      </c>
      <c r="F12" s="118"/>
      <c r="G12" s="4"/>
      <c r="H12" s="4"/>
      <c r="I12" s="118">
        <v>9</v>
      </c>
      <c r="J12" s="4"/>
      <c r="K12" s="4"/>
      <c r="L12" s="4"/>
      <c r="M12" s="4"/>
      <c r="N12" s="4"/>
      <c r="O12" s="4"/>
      <c r="P12" s="4"/>
      <c r="Q12" s="118"/>
      <c r="R12" s="4"/>
      <c r="S12" s="118"/>
      <c r="T12" s="4"/>
    </row>
    <row r="13" spans="1:20" s="21" customFormat="1" ht="13.5" customHeight="1">
      <c r="A13" s="32">
        <v>8</v>
      </c>
      <c r="B13" s="33" t="s">
        <v>80</v>
      </c>
      <c r="C13" s="118"/>
      <c r="D13" s="4"/>
      <c r="E13" s="12"/>
      <c r="F13" s="118"/>
      <c r="G13" s="4"/>
      <c r="H13" s="4"/>
      <c r="I13" s="118"/>
      <c r="J13" s="4"/>
      <c r="K13" s="4"/>
      <c r="L13" s="4"/>
      <c r="M13" s="4"/>
      <c r="N13" s="4"/>
      <c r="O13" s="4"/>
      <c r="P13" s="4"/>
      <c r="Q13" s="118">
        <v>17</v>
      </c>
      <c r="R13" s="4"/>
      <c r="S13" s="118"/>
      <c r="T13" s="4"/>
    </row>
    <row r="14" spans="1:20" s="21" customFormat="1" ht="12.75" customHeight="1">
      <c r="A14" s="32">
        <v>9</v>
      </c>
      <c r="B14" s="32" t="s">
        <v>67</v>
      </c>
      <c r="C14" s="118"/>
      <c r="D14" s="4"/>
      <c r="E14" s="12"/>
      <c r="F14" s="118"/>
      <c r="G14" s="4"/>
      <c r="H14" s="4"/>
      <c r="I14" s="4"/>
      <c r="J14" s="4"/>
      <c r="K14" s="4"/>
      <c r="L14" s="4"/>
      <c r="M14" s="4"/>
      <c r="N14" s="4"/>
      <c r="O14" s="4"/>
      <c r="P14" s="4"/>
      <c r="Q14" s="118"/>
      <c r="R14" s="4"/>
      <c r="S14" s="118"/>
      <c r="T14" s="4"/>
    </row>
    <row r="15" spans="1:20" s="21" customFormat="1" ht="12.75" customHeight="1">
      <c r="A15" s="32">
        <v>10</v>
      </c>
      <c r="B15" s="32" t="s">
        <v>68</v>
      </c>
      <c r="C15" s="118"/>
      <c r="D15" s="4"/>
      <c r="E15" s="12"/>
      <c r="F15" s="118"/>
      <c r="G15" s="4"/>
      <c r="H15" s="4"/>
      <c r="I15" s="4"/>
      <c r="J15" s="4"/>
      <c r="K15" s="4"/>
      <c r="L15" s="4"/>
      <c r="M15" s="4"/>
      <c r="N15" s="4"/>
      <c r="O15" s="4"/>
      <c r="P15" s="4"/>
      <c r="Q15" s="118"/>
      <c r="R15" s="4"/>
      <c r="S15" s="118"/>
      <c r="T15" s="4"/>
    </row>
    <row r="16" spans="1:20" s="21" customFormat="1" ht="12.75" customHeight="1">
      <c r="A16" s="32">
        <v>11</v>
      </c>
      <c r="B16" s="32" t="s">
        <v>69</v>
      </c>
      <c r="C16" s="118"/>
      <c r="D16" s="4"/>
      <c r="E16" s="12"/>
      <c r="F16" s="118">
        <v>299</v>
      </c>
      <c r="G16" s="4">
        <v>282</v>
      </c>
      <c r="H16" s="4">
        <f>G16-F16</f>
        <v>-17</v>
      </c>
      <c r="I16" s="4"/>
      <c r="J16" s="4"/>
      <c r="K16" s="4"/>
      <c r="L16" s="4"/>
      <c r="M16" s="4"/>
      <c r="N16" s="4"/>
      <c r="O16" s="4"/>
      <c r="P16" s="4"/>
      <c r="Q16" s="118"/>
      <c r="R16" s="4"/>
      <c r="S16" s="118">
        <v>509</v>
      </c>
      <c r="T16" s="4">
        <v>194</v>
      </c>
    </row>
    <row r="17" spans="1:20" s="21" customFormat="1" ht="12.75" customHeight="1">
      <c r="A17" s="32">
        <v>12</v>
      </c>
      <c r="B17" s="33" t="s">
        <v>78</v>
      </c>
      <c r="C17" s="4"/>
      <c r="D17" s="4"/>
      <c r="E17" s="12"/>
      <c r="F17" s="4"/>
      <c r="G17" s="4"/>
      <c r="H17" s="4"/>
      <c r="I17" s="4"/>
      <c r="J17" s="4"/>
      <c r="K17" s="4"/>
      <c r="L17" s="4"/>
      <c r="M17" s="118">
        <v>57</v>
      </c>
      <c r="N17" s="4"/>
      <c r="O17" s="4"/>
      <c r="P17" s="4"/>
      <c r="Q17" s="4"/>
      <c r="R17" s="4"/>
      <c r="S17" s="116"/>
      <c r="T17" s="23"/>
    </row>
    <row r="18" spans="1:20" s="21" customFormat="1" ht="12.75" customHeight="1">
      <c r="A18" s="32">
        <v>13</v>
      </c>
      <c r="B18" s="33" t="s">
        <v>91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118"/>
      <c r="N18" s="4"/>
      <c r="O18" s="4"/>
      <c r="P18" s="4"/>
      <c r="Q18" s="4"/>
      <c r="R18" s="4"/>
      <c r="S18" s="116"/>
      <c r="T18" s="4">
        <v>5</v>
      </c>
    </row>
    <row r="19" spans="1:20" s="21" customFormat="1" ht="13.5" customHeight="1">
      <c r="A19" s="32"/>
      <c r="B19" s="32" t="s">
        <v>11</v>
      </c>
      <c r="C19" s="4">
        <f>SUM(C6:C18)</f>
        <v>9</v>
      </c>
      <c r="D19" s="4">
        <f>SUM(D6:D16)</f>
        <v>5</v>
      </c>
      <c r="E19" s="12">
        <f>D19-C19</f>
        <v>-4</v>
      </c>
      <c r="F19" s="4">
        <f>SUM(F10:F17)</f>
        <v>366</v>
      </c>
      <c r="G19" s="4">
        <f>SUM(G10:G17)</f>
        <v>300</v>
      </c>
      <c r="H19" s="4">
        <f>G19-F19</f>
        <v>-66</v>
      </c>
      <c r="I19" s="4">
        <f>SUM(I6:I16)</f>
        <v>9</v>
      </c>
      <c r="J19" s="4">
        <f>SUM(J6:J16)</f>
        <v>0</v>
      </c>
      <c r="K19" s="4">
        <f>SUM(K6:K16)</f>
        <v>0</v>
      </c>
      <c r="L19" s="4">
        <f>SUM(L6:L16)</f>
        <v>2</v>
      </c>
      <c r="M19" s="4">
        <v>0</v>
      </c>
      <c r="N19" s="4">
        <f>SUM(N17)</f>
        <v>0</v>
      </c>
      <c r="O19" s="4">
        <f>SUM(O6:O16)</f>
        <v>0</v>
      </c>
      <c r="P19" s="4">
        <f>SUM(P6:P16)</f>
        <v>0</v>
      </c>
      <c r="Q19" s="4">
        <f>SUM(Q6:Q16)</f>
        <v>64</v>
      </c>
      <c r="R19" s="4">
        <f>SUM(R6:R16)</f>
        <v>28</v>
      </c>
      <c r="S19" s="4">
        <f>SUM(S9:S16)</f>
        <v>747</v>
      </c>
      <c r="T19" s="4">
        <f>SUM(T6:T16)</f>
        <v>387</v>
      </c>
    </row>
  </sheetData>
  <mergeCells count="14">
    <mergeCell ref="I4:J4"/>
    <mergeCell ref="K4:L4"/>
    <mergeCell ref="C3:E3"/>
    <mergeCell ref="F3:H3"/>
    <mergeCell ref="I3:P3"/>
    <mergeCell ref="C1:R1"/>
    <mergeCell ref="C4:C5"/>
    <mergeCell ref="D4:D5"/>
    <mergeCell ref="F4:F5"/>
    <mergeCell ref="G4:G5"/>
    <mergeCell ref="M4:N4"/>
    <mergeCell ref="O4:P4"/>
    <mergeCell ref="Q4:R4"/>
    <mergeCell ref="S4:T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75" zoomScaleNormal="65" zoomScaleSheetLayoutView="75" workbookViewId="0" topLeftCell="A1">
      <selection activeCell="K52" sqref="K51:K5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00" t="s">
        <v>111</v>
      </c>
      <c r="D1" s="100"/>
      <c r="E1" s="100"/>
      <c r="F1" s="100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160" t="s">
        <v>60</v>
      </c>
      <c r="D2" s="160"/>
      <c r="E2" s="160"/>
      <c r="F2" s="160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1" t="s">
        <v>2</v>
      </c>
      <c r="B4" s="181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82"/>
      <c r="B5" s="182"/>
      <c r="C5" s="19">
        <v>2010</v>
      </c>
      <c r="D5" s="20">
        <v>2011</v>
      </c>
      <c r="E5" s="20" t="s">
        <v>94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83"/>
      <c r="B6" s="183"/>
      <c r="C6" s="41"/>
      <c r="D6" s="12"/>
      <c r="E6" s="12" t="s">
        <v>95</v>
      </c>
      <c r="F6" s="19">
        <v>2010</v>
      </c>
      <c r="G6" s="20">
        <v>2011</v>
      </c>
      <c r="H6" s="19">
        <v>2010</v>
      </c>
      <c r="I6" s="20">
        <v>2011</v>
      </c>
      <c r="J6" s="19">
        <v>2010</v>
      </c>
      <c r="K6" s="20">
        <v>2011</v>
      </c>
      <c r="L6" s="21"/>
      <c r="M6" s="21"/>
    </row>
    <row r="7" spans="1:13" ht="16.5">
      <c r="A7" s="32">
        <v>1</v>
      </c>
      <c r="B7" s="32" t="s">
        <v>61</v>
      </c>
      <c r="C7" s="87">
        <v>9.6</v>
      </c>
      <c r="D7" s="87">
        <v>17.9</v>
      </c>
      <c r="E7" s="86">
        <f aca="true" t="shared" si="0" ref="E7:E19">D7*100/C7</f>
        <v>186.45833333333331</v>
      </c>
      <c r="F7" s="87">
        <v>9.3</v>
      </c>
      <c r="G7" s="87">
        <v>17.2</v>
      </c>
      <c r="H7" s="87"/>
      <c r="I7" s="87"/>
      <c r="J7" s="87">
        <v>0.3</v>
      </c>
      <c r="K7" s="87">
        <v>0.7</v>
      </c>
      <c r="L7" s="21"/>
      <c r="M7" s="21"/>
    </row>
    <row r="8" spans="1:13" ht="16.5">
      <c r="A8" s="32">
        <v>2</v>
      </c>
      <c r="B8" s="32" t="s">
        <v>62</v>
      </c>
      <c r="C8" s="87">
        <v>2</v>
      </c>
      <c r="D8" s="87">
        <v>6.1</v>
      </c>
      <c r="E8" s="86">
        <f t="shared" si="0"/>
        <v>305</v>
      </c>
      <c r="F8" s="87">
        <v>2</v>
      </c>
      <c r="G8" s="87">
        <v>6.1</v>
      </c>
      <c r="H8" s="87"/>
      <c r="I8" s="87"/>
      <c r="J8" s="87"/>
      <c r="K8" s="87"/>
      <c r="L8" s="21"/>
      <c r="M8" s="21"/>
    </row>
    <row r="9" spans="1:13" ht="16.5">
      <c r="A9" s="32">
        <v>3</v>
      </c>
      <c r="B9" s="32" t="s">
        <v>63</v>
      </c>
      <c r="C9" s="87">
        <v>0.57</v>
      </c>
      <c r="D9" s="87">
        <v>3</v>
      </c>
      <c r="E9" s="86">
        <f t="shared" si="0"/>
        <v>526.3157894736843</v>
      </c>
      <c r="F9" s="87">
        <v>0.57</v>
      </c>
      <c r="G9" s="87">
        <v>3</v>
      </c>
      <c r="H9" s="87"/>
      <c r="I9" s="87"/>
      <c r="J9" s="87"/>
      <c r="K9" s="87"/>
      <c r="L9" s="21"/>
      <c r="M9" s="21"/>
    </row>
    <row r="10" spans="1:13" ht="16.5">
      <c r="A10" s="32">
        <v>4</v>
      </c>
      <c r="B10" s="42" t="s">
        <v>64</v>
      </c>
      <c r="C10" s="87">
        <v>29.3</v>
      </c>
      <c r="D10" s="87">
        <v>67</v>
      </c>
      <c r="E10" s="86">
        <f t="shared" si="0"/>
        <v>228.66894197952217</v>
      </c>
      <c r="F10" s="87">
        <v>27.2</v>
      </c>
      <c r="G10" s="87">
        <v>62.2</v>
      </c>
      <c r="H10" s="87">
        <v>1.7</v>
      </c>
      <c r="I10" s="87">
        <v>4</v>
      </c>
      <c r="J10" s="87">
        <v>0.4</v>
      </c>
      <c r="K10" s="87">
        <v>0.8</v>
      </c>
      <c r="L10" s="21"/>
      <c r="M10" s="21"/>
    </row>
    <row r="11" spans="1:13" ht="16.5">
      <c r="A11" s="32">
        <v>5</v>
      </c>
      <c r="B11" s="32" t="s">
        <v>65</v>
      </c>
      <c r="C11" s="87">
        <v>20.6</v>
      </c>
      <c r="D11" s="87">
        <v>21.4</v>
      </c>
      <c r="E11" s="86">
        <f t="shared" si="0"/>
        <v>103.88349514563106</v>
      </c>
      <c r="F11" s="87">
        <v>15</v>
      </c>
      <c r="G11" s="87">
        <v>13.8</v>
      </c>
      <c r="H11" s="87">
        <v>5</v>
      </c>
      <c r="I11" s="87">
        <v>4.6</v>
      </c>
      <c r="J11" s="87">
        <v>0.6</v>
      </c>
      <c r="K11" s="87">
        <v>3</v>
      </c>
      <c r="L11" s="21"/>
      <c r="M11" s="21"/>
    </row>
    <row r="12" spans="1:13" ht="16.5">
      <c r="A12" s="32">
        <v>6</v>
      </c>
      <c r="B12" s="33" t="s">
        <v>81</v>
      </c>
      <c r="C12" s="87">
        <v>11.1</v>
      </c>
      <c r="D12" s="87">
        <v>9.7</v>
      </c>
      <c r="E12" s="86">
        <f t="shared" si="0"/>
        <v>87.38738738738738</v>
      </c>
      <c r="F12" s="88">
        <v>10.1</v>
      </c>
      <c r="G12" s="88">
        <v>8.6</v>
      </c>
      <c r="H12" s="88"/>
      <c r="I12" s="88"/>
      <c r="J12" s="88">
        <v>1</v>
      </c>
      <c r="K12" s="88">
        <v>1.1</v>
      </c>
      <c r="L12" s="21"/>
      <c r="M12" s="21"/>
    </row>
    <row r="13" spans="1:13" ht="16.5">
      <c r="A13" s="32">
        <v>7</v>
      </c>
      <c r="B13" s="33" t="s">
        <v>66</v>
      </c>
      <c r="C13" s="87">
        <v>3.1</v>
      </c>
      <c r="D13" s="87"/>
      <c r="E13" s="86">
        <f t="shared" si="0"/>
        <v>0</v>
      </c>
      <c r="F13" s="88">
        <v>3.1</v>
      </c>
      <c r="G13" s="88"/>
      <c r="H13" s="88"/>
      <c r="I13" s="88"/>
      <c r="J13" s="88"/>
      <c r="K13" s="88"/>
      <c r="L13" s="21"/>
      <c r="M13" s="21"/>
    </row>
    <row r="14" spans="1:13" ht="16.5">
      <c r="A14" s="32">
        <v>8</v>
      </c>
      <c r="B14" s="33" t="s">
        <v>80</v>
      </c>
      <c r="C14" s="87">
        <v>4.8</v>
      </c>
      <c r="D14" s="87">
        <v>6.3</v>
      </c>
      <c r="E14" s="86">
        <f t="shared" si="0"/>
        <v>131.25</v>
      </c>
      <c r="F14" s="88">
        <v>4.8</v>
      </c>
      <c r="G14" s="88">
        <v>6.2</v>
      </c>
      <c r="H14" s="88"/>
      <c r="I14" s="88"/>
      <c r="J14" s="88"/>
      <c r="K14" s="88">
        <v>0.1</v>
      </c>
      <c r="L14" s="21"/>
      <c r="M14" s="21"/>
    </row>
    <row r="15" spans="1:13" ht="16.5">
      <c r="A15" s="32">
        <v>9</v>
      </c>
      <c r="B15" s="33" t="s">
        <v>67</v>
      </c>
      <c r="C15" s="87">
        <v>7.4</v>
      </c>
      <c r="D15" s="87">
        <v>5</v>
      </c>
      <c r="E15" s="86">
        <f t="shared" si="0"/>
        <v>67.56756756756756</v>
      </c>
      <c r="F15" s="88">
        <v>7.4</v>
      </c>
      <c r="G15" s="88">
        <v>5</v>
      </c>
      <c r="H15" s="88"/>
      <c r="I15" s="88"/>
      <c r="J15" s="88"/>
      <c r="K15" s="88"/>
      <c r="L15" s="21"/>
      <c r="M15" s="21"/>
    </row>
    <row r="16" spans="1:13" ht="16.5">
      <c r="A16" s="32">
        <v>10</v>
      </c>
      <c r="B16" s="33" t="s">
        <v>68</v>
      </c>
      <c r="C16" s="87">
        <v>2.6</v>
      </c>
      <c r="D16" s="87">
        <v>4.4</v>
      </c>
      <c r="E16" s="86">
        <f t="shared" si="0"/>
        <v>169.23076923076925</v>
      </c>
      <c r="F16" s="88">
        <v>2.6</v>
      </c>
      <c r="G16" s="88">
        <v>4</v>
      </c>
      <c r="H16" s="88"/>
      <c r="I16" s="88"/>
      <c r="J16" s="88"/>
      <c r="K16" s="88">
        <v>0.4</v>
      </c>
      <c r="L16" s="21"/>
      <c r="M16" s="21"/>
    </row>
    <row r="17" spans="1:13" ht="16.5">
      <c r="A17" s="32">
        <v>11</v>
      </c>
      <c r="B17" s="33" t="s">
        <v>69</v>
      </c>
      <c r="C17" s="87">
        <v>227</v>
      </c>
      <c r="D17" s="87">
        <v>269</v>
      </c>
      <c r="E17" s="86">
        <f t="shared" si="0"/>
        <v>118.50220264317181</v>
      </c>
      <c r="F17" s="93"/>
      <c r="G17" s="88"/>
      <c r="H17" s="88">
        <v>227</v>
      </c>
      <c r="I17" s="88">
        <v>269</v>
      </c>
      <c r="J17" s="88"/>
      <c r="K17" s="88"/>
      <c r="L17" s="21"/>
      <c r="M17" s="21"/>
    </row>
    <row r="18" spans="1:13" ht="18">
      <c r="A18" s="32">
        <v>12</v>
      </c>
      <c r="B18" s="33" t="s">
        <v>78</v>
      </c>
      <c r="C18" s="3"/>
      <c r="D18" s="87">
        <v>1.6</v>
      </c>
      <c r="E18" s="86"/>
      <c r="F18" s="17"/>
      <c r="G18" s="88"/>
      <c r="H18" s="17"/>
      <c r="I18" s="88"/>
      <c r="J18" s="17"/>
      <c r="K18" s="88">
        <v>1.6</v>
      </c>
      <c r="L18" s="21"/>
      <c r="M18" s="21"/>
    </row>
    <row r="19" spans="1:13" ht="16.5">
      <c r="A19" s="173" t="s">
        <v>11</v>
      </c>
      <c r="B19" s="174"/>
      <c r="C19" s="90">
        <f>SUM(C7:C18)</f>
        <v>318.07</v>
      </c>
      <c r="D19" s="90">
        <f>SUM(D7:D18)</f>
        <v>411.40000000000003</v>
      </c>
      <c r="E19" s="86">
        <f t="shared" si="0"/>
        <v>129.3425975414217</v>
      </c>
      <c r="F19" s="89">
        <f>SUM(F7:F17)</f>
        <v>82.07</v>
      </c>
      <c r="G19" s="90">
        <f>SUM(G7:G17)</f>
        <v>126.1</v>
      </c>
      <c r="H19" s="90">
        <f>SUM(H7:H18)</f>
        <v>233.7</v>
      </c>
      <c r="I19" s="90">
        <f>SUM(I7:I18)</f>
        <v>277.6</v>
      </c>
      <c r="J19" s="90">
        <f>SUM(J7:J17)</f>
        <v>2.3</v>
      </c>
      <c r="K19" s="90">
        <f>SUM(K7:K18)</f>
        <v>7.699999999999999</v>
      </c>
      <c r="L19" s="103"/>
      <c r="M19" s="21"/>
    </row>
  </sheetData>
  <mergeCells count="4">
    <mergeCell ref="C2:F2"/>
    <mergeCell ref="A19:B19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C12" sqref="C1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103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58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1"/>
      <c r="B4" s="24" t="s">
        <v>3</v>
      </c>
      <c r="C4" s="27" t="s">
        <v>71</v>
      </c>
      <c r="D4" s="110"/>
      <c r="E4" s="110"/>
      <c r="F4" s="108"/>
      <c r="G4" s="108"/>
      <c r="H4" s="111"/>
      <c r="I4" s="104" t="s">
        <v>49</v>
      </c>
      <c r="J4" s="108"/>
      <c r="K4" s="110"/>
      <c r="L4" s="108"/>
      <c r="M4" s="108"/>
      <c r="N4" s="111"/>
      <c r="O4" s="104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4"/>
      <c r="C5" s="26" t="s">
        <v>51</v>
      </c>
      <c r="D5" s="108"/>
      <c r="E5" s="124" t="s">
        <v>100</v>
      </c>
      <c r="F5" s="104" t="s">
        <v>52</v>
      </c>
      <c r="G5" s="107"/>
      <c r="H5" s="124" t="s">
        <v>100</v>
      </c>
      <c r="I5" s="127" t="s">
        <v>51</v>
      </c>
      <c r="J5" s="127"/>
      <c r="K5" s="124" t="s">
        <v>100</v>
      </c>
      <c r="L5" s="127" t="s">
        <v>52</v>
      </c>
      <c r="M5" s="127"/>
      <c r="N5" s="124" t="s">
        <v>100</v>
      </c>
      <c r="O5" s="108" t="s">
        <v>51</v>
      </c>
      <c r="P5" s="108"/>
      <c r="Q5" s="124" t="s">
        <v>100</v>
      </c>
      <c r="R5" s="128" t="s">
        <v>52</v>
      </c>
      <c r="S5" s="129"/>
      <c r="T5" s="124" t="s">
        <v>100</v>
      </c>
    </row>
    <row r="6" spans="1:20" ht="15">
      <c r="A6" s="82" t="s">
        <v>77</v>
      </c>
      <c r="B6" s="34"/>
      <c r="C6" s="130">
        <v>2010</v>
      </c>
      <c r="D6" s="142">
        <v>2011</v>
      </c>
      <c r="E6" s="125"/>
      <c r="F6" s="142">
        <v>2010</v>
      </c>
      <c r="G6" s="142">
        <v>2011</v>
      </c>
      <c r="H6" s="125"/>
      <c r="I6" s="142">
        <v>2010</v>
      </c>
      <c r="J6" s="142">
        <v>2011</v>
      </c>
      <c r="K6" s="125"/>
      <c r="L6" s="142">
        <v>2010</v>
      </c>
      <c r="M6" s="142">
        <v>2011</v>
      </c>
      <c r="N6" s="125"/>
      <c r="O6" s="142">
        <v>2010</v>
      </c>
      <c r="P6" s="142">
        <v>2011</v>
      </c>
      <c r="Q6" s="125"/>
      <c r="R6" s="142">
        <v>2010</v>
      </c>
      <c r="S6" s="142">
        <v>2011</v>
      </c>
      <c r="T6" s="125"/>
    </row>
    <row r="7" spans="1:20" ht="15">
      <c r="A7" s="83"/>
      <c r="B7" s="30"/>
      <c r="C7" s="131"/>
      <c r="D7" s="123"/>
      <c r="E7" s="126"/>
      <c r="F7" s="123"/>
      <c r="G7" s="123"/>
      <c r="H7" s="126"/>
      <c r="I7" s="123"/>
      <c r="J7" s="123"/>
      <c r="K7" s="126"/>
      <c r="L7" s="123"/>
      <c r="M7" s="123"/>
      <c r="N7" s="126"/>
      <c r="O7" s="123"/>
      <c r="P7" s="123"/>
      <c r="Q7" s="126"/>
      <c r="R7" s="123"/>
      <c r="S7" s="123"/>
      <c r="T7" s="126"/>
    </row>
    <row r="8" spans="1:20" ht="15">
      <c r="A8" s="2">
        <v>1</v>
      </c>
      <c r="B8" s="23" t="s">
        <v>61</v>
      </c>
      <c r="C8" s="4">
        <v>86</v>
      </c>
      <c r="D8" s="4">
        <v>103</v>
      </c>
      <c r="E8" s="37">
        <f aca="true" t="shared" si="0" ref="E8:E17">D8/C8*100</f>
        <v>119.76744186046511</v>
      </c>
      <c r="F8" s="4"/>
      <c r="G8" s="4"/>
      <c r="H8" s="37"/>
      <c r="I8" s="4">
        <v>17596</v>
      </c>
      <c r="J8" s="4">
        <v>22417</v>
      </c>
      <c r="K8" s="37">
        <f>J8*100/I8</f>
        <v>127.39827233462151</v>
      </c>
      <c r="L8" s="4"/>
      <c r="M8" s="4"/>
      <c r="N8" s="37"/>
      <c r="O8" s="37">
        <f aca="true" t="shared" si="1" ref="O8:O17">C8/I8*100000</f>
        <v>488.74744260059106</v>
      </c>
      <c r="P8" s="37">
        <f aca="true" t="shared" si="2" ref="P8:P16">D8/J8*100000</f>
        <v>459.4727215952179</v>
      </c>
      <c r="Q8" s="37">
        <f aca="true" t="shared" si="3" ref="Q8:Q17">P8/O8*100</f>
        <v>94.0102559208076</v>
      </c>
      <c r="R8" s="37"/>
      <c r="S8" s="37"/>
      <c r="T8" s="37"/>
    </row>
    <row r="9" spans="1:20" ht="15">
      <c r="A9" s="2">
        <v>2</v>
      </c>
      <c r="B9" s="23" t="s">
        <v>62</v>
      </c>
      <c r="C9" s="4">
        <v>14</v>
      </c>
      <c r="D9" s="4">
        <v>49.81</v>
      </c>
      <c r="E9" s="37">
        <f t="shared" si="0"/>
        <v>355.7857142857143</v>
      </c>
      <c r="F9" s="4"/>
      <c r="G9" s="4"/>
      <c r="H9" s="37"/>
      <c r="I9" s="4">
        <v>10693</v>
      </c>
      <c r="J9" s="4">
        <v>11846</v>
      </c>
      <c r="K9" s="37">
        <f aca="true" t="shared" si="4" ref="K9:K20">J9*100/I9</f>
        <v>110.78275507341252</v>
      </c>
      <c r="L9" s="4"/>
      <c r="M9" s="4"/>
      <c r="N9" s="37"/>
      <c r="O9" s="37">
        <f t="shared" si="1"/>
        <v>130.92677452539044</v>
      </c>
      <c r="P9" s="37">
        <f t="shared" si="2"/>
        <v>420.47948674658113</v>
      </c>
      <c r="Q9" s="37">
        <f t="shared" si="3"/>
        <v>321.156225127228</v>
      </c>
      <c r="R9" s="37"/>
      <c r="S9" s="37"/>
      <c r="T9" s="37"/>
    </row>
    <row r="10" spans="1:20" ht="15">
      <c r="A10" s="2">
        <v>3</v>
      </c>
      <c r="B10" s="38" t="s">
        <v>63</v>
      </c>
      <c r="C10" s="20">
        <v>23</v>
      </c>
      <c r="D10" s="20">
        <v>37</v>
      </c>
      <c r="E10" s="37">
        <f t="shared" si="0"/>
        <v>160.8695652173913</v>
      </c>
      <c r="F10" s="20"/>
      <c r="G10" s="20"/>
      <c r="H10" s="37"/>
      <c r="I10" s="4">
        <v>4366</v>
      </c>
      <c r="J10" s="4">
        <v>5513</v>
      </c>
      <c r="K10" s="37">
        <f t="shared" si="4"/>
        <v>126.27118644067797</v>
      </c>
      <c r="L10" s="20"/>
      <c r="M10" s="20"/>
      <c r="N10" s="92"/>
      <c r="O10" s="37">
        <f t="shared" si="1"/>
        <v>526.7979844251031</v>
      </c>
      <c r="P10" s="37">
        <f t="shared" si="2"/>
        <v>671.1409395973154</v>
      </c>
      <c r="Q10" s="37">
        <f t="shared" si="3"/>
        <v>127.4000583600817</v>
      </c>
      <c r="R10" s="92"/>
      <c r="S10" s="92"/>
      <c r="T10" s="92"/>
    </row>
    <row r="11" spans="1:20" ht="15">
      <c r="A11" s="2">
        <v>4</v>
      </c>
      <c r="B11" s="23" t="s">
        <v>64</v>
      </c>
      <c r="C11" s="4">
        <v>233</v>
      </c>
      <c r="D11" s="4">
        <v>218.4</v>
      </c>
      <c r="E11" s="37">
        <f t="shared" si="0"/>
        <v>93.73390557939915</v>
      </c>
      <c r="F11" s="4">
        <v>77</v>
      </c>
      <c r="G11" s="4">
        <v>102</v>
      </c>
      <c r="H11" s="37">
        <f>G11/F11*100</f>
        <v>132.46753246753246</v>
      </c>
      <c r="I11" s="4">
        <v>61302</v>
      </c>
      <c r="J11" s="4">
        <v>57890</v>
      </c>
      <c r="K11" s="37">
        <f t="shared" si="4"/>
        <v>94.43411307950801</v>
      </c>
      <c r="L11" s="4">
        <v>21895</v>
      </c>
      <c r="M11" s="4">
        <v>23853</v>
      </c>
      <c r="N11" s="37">
        <f>M11/L11*100</f>
        <v>108.9426809773921</v>
      </c>
      <c r="O11" s="37">
        <f t="shared" si="1"/>
        <v>380.08547845094773</v>
      </c>
      <c r="P11" s="37">
        <f t="shared" si="2"/>
        <v>377.26723095526</v>
      </c>
      <c r="Q11" s="37">
        <f t="shared" si="3"/>
        <v>99.25852271252941</v>
      </c>
      <c r="R11" s="37">
        <f>F11/L11*100000</f>
        <v>351.6784654030601</v>
      </c>
      <c r="S11" s="37">
        <f>G11/M11*100000</f>
        <v>427.619167400327</v>
      </c>
      <c r="T11" s="37">
        <f>S11/R11*100</f>
        <v>121.59378792506699</v>
      </c>
    </row>
    <row r="12" spans="1:20" ht="15">
      <c r="A12" s="2">
        <v>5</v>
      </c>
      <c r="B12" s="23" t="s">
        <v>65</v>
      </c>
      <c r="C12" s="93">
        <v>148</v>
      </c>
      <c r="D12" s="93">
        <v>74</v>
      </c>
      <c r="E12" s="94">
        <f t="shared" si="0"/>
        <v>50</v>
      </c>
      <c r="F12" s="93">
        <v>27</v>
      </c>
      <c r="G12" s="93">
        <v>69</v>
      </c>
      <c r="H12" s="37">
        <f>G12/F12*100</f>
        <v>255.55555555555554</v>
      </c>
      <c r="I12" s="4">
        <v>28680</v>
      </c>
      <c r="J12" s="4">
        <v>15334</v>
      </c>
      <c r="K12" s="37">
        <f t="shared" si="4"/>
        <v>53.465829846582984</v>
      </c>
      <c r="L12" s="4">
        <v>8129</v>
      </c>
      <c r="M12" s="4">
        <v>19377</v>
      </c>
      <c r="N12" s="37">
        <f>M12/L12*100</f>
        <v>238.36880305080575</v>
      </c>
      <c r="O12" s="37">
        <f t="shared" si="1"/>
        <v>516.0390516039051</v>
      </c>
      <c r="P12" s="37">
        <f t="shared" si="2"/>
        <v>482.5877135776705</v>
      </c>
      <c r="Q12" s="37">
        <f t="shared" si="3"/>
        <v>93.51767314464588</v>
      </c>
      <c r="R12" s="37">
        <f>F12/L12*100000</f>
        <v>332.1441751752983</v>
      </c>
      <c r="S12" s="37">
        <f>G12/M12*100000</f>
        <v>356.092274345874</v>
      </c>
      <c r="T12" s="37">
        <f>S12/R12*100</f>
        <v>107.21015178361517</v>
      </c>
    </row>
    <row r="13" spans="1:20" ht="15">
      <c r="A13" s="2">
        <v>6</v>
      </c>
      <c r="B13" s="39" t="s">
        <v>81</v>
      </c>
      <c r="C13" s="93">
        <v>42.57</v>
      </c>
      <c r="D13" s="93">
        <v>43.88</v>
      </c>
      <c r="E13" s="94">
        <f t="shared" si="0"/>
        <v>103.07728447263331</v>
      </c>
      <c r="F13" s="93"/>
      <c r="G13" s="93"/>
      <c r="H13" s="94"/>
      <c r="I13" s="93">
        <v>15788</v>
      </c>
      <c r="J13" s="93">
        <v>13978</v>
      </c>
      <c r="K13" s="37">
        <f t="shared" si="4"/>
        <v>88.53559665568787</v>
      </c>
      <c r="L13" s="93"/>
      <c r="M13" s="93"/>
      <c r="N13" s="94"/>
      <c r="O13" s="37">
        <f t="shared" si="1"/>
        <v>269.6351659488219</v>
      </c>
      <c r="P13" s="37">
        <f t="shared" si="2"/>
        <v>313.9218772356561</v>
      </c>
      <c r="Q13" s="37">
        <f t="shared" si="3"/>
        <v>116.42467929989519</v>
      </c>
      <c r="R13" s="37"/>
      <c r="S13" s="37"/>
      <c r="T13" s="94"/>
    </row>
    <row r="14" spans="1:20" ht="15">
      <c r="A14" s="2">
        <v>7</v>
      </c>
      <c r="B14" s="39" t="s">
        <v>66</v>
      </c>
      <c r="C14" s="93">
        <v>40.4</v>
      </c>
      <c r="D14" s="93">
        <v>30.74</v>
      </c>
      <c r="E14" s="94">
        <f t="shared" si="0"/>
        <v>76.08910891089108</v>
      </c>
      <c r="F14" s="93"/>
      <c r="G14" s="93"/>
      <c r="H14" s="94"/>
      <c r="I14" s="93">
        <v>10736</v>
      </c>
      <c r="J14" s="93">
        <v>13562</v>
      </c>
      <c r="K14" s="37">
        <f t="shared" si="4"/>
        <v>126.32265275707898</v>
      </c>
      <c r="L14" s="93"/>
      <c r="M14" s="93"/>
      <c r="N14" s="94"/>
      <c r="O14" s="37">
        <f t="shared" si="1"/>
        <v>376.30402384500746</v>
      </c>
      <c r="P14" s="37">
        <f t="shared" si="2"/>
        <v>226.66273411001328</v>
      </c>
      <c r="Q14" s="94">
        <f t="shared" si="3"/>
        <v>60.23393845062135</v>
      </c>
      <c r="R14" s="37"/>
      <c r="S14" s="91"/>
      <c r="T14" s="94"/>
    </row>
    <row r="15" spans="1:20" s="73" customFormat="1" ht="15">
      <c r="A15" s="2">
        <v>8</v>
      </c>
      <c r="B15" s="33" t="s">
        <v>80</v>
      </c>
      <c r="C15" s="95">
        <v>84.82</v>
      </c>
      <c r="D15" s="95">
        <v>43</v>
      </c>
      <c r="E15" s="96">
        <f t="shared" si="0"/>
        <v>50.69559066257958</v>
      </c>
      <c r="F15" s="95"/>
      <c r="G15" s="95"/>
      <c r="H15" s="96"/>
      <c r="I15" s="95">
        <v>13744</v>
      </c>
      <c r="J15" s="95">
        <v>11700</v>
      </c>
      <c r="K15" s="37">
        <f t="shared" si="4"/>
        <v>85.12805587892899</v>
      </c>
      <c r="L15" s="95"/>
      <c r="M15" s="95"/>
      <c r="N15" s="96"/>
      <c r="O15" s="37">
        <f t="shared" si="1"/>
        <v>617.1420256111758</v>
      </c>
      <c r="P15" s="37">
        <f t="shared" si="2"/>
        <v>367.52136752136755</v>
      </c>
      <c r="Q15" s="96">
        <f t="shared" si="3"/>
        <v>59.552153680896915</v>
      </c>
      <c r="R15" s="37"/>
      <c r="S15" s="37"/>
      <c r="T15" s="37"/>
    </row>
    <row r="16" spans="1:20" ht="15">
      <c r="A16" s="2">
        <v>9</v>
      </c>
      <c r="B16" s="39" t="s">
        <v>67</v>
      </c>
      <c r="C16" s="93">
        <v>60</v>
      </c>
      <c r="D16" s="93">
        <v>26</v>
      </c>
      <c r="E16" s="94">
        <f t="shared" si="0"/>
        <v>43.333333333333336</v>
      </c>
      <c r="F16" s="93"/>
      <c r="G16" s="93"/>
      <c r="H16" s="94"/>
      <c r="I16" s="93">
        <v>10802</v>
      </c>
      <c r="J16" s="93">
        <v>17073</v>
      </c>
      <c r="K16" s="37">
        <f t="shared" si="4"/>
        <v>158.0540640622107</v>
      </c>
      <c r="L16" s="93"/>
      <c r="M16" s="93"/>
      <c r="N16" s="94"/>
      <c r="O16" s="37">
        <f t="shared" si="1"/>
        <v>555.4526939455657</v>
      </c>
      <c r="P16" s="37">
        <f t="shared" si="2"/>
        <v>152.28723715808587</v>
      </c>
      <c r="Q16" s="94">
        <f t="shared" si="3"/>
        <v>27.416778929694058</v>
      </c>
      <c r="R16" s="37"/>
      <c r="S16" s="37"/>
      <c r="T16" s="94"/>
    </row>
    <row r="17" spans="1:20" ht="15">
      <c r="A17" s="2">
        <v>10</v>
      </c>
      <c r="B17" s="39" t="s">
        <v>68</v>
      </c>
      <c r="C17" s="93">
        <v>24.9</v>
      </c>
      <c r="D17" s="93">
        <v>25.6</v>
      </c>
      <c r="E17" s="94">
        <f t="shared" si="0"/>
        <v>102.81124497991969</v>
      </c>
      <c r="F17" s="93"/>
      <c r="G17" s="93"/>
      <c r="H17" s="94"/>
      <c r="I17" s="93">
        <v>4300</v>
      </c>
      <c r="J17" s="93">
        <v>6374</v>
      </c>
      <c r="K17" s="37">
        <f t="shared" si="4"/>
        <v>148.2325581395349</v>
      </c>
      <c r="L17" s="93"/>
      <c r="M17" s="93"/>
      <c r="N17" s="94"/>
      <c r="O17" s="37">
        <f t="shared" si="1"/>
        <v>579.0697674418604</v>
      </c>
      <c r="P17" s="37">
        <f>D17/J17*100000</f>
        <v>401.6316284907437</v>
      </c>
      <c r="Q17" s="94">
        <f t="shared" si="3"/>
        <v>69.3580723899678</v>
      </c>
      <c r="R17" s="37"/>
      <c r="S17" s="37"/>
      <c r="T17" s="94"/>
    </row>
    <row r="18" spans="1:20" ht="15">
      <c r="A18" s="2">
        <v>11</v>
      </c>
      <c r="B18" s="84" t="s">
        <v>69</v>
      </c>
      <c r="C18" s="93"/>
      <c r="D18" s="93"/>
      <c r="E18" s="94"/>
      <c r="F18" s="93">
        <v>2504</v>
      </c>
      <c r="G18" s="93">
        <v>2853</v>
      </c>
      <c r="H18" s="94">
        <f>G18/F18*100</f>
        <v>113.93769968051117</v>
      </c>
      <c r="I18" s="4"/>
      <c r="J18" s="93"/>
      <c r="K18" s="37"/>
      <c r="L18" s="93">
        <v>657635</v>
      </c>
      <c r="M18" s="93">
        <v>740619</v>
      </c>
      <c r="N18" s="94">
        <f>M18/L18*100</f>
        <v>112.6185498034624</v>
      </c>
      <c r="O18" s="37"/>
      <c r="P18" s="37"/>
      <c r="Q18" s="94"/>
      <c r="R18" s="37">
        <f>F18/L18*100000</f>
        <v>380.75832338607285</v>
      </c>
      <c r="S18" s="37">
        <f>G18/M18*100000</f>
        <v>385.21831062935195</v>
      </c>
      <c r="T18" s="94">
        <f>S18/R18*100</f>
        <v>101.17134333495761</v>
      </c>
    </row>
    <row r="19" spans="1:20" ht="15">
      <c r="A19" s="2">
        <v>12</v>
      </c>
      <c r="B19" s="33" t="s">
        <v>91</v>
      </c>
      <c r="C19" s="102"/>
      <c r="D19" s="93"/>
      <c r="E19" s="94"/>
      <c r="F19" s="93"/>
      <c r="G19" s="93"/>
      <c r="H19" s="94"/>
      <c r="I19" s="4"/>
      <c r="J19" s="93"/>
      <c r="K19" s="37"/>
      <c r="L19" s="93"/>
      <c r="M19" s="93">
        <v>11050</v>
      </c>
      <c r="N19" s="94"/>
      <c r="O19" s="37"/>
      <c r="P19" s="37"/>
      <c r="Q19" s="94"/>
      <c r="R19" s="37"/>
      <c r="S19" s="37">
        <f>G19/M19*100000</f>
        <v>0</v>
      </c>
      <c r="T19" s="94"/>
    </row>
    <row r="20" spans="1:20" ht="15">
      <c r="A20" s="85"/>
      <c r="B20" s="28" t="s">
        <v>11</v>
      </c>
      <c r="C20" s="97">
        <f>SUM(C8:C18)</f>
        <v>756.6899999999999</v>
      </c>
      <c r="D20" s="4">
        <f>SUM(D8:D18)</f>
        <v>651.4300000000001</v>
      </c>
      <c r="E20" s="37">
        <f>D20/C20*100</f>
        <v>86.08941574488894</v>
      </c>
      <c r="F20" s="37">
        <f>SUM(F8:F18)</f>
        <v>2608</v>
      </c>
      <c r="G20" s="4">
        <f>SUM(G8:G19)</f>
        <v>3024</v>
      </c>
      <c r="H20" s="37">
        <f>G20/F20*100</f>
        <v>115.95092024539878</v>
      </c>
      <c r="I20" s="4">
        <f>SUM(I8:I17)</f>
        <v>178007</v>
      </c>
      <c r="J20" s="4">
        <f>SUM(J8:J18)</f>
        <v>175687</v>
      </c>
      <c r="K20" s="37">
        <f t="shared" si="4"/>
        <v>98.69668046762206</v>
      </c>
      <c r="L20" s="4">
        <f>SUM(L8:L18)</f>
        <v>687659</v>
      </c>
      <c r="M20" s="4">
        <f>SUM(M8:M19)</f>
        <v>794899</v>
      </c>
      <c r="N20" s="37">
        <f>M20/L20*100</f>
        <v>115.59493877052434</v>
      </c>
      <c r="O20" s="37">
        <f>C20/I20*100000</f>
        <v>425.0900245495963</v>
      </c>
      <c r="P20" s="37">
        <f>D20/J20*100000</f>
        <v>370.7900982998173</v>
      </c>
      <c r="Q20" s="37">
        <f>P20/O20*100</f>
        <v>87.2262525314932</v>
      </c>
      <c r="R20" s="37">
        <f>F20/L20*100000</f>
        <v>379.2577425729904</v>
      </c>
      <c r="S20" s="37">
        <f>G20/M20*100000</f>
        <v>380.4256893014081</v>
      </c>
      <c r="T20" s="37">
        <f>S20/R20*100</f>
        <v>100.30795593532093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F12" sqref="F12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6" customWidth="1"/>
  </cols>
  <sheetData>
    <row r="1" ht="15.75">
      <c r="C1" s="1" t="s">
        <v>104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57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54</v>
      </c>
      <c r="E3" s="28"/>
      <c r="F3" s="132" t="s">
        <v>10</v>
      </c>
      <c r="G3" s="133"/>
      <c r="H3" s="143"/>
      <c r="I3" s="26" t="s">
        <v>6</v>
      </c>
      <c r="J3" s="22" t="s">
        <v>7</v>
      </c>
      <c r="K3" s="146" t="s">
        <v>74</v>
      </c>
      <c r="L3" s="147"/>
      <c r="M3" s="148"/>
      <c r="N3" s="144"/>
    </row>
    <row r="4" spans="1:14" ht="15">
      <c r="A4" s="34"/>
      <c r="B4" s="34"/>
      <c r="C4" s="10">
        <v>2010</v>
      </c>
      <c r="D4" s="43">
        <v>2011</v>
      </c>
      <c r="E4" s="20" t="s">
        <v>4</v>
      </c>
      <c r="F4" s="10">
        <v>2010</v>
      </c>
      <c r="G4" s="43">
        <v>2011</v>
      </c>
      <c r="H4" s="20" t="s">
        <v>4</v>
      </c>
      <c r="I4" s="10">
        <v>2010</v>
      </c>
      <c r="J4" s="43">
        <v>2011</v>
      </c>
      <c r="K4" s="149" t="s">
        <v>1</v>
      </c>
      <c r="L4" s="149" t="s">
        <v>75</v>
      </c>
      <c r="M4" s="151" t="s">
        <v>76</v>
      </c>
      <c r="N4" s="145"/>
    </row>
    <row r="5" spans="1:14" ht="15">
      <c r="A5" s="30"/>
      <c r="B5" s="30"/>
      <c r="C5" s="29"/>
      <c r="D5" s="36"/>
      <c r="E5" s="12">
        <v>2010</v>
      </c>
      <c r="F5" s="29"/>
      <c r="G5" s="36"/>
      <c r="H5" s="12">
        <v>2010</v>
      </c>
      <c r="I5" s="36"/>
      <c r="J5" s="30"/>
      <c r="K5" s="150"/>
      <c r="L5" s="150"/>
      <c r="M5" s="151"/>
      <c r="N5" s="145"/>
    </row>
    <row r="6" spans="1:14" ht="18">
      <c r="A6" s="4">
        <v>1</v>
      </c>
      <c r="B6" s="23" t="s">
        <v>61</v>
      </c>
      <c r="C6" s="13"/>
      <c r="D6" s="4"/>
      <c r="E6" s="37"/>
      <c r="F6" s="13">
        <v>26</v>
      </c>
      <c r="G6" s="4">
        <v>26</v>
      </c>
      <c r="H6" s="94">
        <f aca="true" t="shared" si="0" ref="H6:H17">G6*100/F6</f>
        <v>100</v>
      </c>
      <c r="I6" s="37">
        <f>F6+(C6*0.2)+('численность 1'!M6*0.3)+'численность 1'!G6+(('численность 1'!C6-'численность 1'!G6)*0.6)</f>
        <v>315.8</v>
      </c>
      <c r="J6" s="37">
        <f>G6+(D6*0.2)+('численность 1'!N6*0.3)+'численность 1'!H6+(('численность 1'!D6-'численность 1'!H6)*0.6)</f>
        <v>314</v>
      </c>
      <c r="K6" s="4">
        <v>345</v>
      </c>
      <c r="L6" s="4">
        <v>50</v>
      </c>
      <c r="M6" s="37">
        <v>237</v>
      </c>
      <c r="N6" s="80"/>
    </row>
    <row r="7" spans="1:14" ht="18">
      <c r="A7" s="4">
        <v>2</v>
      </c>
      <c r="B7" s="23" t="s">
        <v>62</v>
      </c>
      <c r="C7" s="13"/>
      <c r="D7" s="4"/>
      <c r="E7" s="37"/>
      <c r="F7" s="13">
        <v>7</v>
      </c>
      <c r="G7" s="4">
        <v>5</v>
      </c>
      <c r="H7" s="94">
        <f t="shared" si="0"/>
        <v>71.42857142857143</v>
      </c>
      <c r="I7" s="37">
        <f>F7+(C7*0.2)+('численность 1'!M7*0.3)+'численность 1'!G7+(('численность 1'!C7-'численность 1'!G7)*0.6)</f>
        <v>169.6</v>
      </c>
      <c r="J7" s="37">
        <f>G7+(D7*0.2)+('численность 1'!N7*0.3)+'численность 1'!H7+(('численность 1'!D7-'численность 1'!H7)*0.6)</f>
        <v>191</v>
      </c>
      <c r="K7" s="4">
        <v>206</v>
      </c>
      <c r="L7" s="4">
        <v>15</v>
      </c>
      <c r="M7" s="37"/>
      <c r="N7" s="80"/>
    </row>
    <row r="8" spans="1:14" ht="18">
      <c r="A8" s="4">
        <v>3</v>
      </c>
      <c r="B8" s="23" t="s">
        <v>63</v>
      </c>
      <c r="C8" s="13"/>
      <c r="D8" s="4"/>
      <c r="E8" s="37"/>
      <c r="F8" s="13">
        <v>2</v>
      </c>
      <c r="G8" s="4">
        <v>1</v>
      </c>
      <c r="H8" s="94">
        <f t="shared" si="0"/>
        <v>50</v>
      </c>
      <c r="I8" s="37">
        <f>F8+(C8*0.2)+('численность 1'!M8*0.3)+'численность 1'!G8+(('численность 1'!C8-'численность 1'!G8)*0.6)</f>
        <v>84.8</v>
      </c>
      <c r="J8" s="37">
        <f>G8+(D8*0.2)+('численность 1'!N8*0.3)+'численность 1'!H8+(('численность 1'!D8-'численность 1'!H8)*0.6)</f>
        <v>100</v>
      </c>
      <c r="K8" s="4">
        <v>253</v>
      </c>
      <c r="L8" s="4">
        <v>81</v>
      </c>
      <c r="M8" s="37"/>
      <c r="N8" s="80"/>
    </row>
    <row r="9" spans="1:14" ht="18">
      <c r="A9" s="4">
        <v>4</v>
      </c>
      <c r="B9" s="23" t="s">
        <v>64</v>
      </c>
      <c r="C9" s="13"/>
      <c r="D9" s="4"/>
      <c r="E9" s="4"/>
      <c r="F9" s="13">
        <v>33</v>
      </c>
      <c r="G9" s="4">
        <v>23</v>
      </c>
      <c r="H9" s="94">
        <f t="shared" si="0"/>
        <v>69.6969696969697</v>
      </c>
      <c r="I9" s="37">
        <f>F9+(C9*0.2)+('численность 1'!M9*0.3)+'численность 1'!G9+(('численность 1'!C9-'численность 1'!G9)*0.6)</f>
        <v>834.4</v>
      </c>
      <c r="J9" s="37">
        <f>G9+(D9*0.2)+('численность 1'!N9*0.3)+'численность 1'!H9+(('численность 1'!D9-'численность 1'!H9)*0.6)</f>
        <v>767.2</v>
      </c>
      <c r="K9" s="93">
        <v>1064</v>
      </c>
      <c r="L9" s="93">
        <v>120</v>
      </c>
      <c r="M9" s="94"/>
      <c r="N9" s="80"/>
    </row>
    <row r="10" spans="1:14" ht="18">
      <c r="A10" s="4">
        <v>5</v>
      </c>
      <c r="B10" s="23" t="s">
        <v>65</v>
      </c>
      <c r="C10" s="117">
        <v>159</v>
      </c>
      <c r="D10" s="4">
        <v>190</v>
      </c>
      <c r="E10" s="94">
        <f>D10*100/C10</f>
        <v>119.49685534591195</v>
      </c>
      <c r="F10" s="13">
        <v>54</v>
      </c>
      <c r="G10" s="4">
        <v>22</v>
      </c>
      <c r="H10" s="94">
        <f t="shared" si="0"/>
        <v>40.74074074074074</v>
      </c>
      <c r="I10" s="37">
        <f>F10+(C10*0.2)+('численность 1'!M10*0.3)+'численность 1'!G10+(('численность 1'!C10-'численность 1'!G10)*0.6)</f>
        <v>588.7</v>
      </c>
      <c r="J10" s="37">
        <f>G10+(C10*0.2)+('численность 1'!N10*0.3)+'численность 1'!H10+(('численность 1'!D10-'численность 1'!H10)*0.6)</f>
        <v>588.8</v>
      </c>
      <c r="K10" s="4">
        <v>670</v>
      </c>
      <c r="L10" s="4">
        <v>161</v>
      </c>
      <c r="M10" s="37">
        <v>509</v>
      </c>
      <c r="N10" s="80"/>
    </row>
    <row r="11" spans="1:14" ht="18">
      <c r="A11" s="4">
        <v>6</v>
      </c>
      <c r="B11" s="39" t="s">
        <v>81</v>
      </c>
      <c r="C11" s="17"/>
      <c r="D11" s="93"/>
      <c r="E11" s="94"/>
      <c r="F11" s="13">
        <v>14</v>
      </c>
      <c r="G11" s="4">
        <v>8</v>
      </c>
      <c r="H11" s="94">
        <f t="shared" si="0"/>
        <v>57.142857142857146</v>
      </c>
      <c r="I11" s="37">
        <f>F11+(C11*0.2)+('численность 1'!M11*0.3)+'численность 1'!G11+(('численность 1'!C11-'численность 1'!G11)*0.6)</f>
        <v>231</v>
      </c>
      <c r="J11" s="37">
        <f>G11+(C11*0.2)+('численность 1'!N11*0.3)+'численность 1'!H11+(('численность 1'!D11-'численность 1'!H11)*0.6)</f>
        <v>232.2</v>
      </c>
      <c r="K11" s="93">
        <v>1177</v>
      </c>
      <c r="L11" s="93">
        <v>858</v>
      </c>
      <c r="M11" s="94"/>
      <c r="N11" s="80"/>
    </row>
    <row r="12" spans="1:14" ht="18">
      <c r="A12" s="4">
        <v>7</v>
      </c>
      <c r="B12" s="39" t="s">
        <v>66</v>
      </c>
      <c r="C12" s="17"/>
      <c r="D12" s="93"/>
      <c r="E12" s="94"/>
      <c r="F12" s="17">
        <v>4</v>
      </c>
      <c r="G12" s="93">
        <v>3</v>
      </c>
      <c r="H12" s="94">
        <f t="shared" si="0"/>
        <v>75</v>
      </c>
      <c r="I12" s="37">
        <f>F12+(C12*0.2)+('численность 1'!M12*0.3)+'численность 1'!G12+(('численность 1'!C12-'численность 1'!G12)*0.6)</f>
        <v>116.6</v>
      </c>
      <c r="J12" s="37">
        <f>G12+(C12*0.2)+('численность 1'!N12*0.3)+'численность 1'!H12+(('численность 1'!D12-'численность 1'!H12)*0.6)</f>
        <v>146.39999999999998</v>
      </c>
      <c r="K12" s="93">
        <v>314</v>
      </c>
      <c r="L12" s="93">
        <v>314</v>
      </c>
      <c r="M12" s="37"/>
      <c r="N12" s="80"/>
    </row>
    <row r="13" spans="1:14" ht="18">
      <c r="A13" s="4">
        <v>8</v>
      </c>
      <c r="B13" s="33" t="s">
        <v>80</v>
      </c>
      <c r="C13" s="17">
        <v>129</v>
      </c>
      <c r="D13" s="93">
        <v>170</v>
      </c>
      <c r="E13" s="94">
        <f>D13*100/C13</f>
        <v>131.7829457364341</v>
      </c>
      <c r="F13" s="13">
        <v>4</v>
      </c>
      <c r="G13" s="4">
        <v>5</v>
      </c>
      <c r="H13" s="94">
        <f t="shared" si="0"/>
        <v>125</v>
      </c>
      <c r="I13" s="37">
        <f>F13+(C13*0.2)+('численность 1'!M13*0.3)+'численность 1'!G13+(('численность 1'!C13-'численность 1'!G13)*0.6)</f>
        <v>169</v>
      </c>
      <c r="J13" s="37">
        <f>G13+(C13*0.2)+('численность 1'!N13*0.3)+'численность 1'!H13+(('численность 1'!D13-'численность 1'!H13)*0.6)</f>
        <v>192.2</v>
      </c>
      <c r="K13" s="93">
        <v>353</v>
      </c>
      <c r="L13" s="93">
        <v>200</v>
      </c>
      <c r="M13" s="37"/>
      <c r="N13" s="80"/>
    </row>
    <row r="14" spans="1:14" ht="18">
      <c r="A14" s="4">
        <v>9</v>
      </c>
      <c r="B14" s="39" t="s">
        <v>67</v>
      </c>
      <c r="C14" s="93"/>
      <c r="D14" s="93"/>
      <c r="E14" s="94"/>
      <c r="F14" s="13">
        <v>15</v>
      </c>
      <c r="G14" s="4">
        <v>3</v>
      </c>
      <c r="H14" s="94">
        <f t="shared" si="0"/>
        <v>20</v>
      </c>
      <c r="I14" s="37">
        <f>F14+(C14*0.2)+('численность 1'!M14*0.3)+'численность 1'!G14+(('численность 1'!C14-'численность 1'!G14)*0.6)</f>
        <v>184</v>
      </c>
      <c r="J14" s="37">
        <f>G14+(C14*0.2)+('численность 1'!N14*0.3)+'численность 1'!H14+(('численность 1'!D14-'численность 1'!H14)*0.6)</f>
        <v>193.6</v>
      </c>
      <c r="K14" s="93">
        <v>120</v>
      </c>
      <c r="L14" s="93">
        <v>120</v>
      </c>
      <c r="M14" s="37"/>
      <c r="N14" s="80"/>
    </row>
    <row r="15" spans="1:14" ht="18">
      <c r="A15" s="4">
        <v>10</v>
      </c>
      <c r="B15" s="39" t="s">
        <v>68</v>
      </c>
      <c r="C15" s="93"/>
      <c r="D15" s="93"/>
      <c r="E15" s="94"/>
      <c r="F15" s="13">
        <v>3</v>
      </c>
      <c r="G15" s="4">
        <v>1</v>
      </c>
      <c r="H15" s="94">
        <f t="shared" si="0"/>
        <v>33.333333333333336</v>
      </c>
      <c r="I15" s="37">
        <f>F15+(C15*0.2)+('численность 1'!M15*0.3)+'численность 1'!G15+(('численность 1'!C15-'численность 1'!G15)*0.6)</f>
        <v>70</v>
      </c>
      <c r="J15" s="37">
        <f>G15+(C15*0.2)+('численность 1'!N15*0.3)+'численность 1'!H15+(('численность 1'!D15-'численность 1'!H15)*0.6)</f>
        <v>77.19999999999999</v>
      </c>
      <c r="K15" s="93">
        <v>60</v>
      </c>
      <c r="L15" s="93">
        <v>50</v>
      </c>
      <c r="M15" s="94">
        <v>10</v>
      </c>
      <c r="N15" s="80"/>
    </row>
    <row r="16" spans="1:14" ht="18">
      <c r="A16" s="4">
        <v>11</v>
      </c>
      <c r="B16" s="39" t="s">
        <v>69</v>
      </c>
      <c r="C16" s="93"/>
      <c r="D16" s="93"/>
      <c r="E16" s="94"/>
      <c r="F16" s="13">
        <v>1</v>
      </c>
      <c r="G16" s="4">
        <v>1</v>
      </c>
      <c r="H16" s="94">
        <f t="shared" si="0"/>
        <v>100</v>
      </c>
      <c r="I16" s="37">
        <f>F16+(C16*0.2)+('численность 1'!M16*0.3)+'численность 1'!G16+(('численность 1'!C16-'численность 1'!G16)*0.6)</f>
        <v>2305.2999999999997</v>
      </c>
      <c r="J16" s="37">
        <f>G16+(C16*0.2)+('численность 1'!N16*0.3)+'численность 1'!H16+(('численность 1'!D16-'численность 1'!H16)*0.6)</f>
        <v>2763.1</v>
      </c>
      <c r="K16" s="93">
        <v>30</v>
      </c>
      <c r="L16" s="93">
        <v>30</v>
      </c>
      <c r="M16" s="94">
        <v>30</v>
      </c>
      <c r="N16" s="80"/>
    </row>
    <row r="17" spans="1:14" ht="18">
      <c r="A17" s="4">
        <v>12</v>
      </c>
      <c r="B17" s="33" t="s">
        <v>78</v>
      </c>
      <c r="C17" s="93"/>
      <c r="D17" s="93"/>
      <c r="E17" s="94"/>
      <c r="F17" s="13">
        <v>62</v>
      </c>
      <c r="G17" s="4">
        <v>118</v>
      </c>
      <c r="H17" s="94">
        <f t="shared" si="0"/>
        <v>190.32258064516128</v>
      </c>
      <c r="I17" s="37">
        <f>F17+(C17*0.2)+('численность 1'!M17*0.3)+'численность 1'!G17+(('численность 1'!C17-'численность 1'!G17)*0.6)</f>
        <v>62</v>
      </c>
      <c r="J17" s="37">
        <f>G17+(C17*0.2)+('численность 1'!N17*0.3)+'численность 1'!H17+(('численность 1'!D17-'численность 1'!H17)*0.6)</f>
        <v>118</v>
      </c>
      <c r="K17" s="93">
        <v>917</v>
      </c>
      <c r="L17" s="93"/>
      <c r="M17" s="94"/>
      <c r="N17" s="80"/>
    </row>
    <row r="18" spans="1:14" ht="15">
      <c r="A18" s="4">
        <v>13</v>
      </c>
      <c r="B18" s="33" t="s">
        <v>91</v>
      </c>
      <c r="C18" s="93"/>
      <c r="D18" s="93"/>
      <c r="E18" s="94"/>
      <c r="F18" s="4"/>
      <c r="G18" s="4"/>
      <c r="H18" s="94"/>
      <c r="I18" s="37"/>
      <c r="J18" s="37">
        <f>G18+(C18*0.2)+('численность 1'!N18*0.3)+'численность 1'!H18+(('численность 1'!D18-'численность 1'!H18)*0.6)</f>
        <v>31.5</v>
      </c>
      <c r="K18" s="93">
        <v>8</v>
      </c>
      <c r="L18" s="93">
        <v>8</v>
      </c>
      <c r="M18" s="37"/>
      <c r="N18" s="80"/>
    </row>
    <row r="19" spans="1:14" ht="15">
      <c r="A19" s="23"/>
      <c r="B19" s="23" t="s">
        <v>11</v>
      </c>
      <c r="C19" s="4">
        <f>SUM(C6:C16)</f>
        <v>288</v>
      </c>
      <c r="D19" s="4">
        <f>SUM(D6:D16)</f>
        <v>360</v>
      </c>
      <c r="E19" s="37">
        <f>D19/C19*100</f>
        <v>125</v>
      </c>
      <c r="F19" s="4">
        <f>SUM(F6:F17)</f>
        <v>225</v>
      </c>
      <c r="G19" s="4">
        <f>SUM(G6:G17)</f>
        <v>216</v>
      </c>
      <c r="H19" s="94">
        <f>G19*100/F19</f>
        <v>96</v>
      </c>
      <c r="I19" s="37">
        <f>F19+(C19*0.2)+('численность 1'!M19*0.3)+'численность 1'!G19+(('численность 1'!C19-'численность 1'!G19)*0.6)</f>
        <v>5131.2</v>
      </c>
      <c r="J19" s="37">
        <f>G19+(D19*0.2)+('численность 1'!N19*0.3)+'численность 1'!H19+(('численность 1'!D19-'численность 1'!H19)*0.6)</f>
        <v>5729.6</v>
      </c>
      <c r="K19" s="4">
        <f>SUM(K6:K18)</f>
        <v>5517</v>
      </c>
      <c r="L19" s="4">
        <f>SUM(L6:L18)</f>
        <v>2007</v>
      </c>
      <c r="M19" s="37">
        <f>SUM(M6:M18)</f>
        <v>786</v>
      </c>
      <c r="N19" s="80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C4" sqref="C4:C5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105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56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42" t="s">
        <v>3</v>
      </c>
      <c r="C3" s="139" t="s">
        <v>83</v>
      </c>
      <c r="D3" s="157"/>
      <c r="E3" s="158"/>
      <c r="F3" s="124" t="s">
        <v>82</v>
      </c>
      <c r="G3" s="139" t="s">
        <v>8</v>
      </c>
      <c r="H3" s="157"/>
      <c r="I3" s="158"/>
      <c r="J3" s="152" t="s">
        <v>73</v>
      </c>
      <c r="K3" s="153"/>
      <c r="L3" s="154"/>
      <c r="M3" s="139" t="s">
        <v>9</v>
      </c>
      <c r="N3" s="157"/>
      <c r="O3" s="157"/>
      <c r="P3" s="157"/>
      <c r="Q3" s="157"/>
      <c r="R3" s="157"/>
      <c r="S3" s="157"/>
      <c r="T3" s="157"/>
      <c r="U3" s="158"/>
    </row>
    <row r="4" spans="1:21" s="21" customFormat="1" ht="23.25" customHeight="1">
      <c r="A4" s="34"/>
      <c r="B4" s="159"/>
      <c r="C4" s="142">
        <v>2010</v>
      </c>
      <c r="D4" s="142">
        <v>2011</v>
      </c>
      <c r="E4" s="106" t="s">
        <v>4</v>
      </c>
      <c r="F4" s="125"/>
      <c r="G4" s="142">
        <v>2010</v>
      </c>
      <c r="H4" s="142">
        <v>2011</v>
      </c>
      <c r="I4" s="106" t="s">
        <v>4</v>
      </c>
      <c r="J4" s="142">
        <v>2010</v>
      </c>
      <c r="K4" s="142">
        <v>2011</v>
      </c>
      <c r="L4" s="124" t="s">
        <v>99</v>
      </c>
      <c r="M4" s="142">
        <v>2010</v>
      </c>
      <c r="N4" s="142">
        <v>2011</v>
      </c>
      <c r="O4" s="124" t="s">
        <v>99</v>
      </c>
      <c r="P4" s="104" t="s">
        <v>5</v>
      </c>
      <c r="Q4" s="107" t="s">
        <v>72</v>
      </c>
      <c r="R4" s="124" t="s">
        <v>99</v>
      </c>
      <c r="S4" s="104" t="s">
        <v>53</v>
      </c>
      <c r="T4" s="108"/>
      <c r="U4" s="124" t="s">
        <v>99</v>
      </c>
    </row>
    <row r="5" spans="1:21" s="21" customFormat="1" ht="23.25" customHeight="1">
      <c r="A5" s="30"/>
      <c r="B5" s="123"/>
      <c r="C5" s="155"/>
      <c r="D5" s="155"/>
      <c r="E5" s="109">
        <v>2010</v>
      </c>
      <c r="F5" s="126"/>
      <c r="G5" s="155"/>
      <c r="H5" s="155"/>
      <c r="I5" s="109">
        <v>2010</v>
      </c>
      <c r="J5" s="155"/>
      <c r="K5" s="155"/>
      <c r="L5" s="156"/>
      <c r="M5" s="155"/>
      <c r="N5" s="155"/>
      <c r="O5" s="156"/>
      <c r="P5" s="105">
        <v>2010</v>
      </c>
      <c r="Q5" s="105">
        <v>2011</v>
      </c>
      <c r="R5" s="156"/>
      <c r="S5" s="105">
        <v>2010</v>
      </c>
      <c r="T5" s="105">
        <v>2011</v>
      </c>
      <c r="U5" s="156"/>
    </row>
    <row r="6" spans="1:34" s="21" customFormat="1" ht="24.75" customHeight="1">
      <c r="A6" s="4">
        <v>1</v>
      </c>
      <c r="B6" s="23" t="s">
        <v>61</v>
      </c>
      <c r="C6" s="13">
        <v>363</v>
      </c>
      <c r="D6" s="13">
        <v>360</v>
      </c>
      <c r="E6" s="14">
        <f aca="true" t="shared" si="0" ref="E6:E15">D6*100/C6</f>
        <v>99.17355371900827</v>
      </c>
      <c r="F6" s="17">
        <v>0</v>
      </c>
      <c r="G6" s="13">
        <v>180</v>
      </c>
      <c r="H6" s="13">
        <v>180</v>
      </c>
      <c r="I6" s="14">
        <f aca="true" t="shared" si="1" ref="I6:I15">H6*100/G6</f>
        <v>100</v>
      </c>
      <c r="J6" s="13">
        <v>180</v>
      </c>
      <c r="K6" s="121">
        <v>180</v>
      </c>
      <c r="L6" s="14">
        <f aca="true" t="shared" si="2" ref="L6:L19">K6*100/J6</f>
        <v>100</v>
      </c>
      <c r="M6" s="13"/>
      <c r="N6" s="13"/>
      <c r="O6" s="14"/>
      <c r="P6" s="13"/>
      <c r="Q6" s="13"/>
      <c r="R6" s="14"/>
      <c r="S6" s="14"/>
      <c r="T6" s="14"/>
      <c r="U6" s="14"/>
      <c r="AH6" s="91"/>
    </row>
    <row r="7" spans="1:34" s="21" customFormat="1" ht="24.75" customHeight="1">
      <c r="A7" s="4">
        <v>2</v>
      </c>
      <c r="B7" s="23" t="s">
        <v>62</v>
      </c>
      <c r="C7" s="13">
        <v>201</v>
      </c>
      <c r="D7" s="13">
        <v>240</v>
      </c>
      <c r="E7" s="14">
        <f t="shared" si="0"/>
        <v>119.40298507462687</v>
      </c>
      <c r="F7" s="13">
        <v>21</v>
      </c>
      <c r="G7" s="13">
        <v>105</v>
      </c>
      <c r="H7" s="13">
        <v>105</v>
      </c>
      <c r="I7" s="14">
        <f t="shared" si="1"/>
        <v>100</v>
      </c>
      <c r="J7" s="13">
        <v>105</v>
      </c>
      <c r="K7" s="121">
        <v>105</v>
      </c>
      <c r="L7" s="14">
        <f t="shared" si="2"/>
        <v>100</v>
      </c>
      <c r="M7" s="13"/>
      <c r="N7" s="13"/>
      <c r="O7" s="14"/>
      <c r="P7" s="13"/>
      <c r="Q7" s="13"/>
      <c r="R7" s="14"/>
      <c r="S7" s="14"/>
      <c r="T7" s="14"/>
      <c r="U7" s="14"/>
      <c r="AH7" s="91"/>
    </row>
    <row r="8" spans="1:34" s="21" customFormat="1" ht="24.75" customHeight="1">
      <c r="A8" s="4">
        <v>3</v>
      </c>
      <c r="B8" s="23" t="s">
        <v>63</v>
      </c>
      <c r="C8" s="13">
        <v>102</v>
      </c>
      <c r="D8" s="13">
        <v>125</v>
      </c>
      <c r="E8" s="14">
        <f t="shared" si="0"/>
        <v>122.54901960784314</v>
      </c>
      <c r="F8" s="17">
        <v>0</v>
      </c>
      <c r="G8" s="13">
        <v>54</v>
      </c>
      <c r="H8" s="13">
        <v>60</v>
      </c>
      <c r="I8" s="14">
        <f t="shared" si="1"/>
        <v>111.11111111111111</v>
      </c>
      <c r="J8" s="13">
        <v>54</v>
      </c>
      <c r="K8" s="121">
        <v>60</v>
      </c>
      <c r="L8" s="14">
        <f t="shared" si="2"/>
        <v>111.11111111111111</v>
      </c>
      <c r="M8" s="13"/>
      <c r="N8" s="13"/>
      <c r="O8" s="122"/>
      <c r="P8" s="13"/>
      <c r="Q8" s="13"/>
      <c r="R8" s="14"/>
      <c r="S8" s="14"/>
      <c r="T8" s="14"/>
      <c r="U8" s="14"/>
      <c r="AH8" s="91"/>
    </row>
    <row r="9" spans="1:34" s="21" customFormat="1" ht="24.75" customHeight="1">
      <c r="A9" s="4">
        <v>4</v>
      </c>
      <c r="B9" s="23" t="s">
        <v>64</v>
      </c>
      <c r="C9" s="13">
        <v>868</v>
      </c>
      <c r="D9" s="13">
        <v>776</v>
      </c>
      <c r="E9" s="14">
        <f t="shared" si="0"/>
        <v>89.40092165898618</v>
      </c>
      <c r="F9" s="13">
        <v>39</v>
      </c>
      <c r="G9" s="13">
        <v>304</v>
      </c>
      <c r="H9" s="13">
        <v>308</v>
      </c>
      <c r="I9" s="14">
        <f t="shared" si="1"/>
        <v>101.3157894736842</v>
      </c>
      <c r="J9" s="13">
        <v>304</v>
      </c>
      <c r="K9" s="121">
        <v>308</v>
      </c>
      <c r="L9" s="14">
        <f t="shared" si="2"/>
        <v>101.3157894736842</v>
      </c>
      <c r="M9" s="13">
        <v>530</v>
      </c>
      <c r="N9" s="13">
        <v>518</v>
      </c>
      <c r="O9" s="14">
        <f>N9*100/M9</f>
        <v>97.73584905660377</v>
      </c>
      <c r="P9" s="13">
        <v>27</v>
      </c>
      <c r="Q9" s="13">
        <v>20</v>
      </c>
      <c r="R9" s="14">
        <f>Q9*100/P9</f>
        <v>74.07407407407408</v>
      </c>
      <c r="S9" s="13">
        <v>30</v>
      </c>
      <c r="T9" s="13">
        <v>25</v>
      </c>
      <c r="U9" s="14">
        <f>T9*100/S9</f>
        <v>83.33333333333333</v>
      </c>
      <c r="AH9" s="91"/>
    </row>
    <row r="10" spans="1:34" s="21" customFormat="1" ht="24.75" customHeight="1">
      <c r="A10" s="4">
        <v>5</v>
      </c>
      <c r="B10" s="23" t="s">
        <v>65</v>
      </c>
      <c r="C10" s="13">
        <v>500</v>
      </c>
      <c r="D10" s="13">
        <v>489</v>
      </c>
      <c r="E10" s="14">
        <f t="shared" si="0"/>
        <v>97.8</v>
      </c>
      <c r="F10" s="17">
        <v>7</v>
      </c>
      <c r="G10" s="13">
        <v>250</v>
      </c>
      <c r="H10" s="13">
        <v>280</v>
      </c>
      <c r="I10" s="14">
        <f t="shared" si="1"/>
        <v>112</v>
      </c>
      <c r="J10" s="13">
        <v>250</v>
      </c>
      <c r="K10" s="121">
        <v>280</v>
      </c>
      <c r="L10" s="14">
        <f t="shared" si="2"/>
        <v>112</v>
      </c>
      <c r="M10" s="13">
        <v>343</v>
      </c>
      <c r="N10" s="13">
        <v>432</v>
      </c>
      <c r="O10" s="14">
        <f>N10*100/M10</f>
        <v>125.94752186588921</v>
      </c>
      <c r="P10" s="13">
        <v>80</v>
      </c>
      <c r="Q10" s="13">
        <v>80</v>
      </c>
      <c r="R10" s="14">
        <f>Q10*100/P10</f>
        <v>100</v>
      </c>
      <c r="S10" s="13">
        <v>50</v>
      </c>
      <c r="T10" s="13">
        <v>22</v>
      </c>
      <c r="U10" s="14">
        <f>T10*100/S10</f>
        <v>44</v>
      </c>
      <c r="AH10" s="91"/>
    </row>
    <row r="11" spans="1:34" s="21" customFormat="1" ht="24.75" customHeight="1">
      <c r="A11" s="4">
        <v>6</v>
      </c>
      <c r="B11" s="39" t="s">
        <v>81</v>
      </c>
      <c r="C11" s="13">
        <v>305</v>
      </c>
      <c r="D11" s="13">
        <v>317</v>
      </c>
      <c r="E11" s="14">
        <f t="shared" si="0"/>
        <v>103.93442622950819</v>
      </c>
      <c r="F11" s="17">
        <v>26</v>
      </c>
      <c r="G11" s="13">
        <v>85</v>
      </c>
      <c r="H11" s="13">
        <v>85</v>
      </c>
      <c r="I11" s="14">
        <f t="shared" si="1"/>
        <v>100</v>
      </c>
      <c r="J11" s="13">
        <v>85</v>
      </c>
      <c r="K11" s="121">
        <v>85</v>
      </c>
      <c r="L11" s="14">
        <f t="shared" si="2"/>
        <v>100</v>
      </c>
      <c r="M11" s="13"/>
      <c r="N11" s="13"/>
      <c r="O11" s="14"/>
      <c r="P11" s="13"/>
      <c r="Q11" s="13"/>
      <c r="R11" s="14"/>
      <c r="S11" s="13"/>
      <c r="T11" s="13"/>
      <c r="U11" s="14"/>
      <c r="AH11" s="91"/>
    </row>
    <row r="12" spans="1:34" s="21" customFormat="1" ht="24.75" customHeight="1">
      <c r="A12" s="4">
        <v>7</v>
      </c>
      <c r="B12" s="23" t="s">
        <v>66</v>
      </c>
      <c r="C12" s="13">
        <v>153</v>
      </c>
      <c r="D12" s="13">
        <v>199</v>
      </c>
      <c r="E12" s="14">
        <f t="shared" si="0"/>
        <v>130.0653594771242</v>
      </c>
      <c r="F12" s="13">
        <v>16</v>
      </c>
      <c r="G12" s="13">
        <v>52</v>
      </c>
      <c r="H12" s="13">
        <v>60</v>
      </c>
      <c r="I12" s="14">
        <f t="shared" si="1"/>
        <v>115.38461538461539</v>
      </c>
      <c r="J12" s="13">
        <v>52</v>
      </c>
      <c r="K12" s="121">
        <v>60</v>
      </c>
      <c r="L12" s="14">
        <f t="shared" si="2"/>
        <v>115.38461538461539</v>
      </c>
      <c r="M12" s="13"/>
      <c r="N12" s="13"/>
      <c r="O12" s="14"/>
      <c r="P12" s="13"/>
      <c r="Q12" s="13"/>
      <c r="R12" s="14"/>
      <c r="S12" s="13"/>
      <c r="T12" s="13"/>
      <c r="U12" s="14"/>
      <c r="AH12" s="91"/>
    </row>
    <row r="13" spans="1:34" s="21" customFormat="1" ht="24.75" customHeight="1">
      <c r="A13" s="4">
        <v>8</v>
      </c>
      <c r="B13" s="33" t="s">
        <v>80</v>
      </c>
      <c r="C13" s="13">
        <v>192</v>
      </c>
      <c r="D13" s="13">
        <v>217</v>
      </c>
      <c r="E13" s="14">
        <f t="shared" si="0"/>
        <v>113.02083333333333</v>
      </c>
      <c r="F13" s="13">
        <v>18</v>
      </c>
      <c r="G13" s="13">
        <v>60</v>
      </c>
      <c r="H13" s="13">
        <v>78</v>
      </c>
      <c r="I13" s="14">
        <f t="shared" si="1"/>
        <v>130</v>
      </c>
      <c r="J13" s="13">
        <v>60</v>
      </c>
      <c r="K13" s="121">
        <v>78</v>
      </c>
      <c r="L13" s="14">
        <f t="shared" si="2"/>
        <v>130</v>
      </c>
      <c r="M13" s="13"/>
      <c r="N13" s="13"/>
      <c r="O13" s="14"/>
      <c r="P13" s="13"/>
      <c r="Q13" s="13"/>
      <c r="R13" s="14"/>
      <c r="S13" s="13"/>
      <c r="T13" s="13"/>
      <c r="U13" s="14"/>
      <c r="AH13" s="91"/>
    </row>
    <row r="14" spans="1:34" s="21" customFormat="1" ht="24.75" customHeight="1">
      <c r="A14" s="4">
        <v>9</v>
      </c>
      <c r="B14" s="23" t="s">
        <v>67</v>
      </c>
      <c r="C14" s="13">
        <v>215</v>
      </c>
      <c r="D14" s="13">
        <v>251</v>
      </c>
      <c r="E14" s="14">
        <f t="shared" si="0"/>
        <v>116.74418604651163</v>
      </c>
      <c r="F14" s="13">
        <v>16</v>
      </c>
      <c r="G14" s="13">
        <v>100</v>
      </c>
      <c r="H14" s="13">
        <v>100</v>
      </c>
      <c r="I14" s="14">
        <f t="shared" si="1"/>
        <v>100</v>
      </c>
      <c r="J14" s="13">
        <v>100</v>
      </c>
      <c r="K14" s="121">
        <v>100</v>
      </c>
      <c r="L14" s="14">
        <f t="shared" si="2"/>
        <v>100</v>
      </c>
      <c r="M14" s="13"/>
      <c r="N14" s="13"/>
      <c r="O14" s="14"/>
      <c r="P14" s="13"/>
      <c r="Q14" s="13"/>
      <c r="R14" s="14"/>
      <c r="S14" s="13"/>
      <c r="T14" s="13"/>
      <c r="U14" s="14"/>
      <c r="AH14" s="91"/>
    </row>
    <row r="15" spans="1:34" s="21" customFormat="1" ht="24.75" customHeight="1">
      <c r="A15" s="4">
        <v>10</v>
      </c>
      <c r="B15" s="23" t="s">
        <v>68</v>
      </c>
      <c r="C15" s="13">
        <v>85</v>
      </c>
      <c r="D15" s="13">
        <v>99</v>
      </c>
      <c r="E15" s="14">
        <f t="shared" si="0"/>
        <v>116.47058823529412</v>
      </c>
      <c r="F15" s="13">
        <v>7</v>
      </c>
      <c r="G15" s="13">
        <v>40</v>
      </c>
      <c r="H15" s="13">
        <v>42</v>
      </c>
      <c r="I15" s="14">
        <f t="shared" si="1"/>
        <v>105</v>
      </c>
      <c r="J15" s="13">
        <v>42</v>
      </c>
      <c r="K15" s="121">
        <v>42</v>
      </c>
      <c r="L15" s="14">
        <f t="shared" si="2"/>
        <v>100</v>
      </c>
      <c r="M15" s="13"/>
      <c r="N15" s="13"/>
      <c r="O15" s="14"/>
      <c r="P15" s="13"/>
      <c r="Q15" s="13"/>
      <c r="R15" s="14"/>
      <c r="S15" s="13"/>
      <c r="T15" s="13"/>
      <c r="U15" s="14"/>
      <c r="AH15" s="91"/>
    </row>
    <row r="16" spans="1:34" s="21" customFormat="1" ht="24.75" customHeight="1">
      <c r="A16" s="4">
        <v>11</v>
      </c>
      <c r="B16" s="23" t="s">
        <v>69</v>
      </c>
      <c r="C16" s="13"/>
      <c r="D16" s="13"/>
      <c r="E16" s="14"/>
      <c r="F16" s="13"/>
      <c r="G16" s="13"/>
      <c r="H16" s="13"/>
      <c r="I16" s="14"/>
      <c r="J16" s="13"/>
      <c r="K16" s="121"/>
      <c r="L16" s="14"/>
      <c r="M16" s="13">
        <v>7681</v>
      </c>
      <c r="N16" s="13">
        <v>9207</v>
      </c>
      <c r="O16" s="14">
        <f>N16*100/M16</f>
        <v>119.86720479104284</v>
      </c>
      <c r="P16" s="13">
        <v>220</v>
      </c>
      <c r="Q16" s="13">
        <v>240</v>
      </c>
      <c r="R16" s="14">
        <f>Q16*100/P16</f>
        <v>109.0909090909091</v>
      </c>
      <c r="S16" s="13">
        <v>445</v>
      </c>
      <c r="T16" s="13">
        <v>508</v>
      </c>
      <c r="U16" s="14">
        <f>T16*100/S16</f>
        <v>114.15730337078652</v>
      </c>
      <c r="AH16" s="91"/>
    </row>
    <row r="17" spans="1:34" s="21" customFormat="1" ht="24.75" customHeight="1">
      <c r="A17" s="4">
        <v>12</v>
      </c>
      <c r="B17" s="33" t="s">
        <v>78</v>
      </c>
      <c r="C17" s="13"/>
      <c r="D17" s="13"/>
      <c r="E17" s="14"/>
      <c r="F17" s="13"/>
      <c r="G17" s="13"/>
      <c r="H17" s="13"/>
      <c r="I17" s="14"/>
      <c r="J17" s="13"/>
      <c r="K17" s="13"/>
      <c r="L17" s="14"/>
      <c r="M17" s="13"/>
      <c r="N17" s="13"/>
      <c r="O17" s="14"/>
      <c r="P17" s="13"/>
      <c r="Q17" s="13"/>
      <c r="R17" s="14"/>
      <c r="S17" s="13"/>
      <c r="T17" s="13"/>
      <c r="U17" s="14"/>
      <c r="AH17" s="91"/>
    </row>
    <row r="18" spans="1:34" s="21" customFormat="1" ht="24.75" customHeight="1">
      <c r="A18" s="4">
        <v>13</v>
      </c>
      <c r="B18" s="33" t="s">
        <v>91</v>
      </c>
      <c r="C18" s="13"/>
      <c r="D18" s="13"/>
      <c r="E18" s="14"/>
      <c r="F18" s="13"/>
      <c r="G18" s="13"/>
      <c r="H18" s="13"/>
      <c r="I18" s="14"/>
      <c r="J18" s="13"/>
      <c r="K18" s="13"/>
      <c r="L18" s="14"/>
      <c r="M18" s="13"/>
      <c r="N18" s="13">
        <v>105</v>
      </c>
      <c r="O18" s="14"/>
      <c r="P18" s="13"/>
      <c r="Q18" s="13">
        <v>10</v>
      </c>
      <c r="R18" s="14"/>
      <c r="S18" s="13"/>
      <c r="T18" s="13">
        <v>2</v>
      </c>
      <c r="U18" s="14"/>
      <c r="AH18" s="91"/>
    </row>
    <row r="19" spans="1:21" s="21" customFormat="1" ht="21.75" customHeight="1">
      <c r="A19" s="23"/>
      <c r="B19" s="23" t="s">
        <v>11</v>
      </c>
      <c r="C19" s="13">
        <f>SUM(C6:C16)</f>
        <v>2984</v>
      </c>
      <c r="D19" s="13">
        <f>SUM(D6:D16)</f>
        <v>3073</v>
      </c>
      <c r="E19" s="14">
        <f>D19*100/C19</f>
        <v>102.98257372654156</v>
      </c>
      <c r="F19" s="13">
        <f>SUM(F6:F16)</f>
        <v>150</v>
      </c>
      <c r="G19" s="13">
        <f>SUM(G6:G16)</f>
        <v>1230</v>
      </c>
      <c r="H19" s="13">
        <f>SUM(H6:H16)</f>
        <v>1298</v>
      </c>
      <c r="I19" s="14">
        <f>H19*100/G19</f>
        <v>105.52845528455285</v>
      </c>
      <c r="J19" s="13">
        <v>1232</v>
      </c>
      <c r="K19" s="14">
        <f>SUM(K6:K18)</f>
        <v>1298</v>
      </c>
      <c r="L19" s="14">
        <f t="shared" si="2"/>
        <v>105.35714285714286</v>
      </c>
      <c r="M19" s="13">
        <f>SUM(M9:M16)</f>
        <v>8554</v>
      </c>
      <c r="N19" s="13">
        <f>SUM(N6:N18)</f>
        <v>10262</v>
      </c>
      <c r="O19" s="14">
        <f>N19*100/M19</f>
        <v>119.96726677577742</v>
      </c>
      <c r="P19" s="13">
        <f>SUM(P6:P16)</f>
        <v>327</v>
      </c>
      <c r="Q19" s="13">
        <f>SUM(Q6:Q18)</f>
        <v>350</v>
      </c>
      <c r="R19" s="14">
        <f>Q19*100/P19</f>
        <v>107.03363914373088</v>
      </c>
      <c r="S19" s="13">
        <f>SUM(S6:S16)</f>
        <v>525</v>
      </c>
      <c r="T19" s="14">
        <f>SUM(T6:T18)</f>
        <v>557</v>
      </c>
      <c r="U19" s="14">
        <f>T19*100/S19</f>
        <v>106.0952380952381</v>
      </c>
    </row>
  </sheetData>
  <mergeCells count="18"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J3:L3"/>
    <mergeCell ref="J4:J5"/>
    <mergeCell ref="K4:K5"/>
    <mergeCell ref="L4:L5"/>
    <mergeCell ref="M3:U3"/>
    <mergeCell ref="O4:O5"/>
    <mergeCell ref="N4:N5"/>
    <mergeCell ref="R4:R5"/>
    <mergeCell ref="U4:U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view="pageBreakPreview" zoomScale="75" zoomScaleNormal="75" zoomScaleSheetLayoutView="75" workbookViewId="0" topLeftCell="A1">
      <selection activeCell="C4" sqref="C4:E5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106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60" t="s">
        <v>59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2.75">
      <c r="A4" s="142" t="s">
        <v>2</v>
      </c>
      <c r="B4" s="124" t="s">
        <v>3</v>
      </c>
      <c r="C4" s="128" t="s">
        <v>87</v>
      </c>
      <c r="D4" s="169"/>
      <c r="E4" s="166"/>
      <c r="F4" s="161" t="s">
        <v>70</v>
      </c>
      <c r="G4" s="162"/>
      <c r="H4" s="161" t="s">
        <v>86</v>
      </c>
      <c r="I4" s="165"/>
      <c r="J4" s="166"/>
      <c r="K4" s="161" t="s">
        <v>84</v>
      </c>
      <c r="L4" s="162"/>
      <c r="M4" s="161" t="s">
        <v>85</v>
      </c>
      <c r="N4" s="162"/>
    </row>
    <row r="5" spans="1:14" ht="31.5" customHeight="1">
      <c r="A5" s="159"/>
      <c r="B5" s="125"/>
      <c r="C5" s="170"/>
      <c r="D5" s="171"/>
      <c r="E5" s="172"/>
      <c r="F5" s="163"/>
      <c r="G5" s="164"/>
      <c r="H5" s="163"/>
      <c r="I5" s="167"/>
      <c r="J5" s="168"/>
      <c r="K5" s="163"/>
      <c r="L5" s="164"/>
      <c r="M5" s="163"/>
      <c r="N5" s="164"/>
    </row>
    <row r="6" spans="1:14" ht="30">
      <c r="A6" s="123"/>
      <c r="B6" s="126"/>
      <c r="C6" s="4">
        <v>2010</v>
      </c>
      <c r="D6" s="20">
        <v>2011</v>
      </c>
      <c r="E6" s="101" t="s">
        <v>98</v>
      </c>
      <c r="F6" s="4">
        <v>2010</v>
      </c>
      <c r="G6" s="20">
        <v>2011</v>
      </c>
      <c r="H6" s="4">
        <v>2010</v>
      </c>
      <c r="I6" s="20">
        <v>2011</v>
      </c>
      <c r="J6" s="101" t="s">
        <v>98</v>
      </c>
      <c r="K6" s="23" t="s">
        <v>1</v>
      </c>
      <c r="L6" s="25" t="s">
        <v>35</v>
      </c>
      <c r="M6" s="39" t="s">
        <v>47</v>
      </c>
      <c r="N6" s="52" t="s">
        <v>48</v>
      </c>
    </row>
    <row r="7" spans="1:14" ht="16.5" customHeight="1">
      <c r="A7" s="32">
        <v>1</v>
      </c>
      <c r="B7" s="23" t="s">
        <v>64</v>
      </c>
      <c r="C7" s="32">
        <v>222</v>
      </c>
      <c r="D7" s="32">
        <v>254</v>
      </c>
      <c r="E7" s="32">
        <f>D7-C7</f>
        <v>32</v>
      </c>
      <c r="F7" s="32">
        <v>67</v>
      </c>
      <c r="G7" s="32">
        <v>146</v>
      </c>
      <c r="H7" s="78">
        <f>F7*100/27</f>
        <v>248.14814814814815</v>
      </c>
      <c r="I7" s="78">
        <f>G7*100/20</f>
        <v>730</v>
      </c>
      <c r="J7" s="77">
        <f>I7-H7</f>
        <v>481.85185185185185</v>
      </c>
      <c r="K7" s="32">
        <v>32</v>
      </c>
      <c r="L7" s="32">
        <v>17</v>
      </c>
      <c r="M7" s="99">
        <f>G7/L7</f>
        <v>8.588235294117647</v>
      </c>
      <c r="N7" s="99">
        <f>(D7-G7)/(K7-L7)</f>
        <v>7.2</v>
      </c>
    </row>
    <row r="8" spans="1:15" ht="16.5" customHeight="1">
      <c r="A8" s="32">
        <v>2</v>
      </c>
      <c r="B8" s="32" t="s">
        <v>65</v>
      </c>
      <c r="C8" s="32">
        <v>264</v>
      </c>
      <c r="D8" s="32">
        <v>144</v>
      </c>
      <c r="E8" s="32">
        <f>D8-C8</f>
        <v>-120</v>
      </c>
      <c r="F8" s="32">
        <v>225</v>
      </c>
      <c r="G8" s="32">
        <v>132</v>
      </c>
      <c r="H8" s="78">
        <f>F8*100/80</f>
        <v>281.25</v>
      </c>
      <c r="I8" s="78">
        <f>G8*100/80</f>
        <v>165</v>
      </c>
      <c r="J8" s="77">
        <f>I8-H8</f>
        <v>-116.25</v>
      </c>
      <c r="K8" s="33">
        <v>21</v>
      </c>
      <c r="L8" s="33">
        <v>19</v>
      </c>
      <c r="M8" s="99">
        <f>G8/L8</f>
        <v>6.947368421052632</v>
      </c>
      <c r="N8" s="99">
        <f>(D8-G8)/(K8-L8)</f>
        <v>6</v>
      </c>
      <c r="O8" s="16"/>
    </row>
    <row r="9" spans="1:14" ht="16.5" customHeight="1">
      <c r="A9" s="32">
        <v>3</v>
      </c>
      <c r="B9" s="33" t="s">
        <v>69</v>
      </c>
      <c r="C9" s="32">
        <v>2541</v>
      </c>
      <c r="D9" s="32">
        <v>3707</v>
      </c>
      <c r="E9" s="32">
        <f>D9-C9</f>
        <v>1166</v>
      </c>
      <c r="F9" s="32">
        <v>1664</v>
      </c>
      <c r="G9" s="32">
        <v>2292</v>
      </c>
      <c r="H9" s="78">
        <f>F9*100/200</f>
        <v>832</v>
      </c>
      <c r="I9" s="78">
        <f>G9*100/226</f>
        <v>1014.1592920353983</v>
      </c>
      <c r="J9" s="77">
        <f>I9-H9</f>
        <v>182.15929203539827</v>
      </c>
      <c r="K9" s="33">
        <v>431</v>
      </c>
      <c r="L9" s="33">
        <v>244</v>
      </c>
      <c r="M9" s="99">
        <f>G9/L9</f>
        <v>9.39344262295082</v>
      </c>
      <c r="N9" s="99">
        <f>(D9-G9)/(K9-L9)</f>
        <v>7.566844919786096</v>
      </c>
    </row>
    <row r="10" spans="1:14" ht="16.5" customHeight="1">
      <c r="A10" s="32">
        <v>4</v>
      </c>
      <c r="B10" s="33" t="s">
        <v>91</v>
      </c>
      <c r="C10" s="32"/>
      <c r="D10" s="32">
        <v>15</v>
      </c>
      <c r="E10" s="32"/>
      <c r="F10" s="32"/>
      <c r="G10" s="32">
        <v>15</v>
      </c>
      <c r="H10" s="78"/>
      <c r="I10" s="78">
        <f>G10*100/11</f>
        <v>136.36363636363637</v>
      </c>
      <c r="J10" s="77"/>
      <c r="K10" s="33">
        <v>2</v>
      </c>
      <c r="L10" s="33">
        <v>2</v>
      </c>
      <c r="M10" s="99">
        <f>G10/L10</f>
        <v>7.5</v>
      </c>
      <c r="N10" s="99"/>
    </row>
    <row r="11" spans="1:14" ht="15" customHeight="1">
      <c r="A11" s="21"/>
      <c r="B11" s="32" t="s">
        <v>11</v>
      </c>
      <c r="C11" s="32">
        <f>SUM(C7:C9)</f>
        <v>3027</v>
      </c>
      <c r="D11" s="32">
        <f>SUM(D7:D10)</f>
        <v>4120</v>
      </c>
      <c r="E11" s="32">
        <f>D11-C11</f>
        <v>1093</v>
      </c>
      <c r="F11" s="32">
        <f>SUM(F7:F9)</f>
        <v>1956</v>
      </c>
      <c r="G11" s="32">
        <f>SUM(G7:G10)</f>
        <v>2585</v>
      </c>
      <c r="H11" s="78">
        <f>F11*100/307</f>
        <v>637.1335504885993</v>
      </c>
      <c r="I11" s="78">
        <f>G11*100/337</f>
        <v>767.0623145400593</v>
      </c>
      <c r="J11" s="77">
        <f>I11-H11</f>
        <v>129.92876405146</v>
      </c>
      <c r="K11" s="77">
        <f>SUM(K7:K10)</f>
        <v>486</v>
      </c>
      <c r="L11" s="77">
        <f>SUM(L7:L10)</f>
        <v>282</v>
      </c>
      <c r="M11" s="99">
        <f>G11/L11</f>
        <v>9.166666666666666</v>
      </c>
      <c r="N11" s="99">
        <f>(D11-G11)/(K11-L11)</f>
        <v>7.5245098039215685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1"/>
      <c r="B1" s="21"/>
      <c r="C1" s="1" t="s">
        <v>107</v>
      </c>
      <c r="D1" s="1"/>
      <c r="E1" s="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42" t="s">
        <v>2</v>
      </c>
      <c r="B2" s="142" t="s">
        <v>3</v>
      </c>
      <c r="C2" s="25" t="s">
        <v>37</v>
      </c>
      <c r="D2" s="26"/>
      <c r="E2" s="28"/>
      <c r="F2" s="50" t="s">
        <v>38</v>
      </c>
      <c r="G2" s="26"/>
      <c r="H2" s="28"/>
      <c r="I2" s="25" t="s">
        <v>39</v>
      </c>
      <c r="J2" s="26"/>
      <c r="K2" s="28"/>
      <c r="L2" s="25" t="s">
        <v>40</v>
      </c>
      <c r="M2" s="26"/>
      <c r="N2" s="28"/>
    </row>
    <row r="3" spans="1:14" ht="15">
      <c r="A3" s="159"/>
      <c r="B3" s="159"/>
      <c r="C3" s="19">
        <v>2010</v>
      </c>
      <c r="D3" s="20">
        <v>2011</v>
      </c>
      <c r="E3" s="10" t="s">
        <v>36</v>
      </c>
      <c r="F3" s="19">
        <v>2010</v>
      </c>
      <c r="G3" s="20">
        <v>2011</v>
      </c>
      <c r="H3" s="10" t="s">
        <v>36</v>
      </c>
      <c r="I3" s="19">
        <v>2010</v>
      </c>
      <c r="J3" s="20">
        <v>2011</v>
      </c>
      <c r="K3" s="10" t="s">
        <v>36</v>
      </c>
      <c r="L3" s="19">
        <v>2010</v>
      </c>
      <c r="M3" s="20">
        <v>2011</v>
      </c>
      <c r="N3" s="10" t="s">
        <v>36</v>
      </c>
    </row>
    <row r="4" spans="1:14" ht="15">
      <c r="A4" s="123"/>
      <c r="B4" s="123"/>
      <c r="C4" s="30"/>
      <c r="D4" s="30"/>
      <c r="E4" s="46" t="s">
        <v>97</v>
      </c>
      <c r="F4" s="30"/>
      <c r="G4" s="30"/>
      <c r="H4" s="46" t="s">
        <v>97</v>
      </c>
      <c r="I4" s="30"/>
      <c r="J4" s="30"/>
      <c r="K4" s="46" t="s">
        <v>97</v>
      </c>
      <c r="L4" s="30"/>
      <c r="M4" s="30"/>
      <c r="N4" s="46" t="s">
        <v>97</v>
      </c>
    </row>
    <row r="5" spans="1:14" ht="16.5" customHeight="1">
      <c r="A5" s="32">
        <v>1</v>
      </c>
      <c r="B5" s="32" t="s">
        <v>61</v>
      </c>
      <c r="C5" s="13">
        <v>86</v>
      </c>
      <c r="D5" s="13">
        <v>75</v>
      </c>
      <c r="E5" s="17">
        <f aca="true" t="shared" si="0" ref="E5:E14">D5-C5</f>
        <v>-11</v>
      </c>
      <c r="F5" s="13">
        <v>20</v>
      </c>
      <c r="G5" s="13">
        <v>6</v>
      </c>
      <c r="H5" s="17">
        <f aca="true" t="shared" si="1" ref="H5:H14">G5-F5</f>
        <v>-14</v>
      </c>
      <c r="I5" s="13"/>
      <c r="J5" s="13"/>
      <c r="K5" s="13"/>
      <c r="L5" s="13"/>
      <c r="M5" s="13"/>
      <c r="N5" s="13"/>
    </row>
    <row r="6" spans="1:14" ht="16.5" customHeight="1">
      <c r="A6" s="32">
        <v>2</v>
      </c>
      <c r="B6" s="32" t="s">
        <v>62</v>
      </c>
      <c r="C6" s="13">
        <v>76</v>
      </c>
      <c r="D6" s="13">
        <v>47</v>
      </c>
      <c r="E6" s="17">
        <f t="shared" si="0"/>
        <v>-29</v>
      </c>
      <c r="F6" s="13"/>
      <c r="G6" s="13">
        <v>9</v>
      </c>
      <c r="H6" s="17">
        <f t="shared" si="1"/>
        <v>9</v>
      </c>
      <c r="I6" s="13"/>
      <c r="J6" s="13"/>
      <c r="K6" s="13"/>
      <c r="L6" s="13"/>
      <c r="M6" s="13"/>
      <c r="N6" s="13"/>
    </row>
    <row r="7" spans="1:14" ht="16.5" customHeight="1">
      <c r="A7" s="32">
        <v>3</v>
      </c>
      <c r="B7" s="32" t="s">
        <v>63</v>
      </c>
      <c r="C7" s="13">
        <v>20</v>
      </c>
      <c r="D7" s="13">
        <v>23</v>
      </c>
      <c r="E7" s="17">
        <f t="shared" si="0"/>
        <v>3</v>
      </c>
      <c r="F7" s="13">
        <v>2</v>
      </c>
      <c r="G7" s="13">
        <v>2</v>
      </c>
      <c r="H7" s="17">
        <f t="shared" si="1"/>
        <v>0</v>
      </c>
      <c r="I7" s="13"/>
      <c r="J7" s="13"/>
      <c r="K7" s="13"/>
      <c r="L7" s="13"/>
      <c r="M7" s="13"/>
      <c r="N7" s="13"/>
    </row>
    <row r="8" spans="1:14" ht="16.5" customHeight="1">
      <c r="A8" s="32">
        <v>4</v>
      </c>
      <c r="B8" s="23" t="s">
        <v>64</v>
      </c>
      <c r="C8" s="13">
        <v>140</v>
      </c>
      <c r="D8" s="13">
        <v>110</v>
      </c>
      <c r="E8" s="17">
        <f t="shared" si="0"/>
        <v>-30</v>
      </c>
      <c r="F8" s="13">
        <v>14</v>
      </c>
      <c r="G8" s="13"/>
      <c r="H8" s="17">
        <f t="shared" si="1"/>
        <v>-14</v>
      </c>
      <c r="I8" s="13"/>
      <c r="J8" s="13">
        <v>43</v>
      </c>
      <c r="K8" s="13">
        <f>J8-I8</f>
        <v>43</v>
      </c>
      <c r="L8" s="13"/>
      <c r="M8" s="13">
        <v>18</v>
      </c>
      <c r="N8" s="13">
        <f>M8-L8</f>
        <v>18</v>
      </c>
    </row>
    <row r="9" spans="1:14" ht="16.5" customHeight="1">
      <c r="A9" s="32">
        <v>5</v>
      </c>
      <c r="B9" s="32" t="s">
        <v>65</v>
      </c>
      <c r="C9" s="13">
        <v>153</v>
      </c>
      <c r="D9" s="13">
        <v>90</v>
      </c>
      <c r="E9" s="17">
        <f t="shared" si="0"/>
        <v>-63</v>
      </c>
      <c r="F9" s="13">
        <v>5</v>
      </c>
      <c r="G9" s="13"/>
      <c r="H9" s="17">
        <f t="shared" si="1"/>
        <v>-5</v>
      </c>
      <c r="I9" s="13">
        <v>111</v>
      </c>
      <c r="J9" s="13">
        <v>53</v>
      </c>
      <c r="K9" s="13">
        <f>J9-I9</f>
        <v>-58</v>
      </c>
      <c r="L9" s="13">
        <v>8</v>
      </c>
      <c r="M9" s="13">
        <v>3</v>
      </c>
      <c r="N9" s="13">
        <f>M9-L9</f>
        <v>-5</v>
      </c>
    </row>
    <row r="10" spans="1:14" ht="16.5" customHeight="1">
      <c r="A10" s="32">
        <v>6</v>
      </c>
      <c r="B10" s="33" t="s">
        <v>81</v>
      </c>
      <c r="C10" s="13">
        <v>45</v>
      </c>
      <c r="D10" s="13">
        <v>21</v>
      </c>
      <c r="E10" s="17">
        <f t="shared" si="0"/>
        <v>-24</v>
      </c>
      <c r="F10" s="13">
        <v>6</v>
      </c>
      <c r="G10" s="13"/>
      <c r="H10" s="17">
        <f t="shared" si="1"/>
        <v>-6</v>
      </c>
      <c r="I10" s="13"/>
      <c r="J10" s="13"/>
      <c r="K10" s="13"/>
      <c r="L10" s="13"/>
      <c r="M10" s="13"/>
      <c r="N10" s="13"/>
    </row>
    <row r="11" spans="1:14" ht="16.5" customHeight="1">
      <c r="A11" s="32">
        <v>7</v>
      </c>
      <c r="B11" s="33" t="s">
        <v>66</v>
      </c>
      <c r="C11" s="13">
        <v>20</v>
      </c>
      <c r="D11" s="13">
        <v>32</v>
      </c>
      <c r="E11" s="17">
        <f t="shared" si="0"/>
        <v>12</v>
      </c>
      <c r="F11" s="13"/>
      <c r="G11" s="13">
        <v>2</v>
      </c>
      <c r="H11" s="17">
        <f t="shared" si="1"/>
        <v>2</v>
      </c>
      <c r="I11" s="13"/>
      <c r="J11" s="13"/>
      <c r="K11" s="13"/>
      <c r="L11" s="13"/>
      <c r="M11" s="13"/>
      <c r="N11" s="13"/>
    </row>
    <row r="12" spans="1:14" ht="16.5" customHeight="1">
      <c r="A12" s="32">
        <v>8</v>
      </c>
      <c r="B12" s="33" t="s">
        <v>80</v>
      </c>
      <c r="C12" s="13">
        <v>76</v>
      </c>
      <c r="D12" s="13">
        <v>44</v>
      </c>
      <c r="E12" s="17">
        <f t="shared" si="0"/>
        <v>-32</v>
      </c>
      <c r="F12" s="13">
        <v>19</v>
      </c>
      <c r="G12" s="13"/>
      <c r="H12" s="17">
        <f t="shared" si="1"/>
        <v>-19</v>
      </c>
      <c r="I12" s="13"/>
      <c r="J12" s="13"/>
      <c r="K12" s="13"/>
      <c r="L12" s="13"/>
      <c r="M12" s="13"/>
      <c r="N12" s="13"/>
    </row>
    <row r="13" spans="1:14" ht="16.5" customHeight="1">
      <c r="A13" s="32">
        <v>9</v>
      </c>
      <c r="B13" s="33" t="s">
        <v>67</v>
      </c>
      <c r="C13" s="13">
        <v>42</v>
      </c>
      <c r="D13" s="13">
        <v>40</v>
      </c>
      <c r="E13" s="17">
        <f t="shared" si="0"/>
        <v>-2</v>
      </c>
      <c r="F13" s="13">
        <v>18</v>
      </c>
      <c r="G13" s="13">
        <v>10</v>
      </c>
      <c r="H13" s="17">
        <f t="shared" si="1"/>
        <v>-8</v>
      </c>
      <c r="I13" s="13"/>
      <c r="J13" s="13"/>
      <c r="K13" s="13"/>
      <c r="L13" s="13"/>
      <c r="M13" s="13"/>
      <c r="N13" s="13"/>
    </row>
    <row r="14" spans="1:14" ht="16.5" customHeight="1">
      <c r="A14" s="32">
        <v>10</v>
      </c>
      <c r="B14" s="33" t="s">
        <v>68</v>
      </c>
      <c r="C14" s="13">
        <v>30</v>
      </c>
      <c r="D14" s="13">
        <v>23</v>
      </c>
      <c r="E14" s="17">
        <f t="shared" si="0"/>
        <v>-7</v>
      </c>
      <c r="F14" s="13"/>
      <c r="G14" s="13"/>
      <c r="H14" s="17">
        <f t="shared" si="1"/>
        <v>0</v>
      </c>
      <c r="I14" s="17"/>
      <c r="J14" s="17"/>
      <c r="K14" s="17"/>
      <c r="L14" s="17"/>
      <c r="M14" s="17"/>
      <c r="N14" s="17"/>
    </row>
    <row r="15" spans="1:14" ht="16.5" customHeight="1">
      <c r="A15" s="32">
        <v>11</v>
      </c>
      <c r="B15" s="33" t="s">
        <v>69</v>
      </c>
      <c r="C15" s="13"/>
      <c r="D15" s="17"/>
      <c r="E15" s="17"/>
      <c r="F15" s="17"/>
      <c r="G15" s="17"/>
      <c r="H15" s="17"/>
      <c r="I15" s="17">
        <v>710</v>
      </c>
      <c r="J15" s="17">
        <v>879</v>
      </c>
      <c r="K15" s="17">
        <f>J15-I15</f>
        <v>169</v>
      </c>
      <c r="L15" s="17">
        <v>340</v>
      </c>
      <c r="M15" s="17">
        <v>407</v>
      </c>
      <c r="N15" s="17">
        <f>M15-L15</f>
        <v>67</v>
      </c>
    </row>
    <row r="16" spans="1:14" ht="16.5" customHeight="1">
      <c r="A16" s="32">
        <v>12</v>
      </c>
      <c r="B16" s="33" t="s">
        <v>91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1" customHeight="1">
      <c r="A17" s="173" t="s">
        <v>11</v>
      </c>
      <c r="B17" s="174"/>
      <c r="C17" s="13">
        <f>SUM(C5:C14)</f>
        <v>688</v>
      </c>
      <c r="D17" s="13">
        <f>SUM(D5:D16)</f>
        <v>505</v>
      </c>
      <c r="E17" s="13">
        <f>D17-C17</f>
        <v>-183</v>
      </c>
      <c r="F17" s="13">
        <f>SUM(F5:F15)</f>
        <v>84</v>
      </c>
      <c r="G17" s="13">
        <f>SUM(G5:G16)</f>
        <v>29</v>
      </c>
      <c r="H17" s="13">
        <f>G17-F17</f>
        <v>-55</v>
      </c>
      <c r="I17" s="13">
        <f>SUM(I5:I15)</f>
        <v>821</v>
      </c>
      <c r="J17" s="13">
        <f>SUM(J5:J16)</f>
        <v>975</v>
      </c>
      <c r="K17" s="13">
        <f>J17-I17</f>
        <v>154</v>
      </c>
      <c r="L17" s="13">
        <f>SUM(L8:L15)</f>
        <v>348</v>
      </c>
      <c r="M17" s="13">
        <f>SUM(M5:M16)</f>
        <v>428</v>
      </c>
      <c r="N17" s="13">
        <f>M17-L17</f>
        <v>80</v>
      </c>
    </row>
  </sheetData>
  <mergeCells count="3">
    <mergeCell ref="B2:B4"/>
    <mergeCell ref="A2:A4"/>
    <mergeCell ref="A17:B17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D14" sqref="D14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>
      <c r="A2" s="160" t="s">
        <v>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27" t="s">
        <v>2</v>
      </c>
      <c r="B4" s="127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77"/>
      <c r="B5" s="177"/>
      <c r="C5" s="19">
        <v>2010</v>
      </c>
      <c r="D5" s="20">
        <v>2011</v>
      </c>
      <c r="E5" s="20" t="s">
        <v>94</v>
      </c>
      <c r="F5" s="19">
        <v>2010</v>
      </c>
      <c r="G5" s="20">
        <v>2011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77"/>
      <c r="B6" s="177"/>
      <c r="C6" s="41"/>
      <c r="D6" s="12"/>
      <c r="E6" s="12" t="s">
        <v>95</v>
      </c>
      <c r="F6" s="30"/>
      <c r="G6" s="29"/>
      <c r="H6" s="30" t="s">
        <v>96</v>
      </c>
      <c r="I6" s="19">
        <v>2010</v>
      </c>
      <c r="J6" s="20">
        <v>2011</v>
      </c>
      <c r="K6" s="30" t="s">
        <v>96</v>
      </c>
      <c r="L6" s="19">
        <v>2010</v>
      </c>
      <c r="M6" s="20">
        <v>2011</v>
      </c>
      <c r="N6" s="30" t="s">
        <v>96</v>
      </c>
    </row>
    <row r="7" spans="1:14" ht="16.5" customHeight="1">
      <c r="A7" s="32">
        <v>1</v>
      </c>
      <c r="B7" s="32" t="s">
        <v>61</v>
      </c>
      <c r="C7" s="37">
        <v>90</v>
      </c>
      <c r="D7" s="37">
        <v>85</v>
      </c>
      <c r="E7" s="37">
        <f aca="true" t="shared" si="0" ref="E7:E17">D7*100/C7</f>
        <v>94.44444444444444</v>
      </c>
      <c r="F7" s="37">
        <v>90</v>
      </c>
      <c r="G7" s="37">
        <v>73</v>
      </c>
      <c r="H7" s="37">
        <f aca="true" t="shared" si="1" ref="H7:H17">G7-F7</f>
        <v>-17</v>
      </c>
      <c r="I7" s="37">
        <f>F7*100/180</f>
        <v>50</v>
      </c>
      <c r="J7" s="37">
        <f>G7*100/180</f>
        <v>40.55555555555556</v>
      </c>
      <c r="K7" s="37">
        <f aca="true" t="shared" si="2" ref="K7:K17">J7-I7</f>
        <v>-9.444444444444443</v>
      </c>
      <c r="L7" s="37">
        <f>(C7-F7)*100/180</f>
        <v>0</v>
      </c>
      <c r="M7" s="37">
        <f>(D7-G7)*100/180</f>
        <v>6.666666666666667</v>
      </c>
      <c r="N7" s="37">
        <f>M7-L7</f>
        <v>6.666666666666667</v>
      </c>
    </row>
    <row r="8" spans="1:14" ht="16.5" customHeight="1">
      <c r="A8" s="32">
        <v>2</v>
      </c>
      <c r="B8" s="32" t="s">
        <v>62</v>
      </c>
      <c r="C8" s="37">
        <v>48</v>
      </c>
      <c r="D8" s="37">
        <v>73</v>
      </c>
      <c r="E8" s="37">
        <f t="shared" si="0"/>
        <v>152.08333333333334</v>
      </c>
      <c r="F8" s="37">
        <v>47</v>
      </c>
      <c r="G8" s="37">
        <v>64</v>
      </c>
      <c r="H8" s="37">
        <f t="shared" si="1"/>
        <v>17</v>
      </c>
      <c r="I8" s="37">
        <f>F8*100/105</f>
        <v>44.76190476190476</v>
      </c>
      <c r="J8" s="37">
        <f>G8*100/105</f>
        <v>60.95238095238095</v>
      </c>
      <c r="K8" s="37">
        <f>J8-I8</f>
        <v>16.19047619047619</v>
      </c>
      <c r="L8" s="37">
        <f>(C8-F8)*100/105</f>
        <v>0.9523809523809523</v>
      </c>
      <c r="M8" s="37">
        <f>(D8-G8)*100/105</f>
        <v>8.571428571428571</v>
      </c>
      <c r="N8" s="37">
        <f>M8-L8</f>
        <v>7.619047619047619</v>
      </c>
    </row>
    <row r="9" spans="1:14" ht="16.5" customHeight="1">
      <c r="A9" s="32">
        <v>3</v>
      </c>
      <c r="B9" s="32" t="s">
        <v>63</v>
      </c>
      <c r="C9" s="37">
        <v>22</v>
      </c>
      <c r="D9" s="37">
        <v>28</v>
      </c>
      <c r="E9" s="37">
        <f t="shared" si="0"/>
        <v>127.27272727272727</v>
      </c>
      <c r="F9" s="37">
        <v>22</v>
      </c>
      <c r="G9" s="37">
        <v>28</v>
      </c>
      <c r="H9" s="37">
        <f t="shared" si="1"/>
        <v>6</v>
      </c>
      <c r="I9" s="37">
        <f>F9*100/54</f>
        <v>40.74074074074074</v>
      </c>
      <c r="J9" s="37">
        <f>G9*100/60</f>
        <v>46.666666666666664</v>
      </c>
      <c r="K9" s="37">
        <f>J9-I9</f>
        <v>5.925925925925924</v>
      </c>
      <c r="L9" s="37">
        <f>(C9-F9)*100/54</f>
        <v>0</v>
      </c>
      <c r="M9" s="37">
        <f>(D9-G9)*100/60</f>
        <v>0</v>
      </c>
      <c r="N9" s="37">
        <f>M9-L9</f>
        <v>0</v>
      </c>
    </row>
    <row r="10" spans="1:14" ht="16.5" customHeight="1">
      <c r="A10" s="32">
        <v>4</v>
      </c>
      <c r="B10" s="23" t="s">
        <v>64</v>
      </c>
      <c r="C10" s="37">
        <v>49</v>
      </c>
      <c r="D10" s="37">
        <v>78</v>
      </c>
      <c r="E10" s="37">
        <f t="shared" si="0"/>
        <v>159.18367346938774</v>
      </c>
      <c r="F10" s="37">
        <v>45</v>
      </c>
      <c r="G10" s="37">
        <v>66</v>
      </c>
      <c r="H10" s="37">
        <f t="shared" si="1"/>
        <v>21</v>
      </c>
      <c r="I10" s="37">
        <f>F10*100/304</f>
        <v>14.802631578947368</v>
      </c>
      <c r="J10" s="37">
        <f>G10*100/308</f>
        <v>21.428571428571427</v>
      </c>
      <c r="K10" s="37">
        <f t="shared" si="2"/>
        <v>6.625939849624059</v>
      </c>
      <c r="L10" s="37">
        <f>(C10-F10)*100/304</f>
        <v>1.3157894736842106</v>
      </c>
      <c r="M10" s="37">
        <f>(D10-G10)*100/308</f>
        <v>3.896103896103896</v>
      </c>
      <c r="N10" s="37">
        <f aca="true" t="shared" si="3" ref="N10:N17">M10-L10</f>
        <v>2.5803144224196854</v>
      </c>
    </row>
    <row r="11" spans="1:14" ht="16.5" customHeight="1">
      <c r="A11" s="32">
        <v>5</v>
      </c>
      <c r="B11" s="32" t="s">
        <v>65</v>
      </c>
      <c r="C11" s="37">
        <v>71</v>
      </c>
      <c r="D11" s="37">
        <v>45</v>
      </c>
      <c r="E11" s="37">
        <f t="shared" si="0"/>
        <v>63.38028169014085</v>
      </c>
      <c r="F11" s="37">
        <v>62</v>
      </c>
      <c r="G11" s="37">
        <v>43</v>
      </c>
      <c r="H11" s="37">
        <f t="shared" si="1"/>
        <v>-19</v>
      </c>
      <c r="I11" s="37">
        <f>F11*100/250</f>
        <v>24.8</v>
      </c>
      <c r="J11" s="37">
        <f>G11*100/280</f>
        <v>15.357142857142858</v>
      </c>
      <c r="K11" s="37">
        <f t="shared" si="2"/>
        <v>-9.442857142857143</v>
      </c>
      <c r="L11" s="37">
        <f>(C11-F11)*100/250</f>
        <v>3.6</v>
      </c>
      <c r="M11" s="37">
        <f>(D11-G11)*100/280</f>
        <v>0.7142857142857143</v>
      </c>
      <c r="N11" s="37">
        <f t="shared" si="3"/>
        <v>-2.8857142857142857</v>
      </c>
    </row>
    <row r="12" spans="1:14" ht="16.5" customHeight="1">
      <c r="A12" s="32">
        <v>6</v>
      </c>
      <c r="B12" s="33" t="s">
        <v>81</v>
      </c>
      <c r="C12" s="94">
        <v>50</v>
      </c>
      <c r="D12" s="94">
        <v>51</v>
      </c>
      <c r="E12" s="37">
        <f t="shared" si="0"/>
        <v>102</v>
      </c>
      <c r="F12" s="94">
        <v>47</v>
      </c>
      <c r="G12" s="94">
        <v>45</v>
      </c>
      <c r="H12" s="37">
        <f t="shared" si="1"/>
        <v>-2</v>
      </c>
      <c r="I12" s="94">
        <f>F12*100/85</f>
        <v>55.294117647058826</v>
      </c>
      <c r="J12" s="94">
        <f>G12*100/85</f>
        <v>52.94117647058823</v>
      </c>
      <c r="K12" s="37">
        <f t="shared" si="2"/>
        <v>-2.352941176470594</v>
      </c>
      <c r="L12" s="37">
        <f>(C12-F12)*100/85</f>
        <v>3.5294117647058822</v>
      </c>
      <c r="M12" s="37">
        <f>(D12-G12)*100/85</f>
        <v>7.0588235294117645</v>
      </c>
      <c r="N12" s="94">
        <f t="shared" si="3"/>
        <v>3.5294117647058822</v>
      </c>
    </row>
    <row r="13" spans="1:14" ht="16.5" customHeight="1">
      <c r="A13" s="32">
        <v>7</v>
      </c>
      <c r="B13" s="33" t="s">
        <v>66</v>
      </c>
      <c r="C13" s="94">
        <v>31</v>
      </c>
      <c r="D13" s="94">
        <v>55</v>
      </c>
      <c r="E13" s="37">
        <f t="shared" si="0"/>
        <v>177.41935483870967</v>
      </c>
      <c r="F13" s="94">
        <v>28</v>
      </c>
      <c r="G13" s="94">
        <v>42</v>
      </c>
      <c r="H13" s="37">
        <f t="shared" si="1"/>
        <v>14</v>
      </c>
      <c r="I13" s="94">
        <f>F13*100/52</f>
        <v>53.84615384615385</v>
      </c>
      <c r="J13" s="94">
        <f>G13*100/60</f>
        <v>70</v>
      </c>
      <c r="K13" s="37">
        <f t="shared" si="2"/>
        <v>16.153846153846153</v>
      </c>
      <c r="L13" s="37">
        <f>(C13-F13)*100/52</f>
        <v>5.769230769230769</v>
      </c>
      <c r="M13" s="37">
        <f>(D13-G13)*100/60</f>
        <v>21.666666666666668</v>
      </c>
      <c r="N13" s="94">
        <f t="shared" si="3"/>
        <v>15.897435897435898</v>
      </c>
    </row>
    <row r="14" spans="1:14" ht="16.5" customHeight="1">
      <c r="A14" s="32">
        <v>8</v>
      </c>
      <c r="B14" s="33" t="s">
        <v>80</v>
      </c>
      <c r="C14" s="94">
        <v>47</v>
      </c>
      <c r="D14" s="94">
        <v>61</v>
      </c>
      <c r="E14" s="37">
        <f t="shared" si="0"/>
        <v>129.7872340425532</v>
      </c>
      <c r="F14" s="94">
        <v>45</v>
      </c>
      <c r="G14" s="94">
        <v>57</v>
      </c>
      <c r="H14" s="37">
        <f t="shared" si="1"/>
        <v>12</v>
      </c>
      <c r="I14" s="94">
        <f>F14*100/60</f>
        <v>75</v>
      </c>
      <c r="J14" s="94">
        <f>G14*100/78</f>
        <v>73.07692307692308</v>
      </c>
      <c r="K14" s="37">
        <f t="shared" si="2"/>
        <v>-1.9230769230769198</v>
      </c>
      <c r="L14" s="37">
        <f>(C14-F14)*100/60</f>
        <v>3.3333333333333335</v>
      </c>
      <c r="M14" s="37">
        <f>(D14-G14)*100/78</f>
        <v>5.128205128205129</v>
      </c>
      <c r="N14" s="94">
        <f t="shared" si="3"/>
        <v>1.7948717948717952</v>
      </c>
    </row>
    <row r="15" spans="1:14" ht="16.5" customHeight="1">
      <c r="A15" s="32">
        <v>9</v>
      </c>
      <c r="B15" s="33" t="s">
        <v>67</v>
      </c>
      <c r="C15" s="94">
        <v>45</v>
      </c>
      <c r="D15" s="94">
        <v>35</v>
      </c>
      <c r="E15" s="37">
        <f t="shared" si="0"/>
        <v>77.77777777777777</v>
      </c>
      <c r="F15" s="94">
        <v>42</v>
      </c>
      <c r="G15" s="94">
        <v>32</v>
      </c>
      <c r="H15" s="37">
        <f t="shared" si="1"/>
        <v>-10</v>
      </c>
      <c r="I15" s="94">
        <f>F15*100/100</f>
        <v>42</v>
      </c>
      <c r="J15" s="94">
        <f>G15*100/100</f>
        <v>32</v>
      </c>
      <c r="K15" s="37">
        <f t="shared" si="2"/>
        <v>-10</v>
      </c>
      <c r="L15" s="37">
        <f>(C15-F15)*100/100</f>
        <v>3</v>
      </c>
      <c r="M15" s="37">
        <f>(D15-G15)*100/100</f>
        <v>3</v>
      </c>
      <c r="N15" s="94">
        <f t="shared" si="3"/>
        <v>0</v>
      </c>
    </row>
    <row r="16" spans="1:14" ht="16.5" customHeight="1">
      <c r="A16" s="32">
        <v>10</v>
      </c>
      <c r="B16" s="33" t="s">
        <v>68</v>
      </c>
      <c r="C16" s="94">
        <v>24</v>
      </c>
      <c r="D16" s="94">
        <v>27</v>
      </c>
      <c r="E16" s="37">
        <f t="shared" si="0"/>
        <v>112.5</v>
      </c>
      <c r="F16" s="94">
        <v>24</v>
      </c>
      <c r="G16" s="94">
        <v>27</v>
      </c>
      <c r="H16" s="37">
        <f t="shared" si="1"/>
        <v>3</v>
      </c>
      <c r="I16" s="94">
        <f>F16*100/42</f>
        <v>57.142857142857146</v>
      </c>
      <c r="J16" s="94">
        <f>G16*100/42</f>
        <v>64.28571428571429</v>
      </c>
      <c r="K16" s="37">
        <f t="shared" si="2"/>
        <v>7.142857142857146</v>
      </c>
      <c r="L16" s="37">
        <f>(C16-F16)*100/42</f>
        <v>0</v>
      </c>
      <c r="M16" s="37">
        <f>(D16-G16)*100/42</f>
        <v>0</v>
      </c>
      <c r="N16" s="94">
        <f t="shared" si="3"/>
        <v>0</v>
      </c>
    </row>
    <row r="17" spans="1:14" ht="16.5" customHeight="1">
      <c r="A17" s="173" t="s">
        <v>79</v>
      </c>
      <c r="B17" s="176"/>
      <c r="C17" s="37">
        <f>SUM(C7:C16)</f>
        <v>477</v>
      </c>
      <c r="D17" s="4">
        <f>SUM(D7:D16)</f>
        <v>538</v>
      </c>
      <c r="E17" s="37">
        <f t="shared" si="0"/>
        <v>112.78825995807128</v>
      </c>
      <c r="F17" s="4">
        <f>SUM(F7:F16)</f>
        <v>452</v>
      </c>
      <c r="G17" s="4">
        <f>SUM(G7:G16)</f>
        <v>477</v>
      </c>
      <c r="H17" s="37">
        <f t="shared" si="1"/>
        <v>25</v>
      </c>
      <c r="I17" s="37">
        <f>F17*100/1232</f>
        <v>36.688311688311686</v>
      </c>
      <c r="J17" s="37">
        <f>G17*100/1298</f>
        <v>36.74884437596302</v>
      </c>
      <c r="K17" s="37">
        <f t="shared" si="2"/>
        <v>0.060532687651331685</v>
      </c>
      <c r="L17" s="37">
        <f>(C17-F17)*100/1232</f>
        <v>2.029220779220779</v>
      </c>
      <c r="M17" s="37">
        <f>(D17-G17)*100/1298</f>
        <v>4.699537750385208</v>
      </c>
      <c r="N17" s="37">
        <f t="shared" si="3"/>
        <v>2.6703169711644286</v>
      </c>
    </row>
  </sheetData>
  <mergeCells count="5">
    <mergeCell ref="A2:N2"/>
    <mergeCell ref="A1:N1"/>
    <mergeCell ref="A17:B17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workbookViewId="0" topLeftCell="A1">
      <selection activeCell="B6" sqref="B6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60" t="s">
        <v>12</v>
      </c>
      <c r="B1" s="160"/>
      <c r="C1" s="160"/>
      <c r="D1" s="160"/>
      <c r="E1" s="160"/>
      <c r="F1" s="160"/>
      <c r="G1" s="79"/>
      <c r="H1" s="79"/>
      <c r="I1" s="79"/>
    </row>
    <row r="2" spans="1:9" ht="15.75">
      <c r="A2" s="178" t="s">
        <v>109</v>
      </c>
      <c r="B2" s="178"/>
      <c r="C2" s="178"/>
      <c r="D2" s="178"/>
      <c r="E2" s="178"/>
      <c r="F2" s="178"/>
      <c r="G2" s="79"/>
      <c r="H2" s="79"/>
      <c r="I2" s="79"/>
    </row>
    <row r="3" spans="1:9" ht="15">
      <c r="A3" s="5" t="s">
        <v>2</v>
      </c>
      <c r="B3" s="5" t="s">
        <v>3</v>
      </c>
      <c r="C3" s="6" t="s">
        <v>45</v>
      </c>
      <c r="D3" s="7"/>
      <c r="E3" s="6" t="s">
        <v>46</v>
      </c>
      <c r="F3" s="8"/>
      <c r="G3" s="79"/>
      <c r="H3" s="79"/>
      <c r="I3" s="79"/>
    </row>
    <row r="4" spans="1:9" ht="15">
      <c r="A4" s="9"/>
      <c r="B4" s="9"/>
      <c r="C4" s="19">
        <v>2010</v>
      </c>
      <c r="D4" s="20">
        <v>2011</v>
      </c>
      <c r="E4" s="19">
        <v>2010</v>
      </c>
      <c r="F4" s="20">
        <v>2011</v>
      </c>
      <c r="G4" s="79"/>
      <c r="H4" s="79"/>
      <c r="I4" s="79"/>
    </row>
    <row r="5" spans="1:9" ht="15">
      <c r="A5" s="4">
        <v>1</v>
      </c>
      <c r="B5" s="23" t="s">
        <v>61</v>
      </c>
      <c r="C5" s="37">
        <f>(молоко!C6*1000)/1875</f>
        <v>68.42666666666668</v>
      </c>
      <c r="D5" s="37">
        <f>(молоко!D6*1000)/1875</f>
        <v>71.2</v>
      </c>
      <c r="E5" s="37">
        <f>(мясо!C7*1000)/1875</f>
        <v>5.12</v>
      </c>
      <c r="F5" s="37">
        <f>(мясо!D7*1000)/1875</f>
        <v>9.546666666666667</v>
      </c>
      <c r="H5" s="79"/>
      <c r="I5" s="79"/>
    </row>
    <row r="6" spans="1:9" ht="15">
      <c r="A6" s="4">
        <v>2</v>
      </c>
      <c r="B6" s="23" t="s">
        <v>62</v>
      </c>
      <c r="C6" s="37">
        <f>(молоко!C7*1000)/799</f>
        <v>126.40801001251565</v>
      </c>
      <c r="D6" s="37">
        <f>(молоко!D7*1000)/799</f>
        <v>92.61576971214018</v>
      </c>
      <c r="E6" s="37">
        <f>(мясо!C8*1000)/799</f>
        <v>2.5031289111389237</v>
      </c>
      <c r="F6" s="37">
        <f>(мясо!D8*1000)/799</f>
        <v>7.6345431789737175</v>
      </c>
      <c r="H6" s="79"/>
      <c r="I6" s="79"/>
    </row>
    <row r="7" spans="1:9" ht="15">
      <c r="A7" s="4">
        <v>3</v>
      </c>
      <c r="B7" s="23" t="s">
        <v>63</v>
      </c>
      <c r="C7" s="37">
        <f>(молоко!C8*1000)/2025</f>
        <v>28.14814814814815</v>
      </c>
      <c r="D7" s="37">
        <f>(молоко!D8*1000)/2025</f>
        <v>33.58024691358025</v>
      </c>
      <c r="E7" s="37">
        <f>(мясо!C9*1000)/2025</f>
        <v>0.2814814814814815</v>
      </c>
      <c r="F7" s="37">
        <f>(мясо!D9*1000)/2025</f>
        <v>1.4814814814814814</v>
      </c>
      <c r="H7" s="79"/>
      <c r="I7" s="79"/>
    </row>
    <row r="8" spans="1:9" ht="15">
      <c r="A8" s="4">
        <v>4</v>
      </c>
      <c r="B8" s="39" t="s">
        <v>64</v>
      </c>
      <c r="C8" s="37">
        <f>(молоко!C9*1000)/2478</f>
        <v>126.99757869249395</v>
      </c>
      <c r="D8" s="37">
        <f>(молоко!D9*1000)/2478</f>
        <v>98.78934624697337</v>
      </c>
      <c r="E8" s="37">
        <f>(мясо!C10*1000)/2478</f>
        <v>11.82405165456013</v>
      </c>
      <c r="F8" s="37">
        <f>(мясо!D10*1000)/2478</f>
        <v>27.037933817594833</v>
      </c>
      <c r="H8" s="79"/>
      <c r="I8" s="79"/>
    </row>
    <row r="9" spans="1:9" ht="15">
      <c r="A9" s="4">
        <v>5</v>
      </c>
      <c r="B9" s="23" t="s">
        <v>65</v>
      </c>
      <c r="C9" s="37">
        <f>(молоко!C10*1000)/2157</f>
        <v>95.96662030598053</v>
      </c>
      <c r="D9" s="37">
        <f>(молоко!D10*1000)/2157</f>
        <v>62.58692628650904</v>
      </c>
      <c r="E9" s="37">
        <f>(мясо!C11*1000)/2157</f>
        <v>9.550301344459898</v>
      </c>
      <c r="F9" s="37">
        <f>(мясо!D11*1000)/2157</f>
        <v>9.921186833565137</v>
      </c>
      <c r="H9" s="79"/>
      <c r="I9" s="79"/>
    </row>
    <row r="10" spans="1:9" ht="15">
      <c r="A10" s="4">
        <v>6</v>
      </c>
      <c r="B10" s="39" t="s">
        <v>81</v>
      </c>
      <c r="C10" s="37">
        <f>(молоко!C11*1000)/859</f>
        <v>143.65541327124564</v>
      </c>
      <c r="D10" s="37">
        <f>(молоко!D11*1000)/859</f>
        <v>139.46449359720606</v>
      </c>
      <c r="E10" s="37">
        <f>(мясо!C12*1000)/859</f>
        <v>12.922002328288707</v>
      </c>
      <c r="F10" s="37">
        <f>(мясо!D12*1000)/859</f>
        <v>11.29220023282887</v>
      </c>
      <c r="H10" s="79"/>
      <c r="I10" s="79"/>
    </row>
    <row r="11" spans="1:9" ht="15">
      <c r="A11" s="4">
        <v>7</v>
      </c>
      <c r="B11" s="39" t="s">
        <v>66</v>
      </c>
      <c r="C11" s="37">
        <f>(молоко!C12*1000)/1482</f>
        <v>31.983805668016196</v>
      </c>
      <c r="D11" s="37">
        <f>(молоко!D12*1000)/1482</f>
        <v>53.98110661268556</v>
      </c>
      <c r="E11" s="37">
        <f>(мясо!C13*1000)/1482</f>
        <v>2.0917678812415654</v>
      </c>
      <c r="F11" s="37">
        <f>(мясо!D13*1000)/1482</f>
        <v>0</v>
      </c>
      <c r="H11" s="79"/>
      <c r="I11" s="79"/>
    </row>
    <row r="12" spans="1:9" ht="15.75" customHeight="1">
      <c r="A12" s="4">
        <v>8</v>
      </c>
      <c r="B12" s="33" t="s">
        <v>80</v>
      </c>
      <c r="C12" s="37">
        <f>(молоко!C13*1000)/1077</f>
        <v>105.29247910863509</v>
      </c>
      <c r="D12" s="37">
        <f>(молоко!D13*1000)/1077</f>
        <v>137.04735376044567</v>
      </c>
      <c r="E12" s="37">
        <f>(мясо!C14*1000)/1077</f>
        <v>4.456824512534819</v>
      </c>
      <c r="F12" s="37">
        <f>(мясо!D14*1000)/1077</f>
        <v>5.8495821727019495</v>
      </c>
      <c r="H12" s="79"/>
      <c r="I12" s="79"/>
    </row>
    <row r="13" spans="1:9" ht="15">
      <c r="A13" s="4">
        <v>9</v>
      </c>
      <c r="B13" s="39" t="s">
        <v>67</v>
      </c>
      <c r="C13" s="37">
        <f>(молоко!C14*1000)/1084</f>
        <v>48.8929889298893</v>
      </c>
      <c r="D13" s="37">
        <f>(молоко!D14*1000)/1084</f>
        <v>79.4280442804428</v>
      </c>
      <c r="E13" s="37">
        <f>(мясо!C15*1000)/1084</f>
        <v>6.826568265682657</v>
      </c>
      <c r="F13" s="37">
        <f>(мясо!D15*1000)/1084</f>
        <v>4.612546125461255</v>
      </c>
      <c r="H13" s="79"/>
      <c r="I13" s="79"/>
    </row>
    <row r="14" spans="1:9" ht="15">
      <c r="A14" s="4">
        <v>10</v>
      </c>
      <c r="B14" s="39" t="s">
        <v>68</v>
      </c>
      <c r="C14" s="37">
        <f>(молоко!C15*1000)/674</f>
        <v>75.66765578635015</v>
      </c>
      <c r="D14" s="37">
        <f>(молоко!D15*1000)/674</f>
        <v>70.62314540059347</v>
      </c>
      <c r="E14" s="37">
        <f>(мясо!C16*1000)/674</f>
        <v>3.857566765578635</v>
      </c>
      <c r="F14" s="37">
        <f>(мясо!D16*1000)/674</f>
        <v>6.528189910979228</v>
      </c>
      <c r="H14" s="79"/>
      <c r="I14" s="79"/>
    </row>
    <row r="15" spans="1:9" ht="15">
      <c r="A15" s="4">
        <v>11</v>
      </c>
      <c r="B15" s="39" t="s">
        <v>69</v>
      </c>
      <c r="C15" s="37"/>
      <c r="D15" s="37"/>
      <c r="E15" s="37">
        <f>(мясо!C17*1000)/983</f>
        <v>230.92573753814852</v>
      </c>
      <c r="F15" s="37">
        <f>(мясо!D17*1000)/983</f>
        <v>273.6520854526958</v>
      </c>
      <c r="H15" s="79"/>
      <c r="I15" s="79"/>
    </row>
    <row r="16" spans="1:6" ht="15">
      <c r="A16" s="173" t="s">
        <v>11</v>
      </c>
      <c r="B16" s="174"/>
      <c r="C16" s="37">
        <f>(молоко!C16*1000)/22877</f>
        <v>52.28832451807492</v>
      </c>
      <c r="D16" s="37">
        <f>(молоко!D16*1000)/22877</f>
        <v>49.674345412422944</v>
      </c>
      <c r="E16" s="37">
        <f>(мясо!C19*1000)/22877</f>
        <v>13.903483848406697</v>
      </c>
      <c r="F16" s="37">
        <f>(мясо!D19*1000)/22877</f>
        <v>17.983127158281246</v>
      </c>
    </row>
  </sheetData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Normal="75" zoomScaleSheetLayoutView="70" workbookViewId="0" topLeftCell="A1">
      <selection activeCell="E41" sqref="E4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110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42" t="s">
        <v>2</v>
      </c>
      <c r="B3" s="179" t="s">
        <v>3</v>
      </c>
      <c r="C3" s="55" t="s">
        <v>13</v>
      </c>
      <c r="D3" s="56"/>
      <c r="E3" s="57"/>
      <c r="F3" s="58" t="s">
        <v>14</v>
      </c>
      <c r="G3" s="59" t="s">
        <v>17</v>
      </c>
      <c r="H3" s="60" t="s">
        <v>19</v>
      </c>
      <c r="I3" s="61"/>
      <c r="J3" s="54"/>
      <c r="K3" s="54" t="s">
        <v>20</v>
      </c>
    </row>
    <row r="4" spans="1:11" ht="18">
      <c r="A4" s="159"/>
      <c r="B4" s="159"/>
      <c r="C4" s="62">
        <v>2010</v>
      </c>
      <c r="D4" s="58">
        <v>2011</v>
      </c>
      <c r="E4" s="58" t="s">
        <v>94</v>
      </c>
      <c r="F4" s="63" t="s">
        <v>15</v>
      </c>
      <c r="G4" s="64" t="s">
        <v>18</v>
      </c>
      <c r="H4" s="62">
        <v>2010</v>
      </c>
      <c r="I4" s="58">
        <v>2011</v>
      </c>
      <c r="J4" s="58" t="s">
        <v>94</v>
      </c>
      <c r="K4" s="65" t="s">
        <v>21</v>
      </c>
    </row>
    <row r="5" spans="1:11" ht="18">
      <c r="A5" s="123"/>
      <c r="B5" s="123"/>
      <c r="C5" s="66"/>
      <c r="D5" s="67"/>
      <c r="E5" s="67" t="s">
        <v>95</v>
      </c>
      <c r="F5" s="67" t="s">
        <v>16</v>
      </c>
      <c r="G5" s="68"/>
      <c r="H5" s="66"/>
      <c r="I5" s="67"/>
      <c r="J5" s="67" t="s">
        <v>95</v>
      </c>
      <c r="K5" s="69" t="s">
        <v>0</v>
      </c>
    </row>
    <row r="6" spans="1:11" ht="16.5" customHeight="1">
      <c r="A6" s="32">
        <v>1</v>
      </c>
      <c r="B6" s="70" t="s">
        <v>61</v>
      </c>
      <c r="C6" s="13">
        <v>128.3</v>
      </c>
      <c r="D6" s="13">
        <v>133.5</v>
      </c>
      <c r="E6" s="14">
        <f aca="true" t="shared" si="0" ref="E6:E15">D6/C6*100</f>
        <v>104.05300077942321</v>
      </c>
      <c r="F6" s="13">
        <v>95.3</v>
      </c>
      <c r="G6" s="14">
        <f aca="true" t="shared" si="1" ref="G6:G15">F6/D6*100</f>
        <v>71.38576779026216</v>
      </c>
      <c r="H6" s="18">
        <f>C6/'численность 1'!J6*1000</f>
        <v>712.7777777777778</v>
      </c>
      <c r="I6" s="18">
        <f>D6/'численность 1'!K6*1000</f>
        <v>741.6666666666667</v>
      </c>
      <c r="J6" s="14">
        <f aca="true" t="shared" si="2" ref="J6:J16">I6/H6*100</f>
        <v>104.05300077942323</v>
      </c>
      <c r="K6" s="13">
        <v>187.3</v>
      </c>
    </row>
    <row r="7" spans="1:11" ht="16.5" customHeight="1">
      <c r="A7" s="32">
        <v>2</v>
      </c>
      <c r="B7" s="70" t="s">
        <v>62</v>
      </c>
      <c r="C7" s="13">
        <v>101</v>
      </c>
      <c r="D7" s="13">
        <v>74</v>
      </c>
      <c r="E7" s="14">
        <f t="shared" si="0"/>
        <v>73.26732673267327</v>
      </c>
      <c r="F7" s="13">
        <v>55</v>
      </c>
      <c r="G7" s="14">
        <f t="shared" si="1"/>
        <v>74.32432432432432</v>
      </c>
      <c r="H7" s="18">
        <f>C7/'численность 1'!J7*1000</f>
        <v>961.9047619047619</v>
      </c>
      <c r="I7" s="14">
        <f>D7/'численность 1'!K7*1000</f>
        <v>704.7619047619048</v>
      </c>
      <c r="J7" s="14">
        <f t="shared" si="2"/>
        <v>73.26732673267327</v>
      </c>
      <c r="K7" s="13"/>
    </row>
    <row r="8" spans="1:11" ht="16.5" customHeight="1">
      <c r="A8" s="32">
        <v>3</v>
      </c>
      <c r="B8" s="70" t="s">
        <v>63</v>
      </c>
      <c r="C8" s="13">
        <v>57</v>
      </c>
      <c r="D8" s="13">
        <v>68</v>
      </c>
      <c r="E8" s="14">
        <f t="shared" si="0"/>
        <v>119.29824561403508</v>
      </c>
      <c r="F8" s="13">
        <v>44</v>
      </c>
      <c r="G8" s="14">
        <f t="shared" si="1"/>
        <v>64.70588235294117</v>
      </c>
      <c r="H8" s="18">
        <f>C8/'численность 1'!J8*1000</f>
        <v>1055.5555555555557</v>
      </c>
      <c r="I8" s="14">
        <f>D8/'численность 1'!K8*1000</f>
        <v>1133.3333333333333</v>
      </c>
      <c r="J8" s="14">
        <f t="shared" si="2"/>
        <v>107.36842105263156</v>
      </c>
      <c r="K8" s="13"/>
    </row>
    <row r="9" spans="1:11" ht="16.5" customHeight="1">
      <c r="A9" s="32">
        <v>4</v>
      </c>
      <c r="B9" s="70" t="s">
        <v>64</v>
      </c>
      <c r="C9" s="13">
        <v>314.7</v>
      </c>
      <c r="D9" s="13">
        <v>244.8</v>
      </c>
      <c r="E9" s="14">
        <f t="shared" si="0"/>
        <v>77.78836987607247</v>
      </c>
      <c r="F9" s="13">
        <v>220.4</v>
      </c>
      <c r="G9" s="14">
        <f t="shared" si="1"/>
        <v>90.0326797385621</v>
      </c>
      <c r="H9" s="18">
        <f>C9/'численность 1'!J9*1000</f>
        <v>1035.1973684210527</v>
      </c>
      <c r="I9" s="14">
        <f>D9/'численность 1'!K9*1000</f>
        <v>794.8051948051949</v>
      </c>
      <c r="J9" s="14">
        <f t="shared" si="2"/>
        <v>76.77813130625333</v>
      </c>
      <c r="K9" s="13"/>
    </row>
    <row r="10" spans="1:11" ht="16.5" customHeight="1">
      <c r="A10" s="32">
        <v>5</v>
      </c>
      <c r="B10" s="71" t="s">
        <v>65</v>
      </c>
      <c r="C10" s="13">
        <v>207</v>
      </c>
      <c r="D10" s="13">
        <v>135</v>
      </c>
      <c r="E10" s="14">
        <f t="shared" si="0"/>
        <v>65.21739130434783</v>
      </c>
      <c r="F10" s="13">
        <v>110</v>
      </c>
      <c r="G10" s="14">
        <f t="shared" si="1"/>
        <v>81.48148148148148</v>
      </c>
      <c r="H10" s="18">
        <f>C10/'численность 1'!J10*1000</f>
        <v>828</v>
      </c>
      <c r="I10" s="14">
        <f>D10/'численность 1'!K10*1000</f>
        <v>482.14285714285717</v>
      </c>
      <c r="J10" s="14">
        <f t="shared" si="2"/>
        <v>58.22981366459628</v>
      </c>
      <c r="K10" s="13"/>
    </row>
    <row r="11" spans="1:11" ht="16.5" customHeight="1">
      <c r="A11" s="32">
        <v>6</v>
      </c>
      <c r="B11" s="71" t="s">
        <v>81</v>
      </c>
      <c r="C11" s="17">
        <v>123.4</v>
      </c>
      <c r="D11" s="17">
        <v>119.8</v>
      </c>
      <c r="E11" s="14">
        <f t="shared" si="0"/>
        <v>97.08265802269042</v>
      </c>
      <c r="F11" s="17">
        <v>87.6</v>
      </c>
      <c r="G11" s="18">
        <f t="shared" si="1"/>
        <v>73.12186978297161</v>
      </c>
      <c r="H11" s="18">
        <f>C11/'численность 1'!J11*1000</f>
        <v>1451.7647058823532</v>
      </c>
      <c r="I11" s="14">
        <f>D11/'численность 1'!K11*1000</f>
        <v>1409.4117647058824</v>
      </c>
      <c r="J11" s="14">
        <f t="shared" si="2"/>
        <v>97.08265802269042</v>
      </c>
      <c r="K11" s="17">
        <v>65.6</v>
      </c>
    </row>
    <row r="12" spans="1:11" ht="16.5" customHeight="1">
      <c r="A12" s="32">
        <v>7</v>
      </c>
      <c r="B12" s="71" t="s">
        <v>66</v>
      </c>
      <c r="C12" s="17">
        <v>47.4</v>
      </c>
      <c r="D12" s="17">
        <v>80</v>
      </c>
      <c r="E12" s="14">
        <f t="shared" si="0"/>
        <v>168.77637130801688</v>
      </c>
      <c r="F12" s="17">
        <v>66.1</v>
      </c>
      <c r="G12" s="18">
        <f t="shared" si="1"/>
        <v>82.625</v>
      </c>
      <c r="H12" s="18">
        <f>C12/'численность 1'!J12*1000</f>
        <v>911.5384615384615</v>
      </c>
      <c r="I12" s="14">
        <f>D12/'численность 1'!K12*1000</f>
        <v>1333.3333333333333</v>
      </c>
      <c r="J12" s="14">
        <f t="shared" si="2"/>
        <v>146.2728551336146</v>
      </c>
      <c r="K12" s="17">
        <v>10.5</v>
      </c>
    </row>
    <row r="13" spans="1:11" ht="16.5" customHeight="1">
      <c r="A13" s="32">
        <v>8</v>
      </c>
      <c r="B13" s="71" t="s">
        <v>80</v>
      </c>
      <c r="C13" s="17">
        <v>113.4</v>
      </c>
      <c r="D13" s="17">
        <v>147.6</v>
      </c>
      <c r="E13" s="14">
        <f t="shared" si="0"/>
        <v>130.15873015873015</v>
      </c>
      <c r="F13" s="17">
        <v>135</v>
      </c>
      <c r="G13" s="18">
        <f t="shared" si="1"/>
        <v>91.46341463414635</v>
      </c>
      <c r="H13" s="18">
        <f>C13/'численность 1'!J13*1000</f>
        <v>1890.0000000000002</v>
      </c>
      <c r="I13" s="14">
        <f>D13/'численность 1'!K13*1000</f>
        <v>1892.3076923076922</v>
      </c>
      <c r="J13" s="14">
        <f t="shared" si="2"/>
        <v>100.1221001221001</v>
      </c>
      <c r="K13" s="17"/>
    </row>
    <row r="14" spans="1:11" ht="16.5" customHeight="1">
      <c r="A14" s="32">
        <v>9</v>
      </c>
      <c r="B14" s="71" t="s">
        <v>67</v>
      </c>
      <c r="C14" s="17">
        <v>53</v>
      </c>
      <c r="D14" s="17">
        <v>86.1</v>
      </c>
      <c r="E14" s="14">
        <f t="shared" si="0"/>
        <v>162.45283018867923</v>
      </c>
      <c r="F14" s="17">
        <v>49.4</v>
      </c>
      <c r="G14" s="18">
        <f t="shared" si="1"/>
        <v>57.37514518002323</v>
      </c>
      <c r="H14" s="18">
        <f>C14/'численность 1'!J14*1000</f>
        <v>530</v>
      </c>
      <c r="I14" s="14">
        <f>D14/'численность 1'!K14*1000</f>
        <v>861</v>
      </c>
      <c r="J14" s="14">
        <f t="shared" si="2"/>
        <v>162.45283018867923</v>
      </c>
      <c r="K14" s="17"/>
    </row>
    <row r="15" spans="1:11" ht="16.5" customHeight="1">
      <c r="A15" s="32">
        <v>10</v>
      </c>
      <c r="B15" s="71" t="s">
        <v>68</v>
      </c>
      <c r="C15" s="17">
        <v>51</v>
      </c>
      <c r="D15" s="17">
        <v>47.6</v>
      </c>
      <c r="E15" s="14">
        <f t="shared" si="0"/>
        <v>93.33333333333333</v>
      </c>
      <c r="F15" s="17">
        <v>27.5</v>
      </c>
      <c r="G15" s="18">
        <f t="shared" si="1"/>
        <v>57.773109243697476</v>
      </c>
      <c r="H15" s="18">
        <f>C15/'численность 1'!J15*1000</f>
        <v>1214.2857142857142</v>
      </c>
      <c r="I15" s="14">
        <f>D15/'численность 1'!K15*1000</f>
        <v>1133.3333333333333</v>
      </c>
      <c r="J15" s="14">
        <f t="shared" si="2"/>
        <v>93.33333333333333</v>
      </c>
      <c r="K15" s="17"/>
    </row>
    <row r="16" spans="1:11" ht="18">
      <c r="A16" s="180" t="s">
        <v>11</v>
      </c>
      <c r="B16" s="158"/>
      <c r="C16" s="17">
        <f>SUM(C6:C15)</f>
        <v>1196.2</v>
      </c>
      <c r="D16" s="72">
        <f>SUM(D6:D15)</f>
        <v>1136.3999999999999</v>
      </c>
      <c r="E16" s="14">
        <f>D16/C16*100</f>
        <v>95.00083598060523</v>
      </c>
      <c r="F16" s="72">
        <f>SUM(F6:F15)</f>
        <v>890.3000000000001</v>
      </c>
      <c r="G16" s="14">
        <f>F16/D16*100</f>
        <v>78.34389299542416</v>
      </c>
      <c r="H16" s="14">
        <f>C16/'численность 1'!J19*1000</f>
        <v>970.9415584415585</v>
      </c>
      <c r="I16" s="14">
        <f>D16/'численность 1'!K19*1000</f>
        <v>875.5007704160246</v>
      </c>
      <c r="J16" s="14">
        <f t="shared" si="2"/>
        <v>90.17028499854057</v>
      </c>
      <c r="K16" s="72">
        <f>SUM(K6:K15)</f>
        <v>263.4</v>
      </c>
    </row>
  </sheetData>
  <mergeCells count="3">
    <mergeCell ref="A3:A5"/>
    <mergeCell ref="B3:B5"/>
    <mergeCell ref="A16:B16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cp:lastPrinted>2011-05-04T11:05:59Z</cp:lastPrinted>
  <dcterms:created xsi:type="dcterms:W3CDTF">2002-11-05T10:10:22Z</dcterms:created>
  <dcterms:modified xsi:type="dcterms:W3CDTF">2011-06-09T04:10:30Z</dcterms:modified>
  <cp:category/>
  <cp:version/>
  <cp:contentType/>
  <cp:contentStatus/>
</cp:coreProperties>
</file>