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'молоко'!$A$1:$K$22</definedName>
    <definedName name="_xlnm.Print_Area" localSheetId="9">'мясо'!$A$1:$K$25</definedName>
    <definedName name="_xlnm.Print_Area" localSheetId="7">'на 100 га'!$A$1:$F$16</definedName>
    <definedName name="_xlnm.Print_Area" localSheetId="0">'пало1'!$A$1:$V$25</definedName>
    <definedName name="_xlnm.Print_Area" localSheetId="1">'привес'!$A$1:$T$23</definedName>
    <definedName name="_xlnm.Print_Area" localSheetId="4">'приплод 2'!$A$1:$P$13</definedName>
    <definedName name="_xlnm.Print_Area" localSheetId="3">'численность 1'!$A$1:$U$25</definedName>
    <definedName name="_xlnm.Print_Area" localSheetId="2">'численность 2'!$A$1:$N$25</definedName>
  </definedNames>
  <calcPr fullCalcOnLoad="1"/>
</workbook>
</file>

<file path=xl/sharedStrings.xml><?xml version="1.0" encoding="utf-8"?>
<sst xmlns="http://schemas.openxmlformats.org/spreadsheetml/2006/main" count="310" uniqueCount="125">
  <si>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</si>
  <si>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</si>
  <si>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</si>
  <si>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</si>
  <si>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</si>
  <si>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</si>
  <si>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</si>
  <si>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</si>
  <si>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</si>
  <si>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</si>
  <si>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</si>
  <si>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</si>
  <si>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</si>
  <si>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</si>
  <si>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</si>
  <si>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</si>
  <si>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</si>
  <si>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</si>
  <si>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</si>
  <si>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</si>
  <si>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</si>
  <si>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</si>
  <si>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</si>
  <si>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</si>
  <si>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</si>
  <si>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</si>
  <si>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</si>
  <si>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</si>
  <si>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</si>
  <si>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</si>
  <si>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</si>
  <si>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</si>
  <si>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</si>
  <si>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</si>
  <si>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</si>
  <si>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</si>
  <si>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</si>
  <si>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</si>
  <si>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</si>
  <si>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</si>
  <si>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</si>
  <si>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</si>
  <si>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</si>
  <si>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</si>
  <si>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</si>
  <si>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</si>
  <si>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</si>
  <si>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</si>
  <si>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</si>
  <si>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</si>
  <si>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</si>
  <si>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</si>
  <si>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</si>
  <si>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</si>
  <si>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</si>
  <si>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</si>
  <si>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</si>
  <si>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</si>
  <si>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</si>
  <si>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</si>
  <si>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</si>
  <si>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</si>
  <si>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</si>
  <si>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</si>
  <si>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</si>
  <si>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</si>
  <si>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</si>
  <si>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</si>
  <si>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</si>
  <si>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</si>
  <si>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</si>
  <si>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</si>
  <si>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</si>
  <si>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</si>
  <si>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</si>
  <si>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</si>
  <si>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</si>
  <si>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</si>
  <si>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</si>
  <si>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</si>
  <si>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</si>
  <si>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</si>
  <si>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</si>
  <si>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</si>
  <si>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</si>
  <si>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</si>
  <si>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</si>
  <si>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</si>
  <si>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</si>
  <si>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</si>
  <si>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</si>
  <si>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</si>
  <si>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</si>
  <si>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</si>
  <si>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</si>
  <si>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Итого по сельскохозяйственным оргаизациям по району</t>
  </si>
  <si>
    <t>Итого по сельскохозяйственным организациям района</t>
  </si>
  <si>
    <t xml:space="preserve">                      </t>
  </si>
  <si>
    <t xml:space="preserve">    Производство мяса и молока на 100 га с/х угодий</t>
  </si>
  <si>
    <t>КФХ Николаев Н.С.</t>
  </si>
  <si>
    <t>Итого по К(Ф)(Х</t>
  </si>
  <si>
    <t>К(Ф)Х Николаев Н.С.</t>
  </si>
  <si>
    <t>КФХ Акимов И.К.</t>
  </si>
  <si>
    <t>ЗАО "Агрофирма "Климовская"</t>
  </si>
  <si>
    <t>маточное поголовье овец и коз на отчетную дату</t>
  </si>
  <si>
    <t>2013 в %</t>
  </si>
  <si>
    <t>к 20121 г.</t>
  </si>
  <si>
    <t>к 2012 г.</t>
  </si>
  <si>
    <t>к 2012г.</t>
  </si>
  <si>
    <t>2012 г.</t>
  </si>
  <si>
    <t>с 2012 г.</t>
  </si>
  <si>
    <t>разница с 2012г.</t>
  </si>
  <si>
    <t>в % к 2012 г.</t>
  </si>
  <si>
    <t>2013 к 2012 г. %</t>
  </si>
  <si>
    <t xml:space="preserve">   Производство мяса за январь-апрель 2013 года по Ибресинскому району </t>
  </si>
  <si>
    <t>Производство молока за  январь-апрель 2013 года по Ибресинскому району</t>
  </si>
  <si>
    <t xml:space="preserve">по Ибресинскому району за январь-апрель 2013  года </t>
  </si>
  <si>
    <t>Поступление приплода (телят) за январь-апрель 2013 года по Ибресинскому  району</t>
  </si>
  <si>
    <t>Случено и осеменено за январь-апрель 2012 года по Ибресинскому району</t>
  </si>
  <si>
    <t>Поступление приплода (поросят) за январь-апрель 2012 года по Ибресинкому  району</t>
  </si>
  <si>
    <t xml:space="preserve"> Численность скота по Ибресинскому району на 1.05.2013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</si>
  <si>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1.05.2013 г., (голов)</t>
    </r>
  </si>
  <si>
    <t>Показатели получения привесов за январь-апрель 2013 года по Ибресинскому району</t>
  </si>
  <si>
    <t>Пало, погибло, куплено и продано  сельскохозяйственных животных за январь-апрель 2013 года по Ибресинскому.р-ну</t>
  </si>
  <si>
    <t>Итого в сельскохозяйственных организациях Ибресинского района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</si>
</sst>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26" sqref="N26"/>
    </sheetView>
  </sheetViews>
  <sheetFormatPr defaultColWidth="9.00390625" defaultRowHeight="12.75"/>
  <cols>
    <col min="1" max="1" width="4.00390625" style="70" customWidth="1"/>
    <col min="2" max="2" width="34.37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21" width="8.875" style="70" customWidth="1"/>
    <col min="22" max="22" width="8.75390625" style="70" customWidth="1"/>
    <col min="23" max="16384" width="9.125" style="70" customWidth="1"/>
  </cols>
  <sheetData>
    <row r="1" spans="3:18" ht="15.75">
      <c r="C1" s="142" t="s">
        <v>123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2" s="20" customFormat="1" ht="18.75" customHeight="1">
      <c r="A3" s="34" t="s">
        <v>2</v>
      </c>
      <c r="B3" s="23" t="s">
        <v>3</v>
      </c>
      <c r="C3" s="143" t="s">
        <v>38</v>
      </c>
      <c r="D3" s="144"/>
      <c r="E3" s="145"/>
      <c r="F3" s="143" t="s">
        <v>52</v>
      </c>
      <c r="G3" s="144"/>
      <c r="H3" s="145"/>
      <c r="I3" s="96"/>
      <c r="J3" s="101" t="s">
        <v>40</v>
      </c>
      <c r="K3" s="101"/>
      <c r="L3" s="101"/>
      <c r="M3" s="103"/>
      <c r="N3" s="103"/>
      <c r="O3" s="103"/>
      <c r="P3" s="103"/>
      <c r="Q3" s="96"/>
      <c r="R3" s="101" t="s">
        <v>41</v>
      </c>
      <c r="S3" s="101"/>
      <c r="T3" s="100"/>
      <c r="U3" s="103"/>
      <c r="V3" s="103"/>
    </row>
    <row r="4" spans="1:22" s="20" customFormat="1" ht="18.75" customHeight="1">
      <c r="A4" s="39"/>
      <c r="B4" s="33"/>
      <c r="C4" s="146">
        <v>2012</v>
      </c>
      <c r="D4" s="146">
        <v>2013</v>
      </c>
      <c r="E4" s="105" t="s">
        <v>39</v>
      </c>
      <c r="F4" s="146">
        <v>2012</v>
      </c>
      <c r="G4" s="146">
        <v>2013</v>
      </c>
      <c r="H4" s="105" t="s">
        <v>39</v>
      </c>
      <c r="I4" s="134" t="s">
        <v>84</v>
      </c>
      <c r="J4" s="135"/>
      <c r="K4" s="134" t="s">
        <v>83</v>
      </c>
      <c r="L4" s="135"/>
      <c r="M4" s="134" t="s">
        <v>79</v>
      </c>
      <c r="N4" s="135"/>
      <c r="O4" s="134" t="s">
        <v>80</v>
      </c>
      <c r="P4" s="135"/>
      <c r="Q4" s="134" t="s">
        <v>82</v>
      </c>
      <c r="R4" s="135"/>
      <c r="S4" s="134" t="s">
        <v>83</v>
      </c>
      <c r="T4" s="135"/>
      <c r="U4" s="134" t="s">
        <v>80</v>
      </c>
      <c r="V4" s="135"/>
    </row>
    <row r="5" spans="1:22" s="20" customFormat="1" ht="18.75" customHeight="1">
      <c r="A5" s="30"/>
      <c r="B5" s="29"/>
      <c r="C5" s="147"/>
      <c r="D5" s="147"/>
      <c r="E5" s="106" t="s">
        <v>110</v>
      </c>
      <c r="F5" s="147"/>
      <c r="G5" s="147"/>
      <c r="H5" s="106" t="s">
        <v>110</v>
      </c>
      <c r="I5" s="107">
        <v>2012</v>
      </c>
      <c r="J5" s="108">
        <v>2013</v>
      </c>
      <c r="K5" s="107">
        <v>2012</v>
      </c>
      <c r="L5" s="108">
        <v>2013</v>
      </c>
      <c r="M5" s="107">
        <v>2012</v>
      </c>
      <c r="N5" s="108">
        <v>2013</v>
      </c>
      <c r="O5" s="107">
        <v>2012</v>
      </c>
      <c r="P5" s="108">
        <v>2013</v>
      </c>
      <c r="Q5" s="107">
        <v>2012</v>
      </c>
      <c r="R5" s="108">
        <v>2013</v>
      </c>
      <c r="S5" s="107">
        <v>2012</v>
      </c>
      <c r="T5" s="108">
        <v>2013</v>
      </c>
      <c r="U5" s="107">
        <v>2012</v>
      </c>
      <c r="V5" s="108">
        <v>2013</v>
      </c>
    </row>
    <row r="6" spans="1:22" s="20" customFormat="1" ht="15" customHeight="1">
      <c r="A6" s="31">
        <v>1</v>
      </c>
      <c r="B6" s="31" t="s">
        <v>55</v>
      </c>
      <c r="C6" s="3"/>
      <c r="D6" s="3"/>
      <c r="E6" s="11">
        <f aca="true" t="shared" si="0" ref="E6:E24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20" customFormat="1" ht="13.5" customHeight="1">
      <c r="A7" s="31">
        <v>2</v>
      </c>
      <c r="B7" s="31" t="s">
        <v>56</v>
      </c>
      <c r="C7" s="3"/>
      <c r="D7" s="3">
        <v>5</v>
      </c>
      <c r="E7" s="11">
        <f t="shared" si="0"/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20</v>
      </c>
      <c r="R7" s="3">
        <v>15</v>
      </c>
      <c r="S7" s="3"/>
      <c r="T7" s="3"/>
      <c r="U7" s="3"/>
      <c r="V7" s="3"/>
    </row>
    <row r="8" spans="1:22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16</v>
      </c>
      <c r="R8" s="3">
        <v>16</v>
      </c>
      <c r="S8" s="3"/>
      <c r="T8" s="3"/>
      <c r="U8" s="3"/>
      <c r="V8" s="3"/>
    </row>
    <row r="9" spans="1:22" s="20" customFormat="1" ht="12.75" customHeight="1">
      <c r="A9" s="31">
        <v>4</v>
      </c>
      <c r="B9" s="22" t="s">
        <v>58</v>
      </c>
      <c r="C9" s="3">
        <v>5</v>
      </c>
      <c r="D9" s="3">
        <v>1</v>
      </c>
      <c r="E9" s="11">
        <f t="shared" si="0"/>
        <v>-4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v>277</v>
      </c>
      <c r="T9" s="3">
        <v>149</v>
      </c>
      <c r="U9" s="3"/>
      <c r="V9" s="3"/>
    </row>
    <row r="10" spans="1:22" s="20" customFormat="1" ht="13.5" customHeight="1">
      <c r="A10" s="31">
        <v>5</v>
      </c>
      <c r="B10" s="91" t="s">
        <v>59</v>
      </c>
      <c r="C10" s="3">
        <v>1</v>
      </c>
      <c r="D10" s="3">
        <v>1</v>
      </c>
      <c r="E10" s="11">
        <f t="shared" si="0"/>
        <v>0</v>
      </c>
      <c r="F10" s="3"/>
      <c r="G10" s="3"/>
      <c r="H10" s="3"/>
      <c r="I10" s="3"/>
      <c r="J10" s="3"/>
      <c r="K10" s="3"/>
      <c r="L10" s="3">
        <v>2</v>
      </c>
      <c r="M10" s="3"/>
      <c r="N10" s="3"/>
      <c r="O10" s="3"/>
      <c r="P10" s="3"/>
      <c r="Q10" s="3"/>
      <c r="R10" s="3"/>
      <c r="S10" s="3">
        <v>23</v>
      </c>
      <c r="T10" s="3">
        <v>24</v>
      </c>
      <c r="U10" s="3"/>
      <c r="V10" s="3"/>
    </row>
    <row r="11" spans="1:22" s="20" customFormat="1" ht="12.75" customHeight="1">
      <c r="A11" s="31">
        <v>6</v>
      </c>
      <c r="B11" s="32" t="s">
        <v>72</v>
      </c>
      <c r="C11" s="3">
        <v>2</v>
      </c>
      <c r="D11" s="3">
        <v>2</v>
      </c>
      <c r="E11" s="11">
        <f t="shared" si="0"/>
        <v>0</v>
      </c>
      <c r="F11" s="3"/>
      <c r="G11" s="3"/>
      <c r="H11" s="3"/>
      <c r="I11" s="87"/>
      <c r="J11" s="87"/>
      <c r="K11" s="87"/>
      <c r="L11" s="87"/>
      <c r="M11" s="87"/>
      <c r="N11" s="87"/>
      <c r="O11" s="87"/>
      <c r="P11" s="87"/>
      <c r="Q11" s="87">
        <v>18</v>
      </c>
      <c r="R11" s="87">
        <v>11</v>
      </c>
      <c r="S11" s="87"/>
      <c r="T11" s="87"/>
      <c r="U11" s="87"/>
      <c r="V11" s="87"/>
    </row>
    <row r="12" spans="1:22" s="20" customFormat="1" ht="12.75" customHeight="1">
      <c r="A12" s="31">
        <v>8</v>
      </c>
      <c r="B12" s="32" t="s">
        <v>85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20" customFormat="1" ht="13.5" customHeight="1">
      <c r="A13" s="31">
        <v>9</v>
      </c>
      <c r="B13" s="32" t="s">
        <v>71</v>
      </c>
      <c r="C13" s="3"/>
      <c r="D13" s="3"/>
      <c r="E13" s="11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</v>
      </c>
      <c r="R13" s="3">
        <v>30</v>
      </c>
      <c r="S13" s="3"/>
      <c r="T13" s="3"/>
      <c r="U13" s="3">
        <v>4</v>
      </c>
      <c r="V13" s="3">
        <v>8</v>
      </c>
    </row>
    <row r="14" spans="1:22" s="20" customFormat="1" ht="12.75" customHeight="1">
      <c r="A14" s="31">
        <v>10</v>
      </c>
      <c r="B14" s="31" t="s">
        <v>60</v>
      </c>
      <c r="C14" s="3"/>
      <c r="D14" s="3">
        <v>2</v>
      </c>
      <c r="E14" s="11">
        <f t="shared" si="0"/>
        <v>2</v>
      </c>
      <c r="F14" s="3"/>
      <c r="G14" s="3"/>
      <c r="H14" s="3"/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20" customFormat="1" ht="12.75" customHeight="1">
      <c r="A15" s="31">
        <v>11</v>
      </c>
      <c r="B15" s="31" t="s">
        <v>61</v>
      </c>
      <c r="C15" s="3"/>
      <c r="D15" s="3">
        <v>2</v>
      </c>
      <c r="E15" s="11">
        <f t="shared" si="0"/>
        <v>2</v>
      </c>
      <c r="F15" s="3"/>
      <c r="G15" s="3"/>
      <c r="H15" s="3"/>
      <c r="I15" s="3"/>
      <c r="J15" s="3">
        <v>2</v>
      </c>
      <c r="K15" s="3"/>
      <c r="L15" s="3"/>
      <c r="M15" s="3"/>
      <c r="N15" s="3"/>
      <c r="O15" s="3"/>
      <c r="P15" s="3"/>
      <c r="Q15" s="3">
        <v>2</v>
      </c>
      <c r="R15" s="3">
        <v>26</v>
      </c>
      <c r="S15" s="3"/>
      <c r="T15" s="3"/>
      <c r="U15" s="3"/>
      <c r="V15" s="3"/>
    </row>
    <row r="16" spans="1:22" s="20" customFormat="1" ht="12.75" customHeight="1">
      <c r="A16" s="31">
        <v>12</v>
      </c>
      <c r="B16" s="31" t="s">
        <v>62</v>
      </c>
      <c r="C16" s="3"/>
      <c r="D16" s="3"/>
      <c r="E16" s="11"/>
      <c r="F16" s="3">
        <v>184</v>
      </c>
      <c r="G16" s="3">
        <v>226</v>
      </c>
      <c r="H16" s="3">
        <f>G16-F16</f>
        <v>42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562</v>
      </c>
      <c r="T16" s="3">
        <v>900</v>
      </c>
      <c r="U16" s="3"/>
      <c r="V16" s="3"/>
    </row>
    <row r="17" spans="1:22" s="20" customFormat="1" ht="12.75" customHeight="1">
      <c r="A17" s="31">
        <v>13</v>
      </c>
      <c r="B17" s="32" t="s">
        <v>70</v>
      </c>
      <c r="C17" s="3"/>
      <c r="D17" s="3"/>
      <c r="E17" s="1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0" customFormat="1" ht="12.75" customHeight="1">
      <c r="A18" s="31">
        <v>14</v>
      </c>
      <c r="B18" s="32" t="s">
        <v>103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20" customFormat="1" ht="44.25" customHeight="1">
      <c r="A19" s="138" t="s">
        <v>96</v>
      </c>
      <c r="B19" s="139"/>
      <c r="C19" s="3">
        <f>SUM(C6:C17)</f>
        <v>8</v>
      </c>
      <c r="D19" s="3">
        <f>SUM(D6:D17)</f>
        <v>13</v>
      </c>
      <c r="E19" s="11">
        <f t="shared" si="0"/>
        <v>5</v>
      </c>
      <c r="F19" s="3">
        <f>SUM(F10:F17)</f>
        <v>184</v>
      </c>
      <c r="G19" s="3">
        <f>SUM(G10:G17)</f>
        <v>226</v>
      </c>
      <c r="H19" s="3">
        <f>G19-F19</f>
        <v>42</v>
      </c>
      <c r="I19" s="3">
        <f>SUM(I6:I17)</f>
        <v>1</v>
      </c>
      <c r="J19" s="3">
        <f aca="true" t="shared" si="1" ref="J19:T19">SUM(J6:J17)</f>
        <v>2</v>
      </c>
      <c r="K19" s="3">
        <f t="shared" si="1"/>
        <v>0</v>
      </c>
      <c r="L19" s="3">
        <f t="shared" si="1"/>
        <v>2</v>
      </c>
      <c r="M19" s="3">
        <f t="shared" si="1"/>
        <v>0</v>
      </c>
      <c r="N19" s="3">
        <f t="shared" si="1"/>
        <v>0</v>
      </c>
      <c r="O19" s="3">
        <f t="shared" si="1"/>
        <v>0</v>
      </c>
      <c r="P19" s="3">
        <f t="shared" si="1"/>
        <v>0</v>
      </c>
      <c r="Q19" s="3">
        <f t="shared" si="1"/>
        <v>57</v>
      </c>
      <c r="R19" s="3">
        <f t="shared" si="1"/>
        <v>98</v>
      </c>
      <c r="S19" s="3">
        <f t="shared" si="1"/>
        <v>862</v>
      </c>
      <c r="T19" s="3">
        <f t="shared" si="1"/>
        <v>1073</v>
      </c>
      <c r="U19" s="3">
        <f>SUM(U6:U17)</f>
        <v>4</v>
      </c>
      <c r="V19" s="3">
        <f>SUM(V6:V17)</f>
        <v>8</v>
      </c>
    </row>
    <row r="20" spans="1:22" s="20" customFormat="1" ht="14.25" customHeight="1">
      <c r="A20" s="129">
        <v>1</v>
      </c>
      <c r="B20" s="32" t="s">
        <v>99</v>
      </c>
      <c r="C20" s="3"/>
      <c r="D20" s="3"/>
      <c r="E20" s="11"/>
      <c r="F20" s="3"/>
      <c r="G20" s="3"/>
      <c r="H20" s="3"/>
      <c r="I20" s="3"/>
      <c r="J20" s="3"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20" customFormat="1" ht="12.75" customHeight="1">
      <c r="A21" s="31">
        <v>2</v>
      </c>
      <c r="B21" s="32" t="s">
        <v>102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87"/>
      <c r="N21" s="3"/>
      <c r="O21" s="3"/>
      <c r="P21" s="3"/>
      <c r="Q21" s="3"/>
      <c r="R21" s="3"/>
      <c r="S21" s="127"/>
      <c r="T21" s="3"/>
      <c r="U21" s="3"/>
      <c r="V21" s="3"/>
    </row>
    <row r="22" spans="1:22" s="20" customFormat="1" ht="12.75" customHeight="1">
      <c r="A22" s="31">
        <v>3</v>
      </c>
      <c r="B22" s="32" t="s">
        <v>81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87"/>
      <c r="N22" s="3"/>
      <c r="O22" s="3"/>
      <c r="P22" s="3"/>
      <c r="Q22" s="3"/>
      <c r="R22" s="3"/>
      <c r="S22" s="127"/>
      <c r="T22" s="3"/>
      <c r="U22" s="3"/>
      <c r="V22" s="3"/>
    </row>
    <row r="23" spans="1:22" s="20" customFormat="1" ht="12.75" customHeight="1">
      <c r="A23" s="31">
        <v>4</v>
      </c>
      <c r="B23" s="32" t="s">
        <v>86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87"/>
      <c r="N23" s="3"/>
      <c r="O23" s="3"/>
      <c r="P23" s="3"/>
      <c r="Q23" s="3"/>
      <c r="R23" s="3"/>
      <c r="S23" s="127"/>
      <c r="T23" s="3"/>
      <c r="U23" s="3"/>
      <c r="V23" s="3"/>
    </row>
    <row r="24" spans="1:22" s="20" customFormat="1" ht="30" customHeight="1">
      <c r="A24" s="140" t="s">
        <v>88</v>
      </c>
      <c r="B24" s="141"/>
      <c r="C24" s="3">
        <f>SUM(C21:C23)</f>
        <v>0</v>
      </c>
      <c r="D24" s="3">
        <f>SUM(D21:D23)</f>
        <v>0</v>
      </c>
      <c r="E24" s="11">
        <f t="shared" si="0"/>
        <v>0</v>
      </c>
      <c r="F24" s="3">
        <f aca="true" t="shared" si="2" ref="F24:T24">SUM(F21:F23)</f>
        <v>0</v>
      </c>
      <c r="G24" s="3">
        <f t="shared" si="2"/>
        <v>0</v>
      </c>
      <c r="H24" s="3">
        <f>G24-F24</f>
        <v>0</v>
      </c>
      <c r="I24" s="3">
        <f t="shared" si="2"/>
        <v>0</v>
      </c>
      <c r="J24" s="3">
        <f>SUM(J20:J23)</f>
        <v>1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0</v>
      </c>
      <c r="Q24" s="3">
        <f t="shared" si="2"/>
        <v>0</v>
      </c>
      <c r="R24" s="3">
        <f t="shared" si="2"/>
        <v>0</v>
      </c>
      <c r="S24" s="3">
        <f t="shared" si="2"/>
        <v>0</v>
      </c>
      <c r="T24" s="3">
        <f t="shared" si="2"/>
        <v>0</v>
      </c>
      <c r="U24" s="3">
        <f>SUM(U21:U23)</f>
        <v>0</v>
      </c>
      <c r="V24" s="3">
        <f>SUM(V21:V23)</f>
        <v>0</v>
      </c>
    </row>
    <row r="25" spans="1:22" s="20" customFormat="1" ht="37.5" customHeight="1">
      <c r="A25" s="136" t="s">
        <v>89</v>
      </c>
      <c r="B25" s="137"/>
      <c r="C25" s="3">
        <f>C24+C19</f>
        <v>8</v>
      </c>
      <c r="D25" s="3">
        <f>D24+D19</f>
        <v>13</v>
      </c>
      <c r="E25" s="11">
        <f>D25-C25</f>
        <v>5</v>
      </c>
      <c r="F25" s="3">
        <f>F24+F19</f>
        <v>184</v>
      </c>
      <c r="G25" s="3">
        <f>G24+G19</f>
        <v>226</v>
      </c>
      <c r="H25" s="3">
        <f>G25-F25</f>
        <v>42</v>
      </c>
      <c r="I25" s="3">
        <f aca="true" t="shared" si="3" ref="I25:V25">I24+I19</f>
        <v>1</v>
      </c>
      <c r="J25" s="3">
        <f t="shared" si="3"/>
        <v>3</v>
      </c>
      <c r="K25" s="3">
        <f t="shared" si="3"/>
        <v>0</v>
      </c>
      <c r="L25" s="3">
        <f t="shared" si="3"/>
        <v>2</v>
      </c>
      <c r="M25" s="3">
        <f t="shared" si="3"/>
        <v>0</v>
      </c>
      <c r="N25" s="3">
        <f t="shared" si="3"/>
        <v>0</v>
      </c>
      <c r="O25" s="3">
        <f t="shared" si="3"/>
        <v>0</v>
      </c>
      <c r="P25" s="3">
        <f t="shared" si="3"/>
        <v>0</v>
      </c>
      <c r="Q25" s="3">
        <f t="shared" si="3"/>
        <v>57</v>
      </c>
      <c r="R25" s="3">
        <f t="shared" si="3"/>
        <v>98</v>
      </c>
      <c r="S25" s="3">
        <f t="shared" si="3"/>
        <v>862</v>
      </c>
      <c r="T25" s="3">
        <f t="shared" si="3"/>
        <v>1073</v>
      </c>
      <c r="U25" s="3">
        <f t="shared" si="3"/>
        <v>4</v>
      </c>
      <c r="V25" s="3">
        <f t="shared" si="3"/>
        <v>8</v>
      </c>
    </row>
  </sheetData>
  <sheetProtection/>
  <mergeCells count="17">
    <mergeCell ref="C1:R1"/>
    <mergeCell ref="F3:H3"/>
    <mergeCell ref="C3:E3"/>
    <mergeCell ref="C4:C5"/>
    <mergeCell ref="D4:D5"/>
    <mergeCell ref="F4:F5"/>
    <mergeCell ref="G4:G5"/>
    <mergeCell ref="M4:N4"/>
    <mergeCell ref="O4:P4"/>
    <mergeCell ref="U4:V4"/>
    <mergeCell ref="Q4:R4"/>
    <mergeCell ref="S4:T4"/>
    <mergeCell ref="I4:J4"/>
    <mergeCell ref="K4:L4"/>
    <mergeCell ref="A25:B25"/>
    <mergeCell ref="A19:B19"/>
    <mergeCell ref="A24:B24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75" zoomScaleNormal="65" zoomScaleSheetLayoutView="75" zoomScalePageLayoutView="0" workbookViewId="0" topLeftCell="A1">
      <selection activeCell="M34" sqref="M34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3" t="s">
        <v>114</v>
      </c>
      <c r="D1" s="93"/>
      <c r="E1" s="93"/>
      <c r="F1" s="93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14" t="s">
        <v>2</v>
      </c>
      <c r="B3" s="214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15"/>
      <c r="B4" s="215"/>
      <c r="C4" s="18">
        <v>2012</v>
      </c>
      <c r="D4" s="19">
        <v>2013</v>
      </c>
      <c r="E4" s="19" t="s">
        <v>105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16"/>
      <c r="B5" s="216"/>
      <c r="C5" s="40"/>
      <c r="D5" s="11"/>
      <c r="E5" s="11" t="s">
        <v>106</v>
      </c>
      <c r="F5" s="18">
        <v>2012</v>
      </c>
      <c r="G5" s="19">
        <v>2013</v>
      </c>
      <c r="H5" s="18">
        <v>2012</v>
      </c>
      <c r="I5" s="19">
        <v>2013</v>
      </c>
      <c r="J5" s="18">
        <v>2012</v>
      </c>
      <c r="K5" s="19">
        <v>2013</v>
      </c>
      <c r="L5" s="20"/>
      <c r="M5" s="20"/>
    </row>
    <row r="6" spans="1:13" ht="16.5">
      <c r="A6" s="31">
        <v>1</v>
      </c>
      <c r="B6" s="31" t="s">
        <v>55</v>
      </c>
      <c r="C6" s="82">
        <v>12.5</v>
      </c>
      <c r="D6" s="82">
        <v>2.5</v>
      </c>
      <c r="E6" s="81">
        <f aca="true" t="shared" si="0" ref="E6:E17">D6*100/C6</f>
        <v>20</v>
      </c>
      <c r="F6" s="82">
        <v>12.5</v>
      </c>
      <c r="G6" s="82">
        <v>2.5</v>
      </c>
      <c r="H6" s="82"/>
      <c r="I6" s="82"/>
      <c r="J6" s="82"/>
      <c r="K6" s="82"/>
      <c r="L6" s="20"/>
      <c r="M6" s="20"/>
    </row>
    <row r="7" spans="1:13" ht="16.5">
      <c r="A7" s="31">
        <v>2</v>
      </c>
      <c r="B7" s="31" t="s">
        <v>56</v>
      </c>
      <c r="C7" s="82">
        <v>2.6</v>
      </c>
      <c r="D7" s="82">
        <v>2.089</v>
      </c>
      <c r="E7" s="81">
        <f t="shared" si="0"/>
        <v>80.34615384615384</v>
      </c>
      <c r="F7" s="82">
        <v>2.6</v>
      </c>
      <c r="G7" s="82">
        <v>2.089</v>
      </c>
      <c r="H7" s="82"/>
      <c r="I7" s="82"/>
      <c r="J7" s="82"/>
      <c r="K7" s="82"/>
      <c r="L7" s="20"/>
      <c r="M7" s="20"/>
    </row>
    <row r="8" spans="1:13" ht="16.5">
      <c r="A8" s="31">
        <v>3</v>
      </c>
      <c r="B8" s="31" t="s">
        <v>57</v>
      </c>
      <c r="C8" s="82">
        <v>3</v>
      </c>
      <c r="D8" s="82">
        <v>4.1</v>
      </c>
      <c r="E8" s="81">
        <f t="shared" si="0"/>
        <v>136.66666666666666</v>
      </c>
      <c r="F8" s="82">
        <v>3</v>
      </c>
      <c r="G8" s="82">
        <v>4.1</v>
      </c>
      <c r="H8" s="82"/>
      <c r="I8" s="82"/>
      <c r="J8" s="82"/>
      <c r="K8" s="82"/>
      <c r="L8" s="20"/>
      <c r="M8" s="20"/>
    </row>
    <row r="9" spans="1:13" ht="16.5">
      <c r="A9" s="31">
        <v>4</v>
      </c>
      <c r="B9" s="41" t="s">
        <v>58</v>
      </c>
      <c r="C9" s="82">
        <v>20</v>
      </c>
      <c r="D9" s="82">
        <v>32.9</v>
      </c>
      <c r="E9" s="81">
        <f t="shared" si="0"/>
        <v>164.5</v>
      </c>
      <c r="F9" s="82">
        <v>19.5</v>
      </c>
      <c r="G9" s="82">
        <v>23.3</v>
      </c>
      <c r="H9" s="82">
        <v>0.5</v>
      </c>
      <c r="I9" s="82">
        <v>9</v>
      </c>
      <c r="J9" s="82"/>
      <c r="K9" s="82">
        <v>0.6</v>
      </c>
      <c r="L9" s="20"/>
      <c r="M9" s="20"/>
    </row>
    <row r="10" spans="1:13" ht="16.5">
      <c r="A10" s="31">
        <v>5</v>
      </c>
      <c r="B10" s="31" t="s">
        <v>59</v>
      </c>
      <c r="C10" s="82">
        <v>30.37</v>
      </c>
      <c r="D10" s="82">
        <v>7.988</v>
      </c>
      <c r="E10" s="81">
        <f t="shared" si="0"/>
        <v>26.302271978926573</v>
      </c>
      <c r="F10" s="82">
        <v>23.6</v>
      </c>
      <c r="G10" s="82">
        <v>6.388</v>
      </c>
      <c r="H10" s="82">
        <v>5.57</v>
      </c>
      <c r="I10" s="82">
        <v>1.6</v>
      </c>
      <c r="J10" s="82">
        <v>1.2</v>
      </c>
      <c r="K10" s="82"/>
      <c r="L10" s="20"/>
      <c r="M10" s="20"/>
    </row>
    <row r="11" spans="1:13" ht="16.5">
      <c r="A11" s="31">
        <v>6</v>
      </c>
      <c r="B11" s="32" t="s">
        <v>72</v>
      </c>
      <c r="C11" s="115">
        <v>4.75</v>
      </c>
      <c r="D11" s="115">
        <v>4.78</v>
      </c>
      <c r="E11" s="81">
        <f t="shared" si="0"/>
        <v>100.63157894736842</v>
      </c>
      <c r="F11" s="83">
        <v>4.75</v>
      </c>
      <c r="G11" s="83">
        <v>4.78</v>
      </c>
      <c r="H11" s="83"/>
      <c r="I11" s="83"/>
      <c r="J11" s="83"/>
      <c r="K11" s="83"/>
      <c r="L11" s="20"/>
      <c r="M11" s="20"/>
    </row>
    <row r="12" spans="1:13" ht="16.5">
      <c r="A12" s="31">
        <v>8</v>
      </c>
      <c r="B12" s="32" t="s">
        <v>85</v>
      </c>
      <c r="C12" s="82">
        <v>13.718</v>
      </c>
      <c r="D12" s="82">
        <v>7.846</v>
      </c>
      <c r="E12" s="81">
        <f t="shared" si="0"/>
        <v>57.19492637410701</v>
      </c>
      <c r="F12" s="83">
        <v>13.718</v>
      </c>
      <c r="G12" s="83">
        <v>7.846</v>
      </c>
      <c r="H12" s="83"/>
      <c r="I12" s="83"/>
      <c r="J12" s="83"/>
      <c r="K12" s="83"/>
      <c r="L12" s="20"/>
      <c r="M12" s="20"/>
    </row>
    <row r="13" spans="1:13" ht="16.5">
      <c r="A13" s="31">
        <v>9</v>
      </c>
      <c r="B13" s="32" t="s">
        <v>71</v>
      </c>
      <c r="C13" s="82">
        <v>4.99</v>
      </c>
      <c r="D13" s="82">
        <v>15.35</v>
      </c>
      <c r="E13" s="81">
        <f t="shared" si="0"/>
        <v>307.61523046092185</v>
      </c>
      <c r="F13" s="83">
        <v>4.53</v>
      </c>
      <c r="G13" s="83">
        <v>15.12</v>
      </c>
      <c r="H13" s="83"/>
      <c r="I13" s="83"/>
      <c r="J13" s="83">
        <v>0.46</v>
      </c>
      <c r="K13" s="83">
        <v>0.23</v>
      </c>
      <c r="L13" s="20"/>
      <c r="M13" s="20"/>
    </row>
    <row r="14" spans="1:13" ht="16.5">
      <c r="A14" s="31">
        <v>10</v>
      </c>
      <c r="B14" s="32" t="s">
        <v>60</v>
      </c>
      <c r="C14" s="82">
        <v>11.4</v>
      </c>
      <c r="D14" s="82">
        <v>7.5</v>
      </c>
      <c r="E14" s="81">
        <f t="shared" si="0"/>
        <v>65.78947368421052</v>
      </c>
      <c r="F14" s="83">
        <v>11.1</v>
      </c>
      <c r="G14" s="83">
        <v>7.5</v>
      </c>
      <c r="H14" s="83"/>
      <c r="I14" s="83"/>
      <c r="J14" s="83">
        <v>0.3</v>
      </c>
      <c r="K14" s="83"/>
      <c r="L14" s="20"/>
      <c r="M14" s="20"/>
    </row>
    <row r="15" spans="1:13" ht="16.5">
      <c r="A15" s="31">
        <v>11</v>
      </c>
      <c r="B15" s="32" t="s">
        <v>61</v>
      </c>
      <c r="C15" s="82">
        <v>3.1</v>
      </c>
      <c r="D15" s="82">
        <v>1.2</v>
      </c>
      <c r="E15" s="81">
        <f t="shared" si="0"/>
        <v>38.70967741935484</v>
      </c>
      <c r="F15" s="83">
        <v>3.1</v>
      </c>
      <c r="G15" s="83">
        <v>1.2</v>
      </c>
      <c r="H15" s="83"/>
      <c r="I15" s="83"/>
      <c r="J15" s="83"/>
      <c r="K15" s="83"/>
      <c r="L15" s="20"/>
      <c r="M15" s="20"/>
    </row>
    <row r="16" spans="1:13" ht="16.5">
      <c r="A16" s="31">
        <v>12</v>
      </c>
      <c r="B16" s="32" t="s">
        <v>62</v>
      </c>
      <c r="C16" s="82">
        <v>331</v>
      </c>
      <c r="D16" s="82">
        <v>413</v>
      </c>
      <c r="E16" s="81">
        <f t="shared" si="0"/>
        <v>124.77341389728096</v>
      </c>
      <c r="F16" s="83"/>
      <c r="G16" s="83"/>
      <c r="H16" s="83">
        <v>331</v>
      </c>
      <c r="I16" s="83">
        <v>413</v>
      </c>
      <c r="J16" s="83"/>
      <c r="K16" s="83"/>
      <c r="L16" s="20"/>
      <c r="M16" s="20"/>
    </row>
    <row r="17" spans="1:13" ht="16.5">
      <c r="A17" s="31">
        <v>13</v>
      </c>
      <c r="B17" s="32" t="s">
        <v>70</v>
      </c>
      <c r="C17" s="82">
        <v>1</v>
      </c>
      <c r="D17" s="82">
        <v>4.72</v>
      </c>
      <c r="E17" s="81">
        <f t="shared" si="0"/>
        <v>472</v>
      </c>
      <c r="F17" s="83"/>
      <c r="G17" s="83"/>
      <c r="H17" s="83"/>
      <c r="I17" s="83"/>
      <c r="J17" s="83">
        <v>1</v>
      </c>
      <c r="K17" s="83">
        <v>4.72</v>
      </c>
      <c r="L17" s="20"/>
      <c r="M17" s="20"/>
    </row>
    <row r="18" spans="1:13" ht="16.5">
      <c r="A18" s="31">
        <v>14</v>
      </c>
      <c r="B18" s="32" t="s">
        <v>103</v>
      </c>
      <c r="C18" s="82"/>
      <c r="D18" s="82"/>
      <c r="E18" s="81"/>
      <c r="F18" s="83"/>
      <c r="G18" s="83"/>
      <c r="H18" s="83"/>
      <c r="I18" s="83"/>
      <c r="J18" s="83"/>
      <c r="K18" s="83"/>
      <c r="L18" s="20"/>
      <c r="M18" s="20"/>
    </row>
    <row r="19" spans="1:13" ht="46.5" customHeight="1">
      <c r="A19" s="217" t="s">
        <v>87</v>
      </c>
      <c r="B19" s="218"/>
      <c r="C19" s="82">
        <f>SUM(C6:C17)</f>
        <v>438.428</v>
      </c>
      <c r="D19" s="82">
        <f>SUM(D6:D18)</f>
        <v>503.973</v>
      </c>
      <c r="E19" s="81">
        <f>D19*100/C19</f>
        <v>114.95000319322672</v>
      </c>
      <c r="F19" s="83">
        <f>SUM(F6:F17)</f>
        <v>98.398</v>
      </c>
      <c r="G19" s="83">
        <f>SUM(G6:G17)</f>
        <v>74.82300000000001</v>
      </c>
      <c r="H19" s="83">
        <f>SUM(H6:H17)</f>
        <v>337.07</v>
      </c>
      <c r="I19" s="83">
        <f>SUM(I6:I17)</f>
        <v>423.6</v>
      </c>
      <c r="J19" s="83">
        <f>SUM(J6:J17)</f>
        <v>2.96</v>
      </c>
      <c r="K19" s="83">
        <f>SUM(K6:K18)</f>
        <v>5.55</v>
      </c>
      <c r="L19" s="20"/>
      <c r="M19" s="20"/>
    </row>
    <row r="20" spans="1:13" ht="16.5">
      <c r="A20" s="31">
        <v>1</v>
      </c>
      <c r="B20" s="32" t="s">
        <v>99</v>
      </c>
      <c r="C20" s="2"/>
      <c r="D20" s="82">
        <v>0.099</v>
      </c>
      <c r="E20" s="81"/>
      <c r="F20" s="2"/>
      <c r="G20" s="82">
        <v>0.099</v>
      </c>
      <c r="H20" s="2"/>
      <c r="I20" s="2"/>
      <c r="J20" s="83"/>
      <c r="K20" s="83"/>
      <c r="L20" s="20"/>
      <c r="M20" s="20"/>
    </row>
    <row r="21" spans="1:13" ht="16.5">
      <c r="A21" s="31">
        <v>2</v>
      </c>
      <c r="B21" s="32" t="s">
        <v>102</v>
      </c>
      <c r="C21" s="2"/>
      <c r="D21" s="82">
        <v>0.13</v>
      </c>
      <c r="E21" s="81"/>
      <c r="F21" s="2"/>
      <c r="G21" s="2"/>
      <c r="H21" s="2"/>
      <c r="I21" s="2"/>
      <c r="J21" s="83"/>
      <c r="K21" s="83">
        <v>0.13</v>
      </c>
      <c r="L21" s="20"/>
      <c r="M21" s="20"/>
    </row>
    <row r="22" spans="1:13" ht="16.5">
      <c r="A22" s="31">
        <v>3</v>
      </c>
      <c r="B22" s="32" t="s">
        <v>81</v>
      </c>
      <c r="C22" s="82"/>
      <c r="D22" s="82"/>
      <c r="E22" s="81"/>
      <c r="F22" s="83"/>
      <c r="G22" s="83"/>
      <c r="H22" s="83"/>
      <c r="I22" s="83"/>
      <c r="J22" s="83"/>
      <c r="K22" s="83"/>
      <c r="L22" s="20"/>
      <c r="M22" s="20"/>
    </row>
    <row r="23" spans="1:13" ht="18">
      <c r="A23" s="31">
        <v>4</v>
      </c>
      <c r="B23" s="32" t="s">
        <v>86</v>
      </c>
      <c r="C23" s="82"/>
      <c r="D23" s="82"/>
      <c r="E23" s="81"/>
      <c r="F23" s="16"/>
      <c r="G23" s="83"/>
      <c r="H23" s="16"/>
      <c r="I23" s="83"/>
      <c r="J23" s="83"/>
      <c r="K23" s="83"/>
      <c r="L23" s="20"/>
      <c r="M23" s="20"/>
    </row>
    <row r="24" spans="1:13" ht="18">
      <c r="A24" s="219" t="s">
        <v>88</v>
      </c>
      <c r="B24" s="220"/>
      <c r="C24" s="130">
        <f>SUM(C22:C23)</f>
        <v>0</v>
      </c>
      <c r="D24" s="130">
        <f>SUM(D20:D23)</f>
        <v>0.229</v>
      </c>
      <c r="E24" s="131"/>
      <c r="F24" s="132">
        <f>SUM(F22:F23)</f>
        <v>0</v>
      </c>
      <c r="G24" s="133">
        <f>SUM(G20:G23)</f>
        <v>0.099</v>
      </c>
      <c r="H24" s="132">
        <f>SUM(H22:H23)</f>
        <v>0</v>
      </c>
      <c r="I24" s="133">
        <f>SUM(I20:I23)</f>
        <v>0</v>
      </c>
      <c r="J24" s="133">
        <f>SUM(J20:J23)</f>
        <v>0</v>
      </c>
      <c r="K24" s="133">
        <f>SUM(K20:K23)</f>
        <v>0.13</v>
      </c>
      <c r="L24" s="20"/>
      <c r="M24" s="20"/>
    </row>
    <row r="25" spans="1:13" ht="16.5">
      <c r="A25" s="212" t="s">
        <v>89</v>
      </c>
      <c r="B25" s="213"/>
      <c r="C25" s="84">
        <f>C19+C24</f>
        <v>438.428</v>
      </c>
      <c r="D25" s="84">
        <f>D19+D24</f>
        <v>504.202</v>
      </c>
      <c r="E25" s="81">
        <f>D25*100/C25</f>
        <v>115.00223525869697</v>
      </c>
      <c r="F25" s="84">
        <f aca="true" t="shared" si="1" ref="F25:K25">F19+F24</f>
        <v>98.398</v>
      </c>
      <c r="G25" s="84">
        <f t="shared" si="1"/>
        <v>74.92200000000001</v>
      </c>
      <c r="H25" s="84">
        <f t="shared" si="1"/>
        <v>337.07</v>
      </c>
      <c r="I25" s="84">
        <f t="shared" si="1"/>
        <v>423.6</v>
      </c>
      <c r="J25" s="84">
        <f t="shared" si="1"/>
        <v>2.96</v>
      </c>
      <c r="K25" s="84">
        <f t="shared" si="1"/>
        <v>5.68</v>
      </c>
      <c r="L25" s="20"/>
      <c r="M25" s="20"/>
    </row>
  </sheetData>
  <sheetProtection/>
  <mergeCells count="5">
    <mergeCell ref="A25:B25"/>
    <mergeCell ref="A3:A5"/>
    <mergeCell ref="B3:B5"/>
    <mergeCell ref="A19:B19"/>
    <mergeCell ref="A24:B24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N36" sqref="N36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8.625" style="0" customWidth="1"/>
    <col min="4" max="4" width="9.375" style="0" customWidth="1"/>
    <col min="5" max="5" width="8.25390625" style="0" customWidth="1"/>
    <col min="6" max="6" width="7.125" style="0" customWidth="1"/>
    <col min="7" max="7" width="7.6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122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7"/>
      <c r="B4" s="23" t="s">
        <v>3</v>
      </c>
      <c r="C4" s="26" t="s">
        <v>64</v>
      </c>
      <c r="D4" s="103"/>
      <c r="E4" s="103"/>
      <c r="F4" s="101"/>
      <c r="G4" s="101"/>
      <c r="H4" s="104"/>
      <c r="I4" s="96" t="s">
        <v>46</v>
      </c>
      <c r="J4" s="101"/>
      <c r="K4" s="103"/>
      <c r="L4" s="101"/>
      <c r="M4" s="101"/>
      <c r="N4" s="104"/>
      <c r="O4" s="96" t="s">
        <v>47</v>
      </c>
      <c r="P4" s="101"/>
      <c r="Q4" s="103"/>
      <c r="R4" s="101"/>
      <c r="S4" s="101"/>
      <c r="T4" s="104"/>
    </row>
    <row r="5" spans="1:20" ht="15" customHeight="1">
      <c r="A5" s="78" t="s">
        <v>2</v>
      </c>
      <c r="B5" s="33"/>
      <c r="C5" s="25" t="s">
        <v>48</v>
      </c>
      <c r="D5" s="101"/>
      <c r="E5" s="150" t="s">
        <v>113</v>
      </c>
      <c r="F5" s="96" t="s">
        <v>49</v>
      </c>
      <c r="G5" s="100"/>
      <c r="H5" s="150" t="s">
        <v>113</v>
      </c>
      <c r="I5" s="153" t="s">
        <v>48</v>
      </c>
      <c r="J5" s="153"/>
      <c r="K5" s="150" t="s">
        <v>113</v>
      </c>
      <c r="L5" s="153" t="s">
        <v>49</v>
      </c>
      <c r="M5" s="153"/>
      <c r="N5" s="150" t="s">
        <v>113</v>
      </c>
      <c r="O5" s="101" t="s">
        <v>48</v>
      </c>
      <c r="P5" s="101"/>
      <c r="Q5" s="150" t="s">
        <v>113</v>
      </c>
      <c r="R5" s="154" t="s">
        <v>49</v>
      </c>
      <c r="S5" s="155"/>
      <c r="T5" s="150" t="s">
        <v>113</v>
      </c>
    </row>
    <row r="6" spans="1:20" ht="15">
      <c r="A6" s="78" t="s">
        <v>69</v>
      </c>
      <c r="B6" s="33"/>
      <c r="C6" s="148">
        <v>2012</v>
      </c>
      <c r="D6" s="148">
        <v>2013</v>
      </c>
      <c r="E6" s="151"/>
      <c r="F6" s="148">
        <v>2012</v>
      </c>
      <c r="G6" s="148">
        <v>2013</v>
      </c>
      <c r="H6" s="151"/>
      <c r="I6" s="148">
        <v>2012</v>
      </c>
      <c r="J6" s="148">
        <v>2013</v>
      </c>
      <c r="K6" s="151"/>
      <c r="L6" s="148">
        <v>2012</v>
      </c>
      <c r="M6" s="148">
        <v>2013</v>
      </c>
      <c r="N6" s="151"/>
      <c r="O6" s="148">
        <v>2012</v>
      </c>
      <c r="P6" s="148">
        <v>2013</v>
      </c>
      <c r="Q6" s="151"/>
      <c r="R6" s="148">
        <v>2012</v>
      </c>
      <c r="S6" s="148">
        <v>2013</v>
      </c>
      <c r="T6" s="151"/>
    </row>
    <row r="7" spans="1:20" ht="15">
      <c r="A7" s="79"/>
      <c r="B7" s="29"/>
      <c r="C7" s="149"/>
      <c r="D7" s="149"/>
      <c r="E7" s="152"/>
      <c r="F7" s="149"/>
      <c r="G7" s="149"/>
      <c r="H7" s="152"/>
      <c r="I7" s="149"/>
      <c r="J7" s="149"/>
      <c r="K7" s="152"/>
      <c r="L7" s="149"/>
      <c r="M7" s="149"/>
      <c r="N7" s="152"/>
      <c r="O7" s="149"/>
      <c r="P7" s="149"/>
      <c r="Q7" s="152"/>
      <c r="R7" s="149"/>
      <c r="S7" s="149"/>
      <c r="T7" s="152"/>
    </row>
    <row r="8" spans="1:20" ht="15">
      <c r="A8" s="2">
        <v>1</v>
      </c>
      <c r="B8" s="22" t="s">
        <v>55</v>
      </c>
      <c r="C8" s="3">
        <v>95</v>
      </c>
      <c r="D8" s="3">
        <v>40.4</v>
      </c>
      <c r="E8" s="36">
        <f aca="true" t="shared" si="0" ref="E8:E17">D8/C8*100</f>
        <v>42.526315789473685</v>
      </c>
      <c r="F8" s="3"/>
      <c r="G8" s="3"/>
      <c r="H8" s="36"/>
      <c r="I8" s="3">
        <v>16480</v>
      </c>
      <c r="J8" s="3">
        <v>14382</v>
      </c>
      <c r="K8" s="36">
        <f>J8*100/I8</f>
        <v>87.26941747572816</v>
      </c>
      <c r="L8" s="3"/>
      <c r="M8" s="3"/>
      <c r="N8" s="36"/>
      <c r="O8" s="36">
        <f aca="true" t="shared" si="1" ref="O8:O17">C8/I8*100000</f>
        <v>576.4563106796116</v>
      </c>
      <c r="P8" s="36">
        <f aca="true" t="shared" si="2" ref="P8:P16">D8/J8*100000</f>
        <v>280.9066889167014</v>
      </c>
      <c r="Q8" s="36">
        <f aca="true" t="shared" si="3" ref="Q8:Q17">P8/O8*100</f>
        <v>48.72991824576041</v>
      </c>
      <c r="R8" s="36"/>
      <c r="S8" s="36"/>
      <c r="T8" s="36"/>
    </row>
    <row r="9" spans="1:20" ht="15">
      <c r="A9" s="2">
        <v>2</v>
      </c>
      <c r="B9" s="22" t="s">
        <v>56</v>
      </c>
      <c r="C9" s="3">
        <v>50.78</v>
      </c>
      <c r="D9" s="3">
        <v>66.25</v>
      </c>
      <c r="E9" s="36">
        <f t="shared" si="0"/>
        <v>130.46474990153604</v>
      </c>
      <c r="F9" s="3"/>
      <c r="G9" s="3"/>
      <c r="H9" s="36"/>
      <c r="I9" s="3">
        <v>14531</v>
      </c>
      <c r="J9" s="3">
        <v>15769</v>
      </c>
      <c r="K9" s="36">
        <f aca="true" t="shared" si="4" ref="K9:K23">J9*100/I9</f>
        <v>108.51971646824032</v>
      </c>
      <c r="L9" s="3"/>
      <c r="M9" s="3"/>
      <c r="N9" s="36"/>
      <c r="O9" s="36">
        <f t="shared" si="1"/>
        <v>349.45977565205425</v>
      </c>
      <c r="P9" s="36">
        <f t="shared" si="2"/>
        <v>420.1280994356015</v>
      </c>
      <c r="Q9" s="36">
        <f t="shared" si="3"/>
        <v>120.22216252262159</v>
      </c>
      <c r="R9" s="36"/>
      <c r="S9" s="36"/>
      <c r="T9" s="36"/>
    </row>
    <row r="10" spans="1:20" ht="15">
      <c r="A10" s="2">
        <v>3</v>
      </c>
      <c r="B10" s="37" t="s">
        <v>57</v>
      </c>
      <c r="C10" s="19">
        <v>32</v>
      </c>
      <c r="D10" s="19">
        <v>35.74</v>
      </c>
      <c r="E10" s="36">
        <f t="shared" si="0"/>
        <v>111.6875</v>
      </c>
      <c r="F10" s="19"/>
      <c r="G10" s="19"/>
      <c r="H10" s="36"/>
      <c r="I10" s="3">
        <v>4872</v>
      </c>
      <c r="J10" s="3">
        <v>6290</v>
      </c>
      <c r="K10" s="36">
        <f t="shared" si="4"/>
        <v>129.10509031198686</v>
      </c>
      <c r="L10" s="19"/>
      <c r="M10" s="19"/>
      <c r="N10" s="86"/>
      <c r="O10" s="36">
        <f t="shared" si="1"/>
        <v>656.8144499178982</v>
      </c>
      <c r="P10" s="36">
        <f t="shared" si="2"/>
        <v>568.2034976152623</v>
      </c>
      <c r="Q10" s="36">
        <f t="shared" si="3"/>
        <v>86.50898251192369</v>
      </c>
      <c r="R10" s="86"/>
      <c r="S10" s="86"/>
      <c r="T10" s="86"/>
    </row>
    <row r="11" spans="1:20" ht="15">
      <c r="A11" s="2">
        <v>4</v>
      </c>
      <c r="B11" s="22" t="s">
        <v>58</v>
      </c>
      <c r="C11" s="3">
        <v>187.6</v>
      </c>
      <c r="D11" s="3">
        <v>290.6</v>
      </c>
      <c r="E11" s="36">
        <f t="shared" si="0"/>
        <v>154.9040511727079</v>
      </c>
      <c r="F11" s="3">
        <v>95</v>
      </c>
      <c r="G11" s="3">
        <v>42.7</v>
      </c>
      <c r="H11" s="36">
        <f>G11/F11*100</f>
        <v>44.94736842105264</v>
      </c>
      <c r="I11" s="3">
        <v>50261</v>
      </c>
      <c r="J11" s="3">
        <v>59638</v>
      </c>
      <c r="K11" s="36">
        <f t="shared" si="4"/>
        <v>118.65661248283958</v>
      </c>
      <c r="L11" s="3">
        <v>23070</v>
      </c>
      <c r="M11" s="3">
        <v>22211</v>
      </c>
      <c r="N11" s="36">
        <f>M11/L11*100</f>
        <v>96.27654963155614</v>
      </c>
      <c r="O11" s="36">
        <f t="shared" si="1"/>
        <v>373.25162650961977</v>
      </c>
      <c r="P11" s="36">
        <f t="shared" si="2"/>
        <v>487.27321506422084</v>
      </c>
      <c r="Q11" s="36">
        <f t="shared" si="3"/>
        <v>130.54818263508957</v>
      </c>
      <c r="R11" s="36">
        <f>F11/L11*100000</f>
        <v>411.79020372778496</v>
      </c>
      <c r="S11" s="36">
        <f>G11/M11*100000</f>
        <v>192.2470847778128</v>
      </c>
      <c r="T11" s="36">
        <f>S11/R11*100</f>
        <v>46.685686798148865</v>
      </c>
    </row>
    <row r="12" spans="1:20" ht="15">
      <c r="A12" s="2">
        <v>5</v>
      </c>
      <c r="B12" s="22" t="s">
        <v>59</v>
      </c>
      <c r="C12" s="87">
        <v>93</v>
      </c>
      <c r="D12" s="87">
        <v>59.29</v>
      </c>
      <c r="E12" s="88">
        <f t="shared" si="0"/>
        <v>63.752688172043015</v>
      </c>
      <c r="F12" s="87">
        <v>7.72</v>
      </c>
      <c r="G12" s="87">
        <v>2.63</v>
      </c>
      <c r="H12" s="36">
        <f>G12/F12*100</f>
        <v>34.067357512953365</v>
      </c>
      <c r="I12" s="3">
        <v>20649</v>
      </c>
      <c r="J12" s="3">
        <v>23423</v>
      </c>
      <c r="K12" s="36">
        <f t="shared" si="4"/>
        <v>113.43406460361277</v>
      </c>
      <c r="L12" s="3">
        <v>8586</v>
      </c>
      <c r="M12" s="3">
        <v>5200</v>
      </c>
      <c r="N12" s="36">
        <f>M12/L12*100</f>
        <v>60.5637083624505</v>
      </c>
      <c r="O12" s="36">
        <f t="shared" si="1"/>
        <v>450.38500653784683</v>
      </c>
      <c r="P12" s="36">
        <f t="shared" si="2"/>
        <v>253.12726806984588</v>
      </c>
      <c r="Q12" s="36">
        <f t="shared" si="3"/>
        <v>56.20241890724997</v>
      </c>
      <c r="R12" s="36">
        <f>F12/L12*100000</f>
        <v>89.91381318425344</v>
      </c>
      <c r="S12" s="36">
        <f>G12/M12*100000</f>
        <v>50.57692307692307</v>
      </c>
      <c r="T12" s="36">
        <f>S12/R12*100</f>
        <v>56.25044838581107</v>
      </c>
    </row>
    <row r="13" spans="1:20" ht="15">
      <c r="A13" s="2">
        <v>6</v>
      </c>
      <c r="B13" s="38" t="s">
        <v>72</v>
      </c>
      <c r="C13" s="87">
        <v>108.54</v>
      </c>
      <c r="D13" s="87">
        <v>72.57</v>
      </c>
      <c r="E13" s="88">
        <f t="shared" si="0"/>
        <v>66.86014372581536</v>
      </c>
      <c r="F13" s="87"/>
      <c r="G13" s="87"/>
      <c r="H13" s="88"/>
      <c r="I13" s="87">
        <v>17284</v>
      </c>
      <c r="J13" s="87">
        <v>13731</v>
      </c>
      <c r="K13" s="36">
        <f t="shared" si="4"/>
        <v>79.44341587595464</v>
      </c>
      <c r="L13" s="87"/>
      <c r="M13" s="87"/>
      <c r="N13" s="88"/>
      <c r="O13" s="36">
        <f t="shared" si="1"/>
        <v>627.9796343439019</v>
      </c>
      <c r="P13" s="36">
        <f t="shared" si="2"/>
        <v>528.5121258466244</v>
      </c>
      <c r="Q13" s="36">
        <f t="shared" si="3"/>
        <v>84.16071110312377</v>
      </c>
      <c r="R13" s="36"/>
      <c r="S13" s="36"/>
      <c r="T13" s="88"/>
    </row>
    <row r="14" spans="1:20" ht="15">
      <c r="A14" s="2">
        <v>8</v>
      </c>
      <c r="B14" s="32" t="s">
        <v>85</v>
      </c>
      <c r="C14" s="87">
        <v>74.51</v>
      </c>
      <c r="D14" s="87">
        <v>80.6</v>
      </c>
      <c r="E14" s="88">
        <f t="shared" si="0"/>
        <v>108.17339954368539</v>
      </c>
      <c r="F14" s="87"/>
      <c r="G14" s="87"/>
      <c r="H14" s="88"/>
      <c r="I14" s="87">
        <v>18775</v>
      </c>
      <c r="J14" s="87">
        <v>23740</v>
      </c>
      <c r="K14" s="36">
        <f t="shared" si="4"/>
        <v>126.44474034620507</v>
      </c>
      <c r="L14" s="87"/>
      <c r="M14" s="87"/>
      <c r="N14" s="88"/>
      <c r="O14" s="36">
        <f t="shared" si="1"/>
        <v>396.8575233022637</v>
      </c>
      <c r="P14" s="36">
        <f t="shared" si="2"/>
        <v>339.5113732097725</v>
      </c>
      <c r="Q14" s="90">
        <f t="shared" si="3"/>
        <v>85.54994003507554</v>
      </c>
      <c r="R14" s="36"/>
      <c r="S14" s="3"/>
      <c r="T14" s="88"/>
    </row>
    <row r="15" spans="1:20" s="69" customFormat="1" ht="15">
      <c r="A15" s="2">
        <v>9</v>
      </c>
      <c r="B15" s="32" t="s">
        <v>71</v>
      </c>
      <c r="C15" s="89">
        <v>89.57</v>
      </c>
      <c r="D15" s="89">
        <v>42.96</v>
      </c>
      <c r="E15" s="90">
        <f t="shared" si="0"/>
        <v>47.96248743999107</v>
      </c>
      <c r="F15" s="89"/>
      <c r="G15" s="89"/>
      <c r="H15" s="90"/>
      <c r="I15" s="89">
        <v>18625</v>
      </c>
      <c r="J15" s="89">
        <v>16860</v>
      </c>
      <c r="K15" s="36">
        <f t="shared" si="4"/>
        <v>90.52348993288591</v>
      </c>
      <c r="L15" s="89"/>
      <c r="M15" s="89"/>
      <c r="N15" s="90"/>
      <c r="O15" s="36">
        <f t="shared" si="1"/>
        <v>480.9127516778523</v>
      </c>
      <c r="P15" s="36">
        <f t="shared" si="2"/>
        <v>254.80427046263347</v>
      </c>
      <c r="Q15" s="90">
        <f t="shared" si="3"/>
        <v>52.98347144542311</v>
      </c>
      <c r="R15" s="36"/>
      <c r="S15" s="36"/>
      <c r="T15" s="36"/>
    </row>
    <row r="16" spans="1:20" ht="15">
      <c r="A16" s="2">
        <v>10</v>
      </c>
      <c r="B16" s="38" t="s">
        <v>60</v>
      </c>
      <c r="C16" s="87">
        <v>67</v>
      </c>
      <c r="D16" s="87">
        <v>84</v>
      </c>
      <c r="E16" s="88">
        <f t="shared" si="0"/>
        <v>125.37313432835822</v>
      </c>
      <c r="F16" s="87"/>
      <c r="G16" s="87"/>
      <c r="H16" s="88"/>
      <c r="I16" s="87">
        <v>16551</v>
      </c>
      <c r="J16" s="87">
        <v>17318</v>
      </c>
      <c r="K16" s="36">
        <f t="shared" si="4"/>
        <v>104.63416107788049</v>
      </c>
      <c r="L16" s="87"/>
      <c r="M16" s="87"/>
      <c r="N16" s="88"/>
      <c r="O16" s="36">
        <f t="shared" si="1"/>
        <v>404.8093770769138</v>
      </c>
      <c r="P16" s="36">
        <f t="shared" si="2"/>
        <v>485.0444624090542</v>
      </c>
      <c r="Q16" s="88">
        <f t="shared" si="3"/>
        <v>119.82046115421277</v>
      </c>
      <c r="R16" s="36"/>
      <c r="S16" s="36"/>
      <c r="T16" s="88"/>
    </row>
    <row r="17" spans="1:20" ht="15">
      <c r="A17" s="2">
        <v>11</v>
      </c>
      <c r="B17" s="38" t="s">
        <v>61</v>
      </c>
      <c r="C17" s="87">
        <v>17.4</v>
      </c>
      <c r="D17" s="87">
        <v>7.15</v>
      </c>
      <c r="E17" s="88">
        <f t="shared" si="0"/>
        <v>41.09195402298852</v>
      </c>
      <c r="F17" s="87"/>
      <c r="G17" s="87"/>
      <c r="H17" s="88"/>
      <c r="I17" s="87">
        <v>2334</v>
      </c>
      <c r="J17" s="87">
        <v>1501</v>
      </c>
      <c r="K17" s="36">
        <f t="shared" si="4"/>
        <v>64.3101970865467</v>
      </c>
      <c r="L17" s="87"/>
      <c r="M17" s="87"/>
      <c r="N17" s="88"/>
      <c r="O17" s="36">
        <f t="shared" si="1"/>
        <v>745.5012853470437</v>
      </c>
      <c r="P17" s="36">
        <f>D17/J17*100000</f>
        <v>476.3491005996003</v>
      </c>
      <c r="Q17" s="88">
        <f t="shared" si="3"/>
        <v>63.89648280456708</v>
      </c>
      <c r="R17" s="36"/>
      <c r="S17" s="36"/>
      <c r="T17" s="88"/>
    </row>
    <row r="18" spans="1:20" ht="15">
      <c r="A18" s="2">
        <v>12</v>
      </c>
      <c r="B18" s="80" t="s">
        <v>62</v>
      </c>
      <c r="C18" s="120"/>
      <c r="D18" s="87"/>
      <c r="E18" s="88"/>
      <c r="F18" s="87">
        <v>3553</v>
      </c>
      <c r="G18" s="87">
        <v>4218</v>
      </c>
      <c r="H18" s="88">
        <f>G18/F18*100</f>
        <v>118.71657754010695</v>
      </c>
      <c r="I18" s="3"/>
      <c r="J18" s="87"/>
      <c r="K18" s="36"/>
      <c r="L18" s="87">
        <v>871168</v>
      </c>
      <c r="M18" s="87">
        <v>963621</v>
      </c>
      <c r="N18" s="88">
        <f>M18/L18*100</f>
        <v>110.61253397737289</v>
      </c>
      <c r="O18" s="36"/>
      <c r="P18" s="36"/>
      <c r="Q18" s="88"/>
      <c r="R18" s="36">
        <f aca="true" t="shared" si="5" ref="R18:S21">F18/L18*100000</f>
        <v>407.8432632970908</v>
      </c>
      <c r="S18" s="36">
        <f t="shared" si="5"/>
        <v>437.7239599386066</v>
      </c>
      <c r="T18" s="88">
        <f>S18/R18*100</f>
        <v>107.3265147007588</v>
      </c>
    </row>
    <row r="19" spans="1:20" ht="43.5" customHeight="1">
      <c r="A19" s="138" t="s">
        <v>96</v>
      </c>
      <c r="B19" s="139"/>
      <c r="C19" s="121">
        <f>SUM(C8:C18)</f>
        <v>815.4</v>
      </c>
      <c r="D19" s="3">
        <f>SUM(D8:D18)</f>
        <v>779.5600000000001</v>
      </c>
      <c r="E19" s="36">
        <f>D19/C19*100</f>
        <v>95.60461123375032</v>
      </c>
      <c r="F19" s="36">
        <f>SUM(F11:F18)</f>
        <v>3655.72</v>
      </c>
      <c r="G19" s="3">
        <f>SUM(G11:G18)</f>
        <v>4263.33</v>
      </c>
      <c r="H19" s="36">
        <f>G19/F19*100</f>
        <v>116.62080246846038</v>
      </c>
      <c r="I19" s="3">
        <f>SUM(I8:I18)</f>
        <v>180362</v>
      </c>
      <c r="J19" s="3">
        <f>SUM(J8:J18)</f>
        <v>192652</v>
      </c>
      <c r="K19" s="36">
        <f t="shared" si="4"/>
        <v>106.81407391800934</v>
      </c>
      <c r="L19" s="3">
        <f>SUM(L11:L18)</f>
        <v>902824</v>
      </c>
      <c r="M19" s="3">
        <f>SUM(M11:M18)</f>
        <v>991032</v>
      </c>
      <c r="N19" s="36">
        <f>M19/L19*100</f>
        <v>109.77023207181023</v>
      </c>
      <c r="O19" s="36">
        <f aca="true" t="shared" si="6" ref="O19:P23">C19/I19*100000</f>
        <v>452.09079517858527</v>
      </c>
      <c r="P19" s="36">
        <f t="shared" si="6"/>
        <v>404.6467205115961</v>
      </c>
      <c r="Q19" s="36">
        <f>P19/O19*100</f>
        <v>89.505631352603</v>
      </c>
      <c r="R19" s="36">
        <f t="shared" si="5"/>
        <v>404.9205603750011</v>
      </c>
      <c r="S19" s="36">
        <f t="shared" si="5"/>
        <v>430.19095246167626</v>
      </c>
      <c r="T19" s="36">
        <f>S19/R19*100</f>
        <v>106.24082710526528</v>
      </c>
    </row>
    <row r="20" spans="1:20" ht="17.25" customHeight="1">
      <c r="A20" s="129">
        <v>13</v>
      </c>
      <c r="B20" s="32" t="s">
        <v>99</v>
      </c>
      <c r="C20" s="121"/>
      <c r="D20" s="3">
        <v>2</v>
      </c>
      <c r="E20" s="36"/>
      <c r="F20" s="36"/>
      <c r="G20" s="3"/>
      <c r="H20" s="36"/>
      <c r="I20" s="3"/>
      <c r="J20" s="3">
        <v>547</v>
      </c>
      <c r="K20" s="36"/>
      <c r="L20" s="3"/>
      <c r="M20" s="3"/>
      <c r="N20" s="36"/>
      <c r="O20" s="36"/>
      <c r="P20" s="36">
        <f t="shared" si="6"/>
        <v>365.6307129798903</v>
      </c>
      <c r="Q20" s="36"/>
      <c r="R20" s="36"/>
      <c r="S20" s="36"/>
      <c r="T20" s="36"/>
    </row>
    <row r="21" spans="1:20" ht="15">
      <c r="A21" s="2">
        <v>13</v>
      </c>
      <c r="B21" s="32" t="s">
        <v>81</v>
      </c>
      <c r="C21" s="95"/>
      <c r="D21" s="87"/>
      <c r="E21" s="36"/>
      <c r="F21" s="87">
        <v>23</v>
      </c>
      <c r="G21" s="87"/>
      <c r="H21" s="36"/>
      <c r="I21" s="3"/>
      <c r="J21" s="87"/>
      <c r="K21" s="36"/>
      <c r="L21" s="87">
        <v>11735</v>
      </c>
      <c r="M21" s="87"/>
      <c r="N21" s="88">
        <f>M21/L21*100</f>
        <v>0</v>
      </c>
      <c r="O21" s="36"/>
      <c r="P21" s="36"/>
      <c r="Q21" s="36"/>
      <c r="R21" s="36">
        <f t="shared" si="5"/>
        <v>195.994887089902</v>
      </c>
      <c r="S21" s="36"/>
      <c r="T21" s="36"/>
    </row>
    <row r="22" spans="1:20" ht="18" customHeight="1">
      <c r="A22" s="140" t="s">
        <v>88</v>
      </c>
      <c r="B22" s="141"/>
      <c r="C22" s="87"/>
      <c r="D22" s="87">
        <f>SUM(D20:D21)</f>
        <v>2</v>
      </c>
      <c r="E22" s="87"/>
      <c r="F22" s="88">
        <f>SUM(F20:F21)</f>
        <v>23</v>
      </c>
      <c r="G22" s="88">
        <f>SUM(G20:G21)</f>
        <v>0</v>
      </c>
      <c r="H22" s="36"/>
      <c r="I22" s="3"/>
      <c r="J22" s="87">
        <f>SUM(J20:J21)</f>
        <v>547</v>
      </c>
      <c r="K22" s="36"/>
      <c r="L22" s="87">
        <f>SUM(L21)</f>
        <v>11735</v>
      </c>
      <c r="M22" s="87">
        <f>SUM(M21)</f>
        <v>0</v>
      </c>
      <c r="N22" s="88">
        <f>M22/L22*100</f>
        <v>0</v>
      </c>
      <c r="O22" s="36"/>
      <c r="P22" s="36">
        <f t="shared" si="6"/>
        <v>365.6307129798903</v>
      </c>
      <c r="Q22" s="36"/>
      <c r="R22" s="36">
        <f>F22/L22*100000</f>
        <v>195.994887089902</v>
      </c>
      <c r="S22" s="36"/>
      <c r="T22" s="36"/>
    </row>
    <row r="23" spans="1:20" ht="36.75" customHeight="1">
      <c r="A23" s="136" t="s">
        <v>89</v>
      </c>
      <c r="B23" s="137"/>
      <c r="C23" s="88">
        <f>C19+C22</f>
        <v>815.4</v>
      </c>
      <c r="D23" s="88">
        <f>D19+D22</f>
        <v>781.5600000000001</v>
      </c>
      <c r="E23" s="36">
        <f>D23/C23*100</f>
        <v>95.84988962472407</v>
      </c>
      <c r="F23" s="88">
        <f>F19+F22</f>
        <v>3678.72</v>
      </c>
      <c r="G23" s="88">
        <f>G19+G22</f>
        <v>4263.33</v>
      </c>
      <c r="H23" s="36">
        <f>G23/F23*100</f>
        <v>115.89166884133613</v>
      </c>
      <c r="I23" s="88">
        <f>I19+I22</f>
        <v>180362</v>
      </c>
      <c r="J23" s="88">
        <f>J19+J22</f>
        <v>193199</v>
      </c>
      <c r="K23" s="36">
        <f t="shared" si="4"/>
        <v>107.11735287920959</v>
      </c>
      <c r="L23" s="88">
        <f>L19+L22</f>
        <v>914559</v>
      </c>
      <c r="M23" s="88">
        <f>M19+M22</f>
        <v>991032</v>
      </c>
      <c r="N23" s="88"/>
      <c r="O23" s="36">
        <f t="shared" si="6"/>
        <v>452.09079517858527</v>
      </c>
      <c r="P23" s="36">
        <f t="shared" si="6"/>
        <v>404.53625536364063</v>
      </c>
      <c r="Q23" s="36">
        <f>P23/O23*100</f>
        <v>89.48119706879686</v>
      </c>
      <c r="R23" s="36">
        <f>F23/L23*100000</f>
        <v>402.2397680193405</v>
      </c>
      <c r="S23" s="36">
        <f>G23/M23*100000</f>
        <v>430.19095246167626</v>
      </c>
      <c r="T23" s="36">
        <f>S23/R23*100</f>
        <v>106.94888637689147</v>
      </c>
    </row>
  </sheetData>
  <sheetProtection/>
  <mergeCells count="24">
    <mergeCell ref="C6:C7"/>
    <mergeCell ref="D6:D7"/>
    <mergeCell ref="A23:B23"/>
    <mergeCell ref="T5:T7"/>
    <mergeCell ref="L5:M5"/>
    <mergeCell ref="R5:S5"/>
    <mergeCell ref="L6:L7"/>
    <mergeCell ref="M6:M7"/>
    <mergeCell ref="A19:B19"/>
    <mergeCell ref="A22:B22"/>
    <mergeCell ref="F6:F7"/>
    <mergeCell ref="I6:I7"/>
    <mergeCell ref="K5:K7"/>
    <mergeCell ref="E5:E7"/>
    <mergeCell ref="Q5:Q7"/>
    <mergeCell ref="N5:N7"/>
    <mergeCell ref="I5:J5"/>
    <mergeCell ref="P6:P7"/>
    <mergeCell ref="R6:R7"/>
    <mergeCell ref="O6:O7"/>
    <mergeCell ref="G6:G7"/>
    <mergeCell ref="H5:H7"/>
    <mergeCell ref="J6:J7"/>
    <mergeCell ref="S6:S7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75" zoomScaleNormal="50" zoomScaleSheetLayoutView="75" zoomScalePageLayoutView="0" workbookViewId="0" topLeftCell="A1">
      <selection activeCell="K42" sqref="K42"/>
    </sheetView>
  </sheetViews>
  <sheetFormatPr defaultColWidth="9.00390625" defaultRowHeight="12.75"/>
  <cols>
    <col min="1" max="1" width="3.625" style="0" customWidth="1"/>
    <col min="2" max="2" width="34.625" style="0" customWidth="1"/>
    <col min="3" max="3" width="7.25390625" style="0" customWidth="1"/>
    <col min="4" max="4" width="7.125" style="0" customWidth="1"/>
    <col min="5" max="5" width="8.125" style="0" customWidth="1"/>
    <col min="6" max="6" width="9.75390625" style="0" customWidth="1"/>
    <col min="7" max="7" width="7.125" style="0" customWidth="1"/>
    <col min="8" max="8" width="7.375" style="0" customWidth="1"/>
    <col min="9" max="9" width="8.75390625" style="0" customWidth="1"/>
    <col min="10" max="10" width="8.375" style="0" customWidth="1"/>
    <col min="11" max="11" width="9.625" style="0" customWidth="1"/>
    <col min="12" max="12" width="13.75390625" style="0" customWidth="1"/>
    <col min="13" max="13" width="14.375" style="0" customWidth="1"/>
    <col min="14" max="14" width="9.125" style="72" customWidth="1"/>
  </cols>
  <sheetData>
    <row r="1" ht="15.75">
      <c r="C1" s="1" t="s">
        <v>121</v>
      </c>
    </row>
    <row r="2" spans="1:13" ht="15">
      <c r="A2" s="20"/>
      <c r="B2" s="20"/>
      <c r="C2" s="20"/>
      <c r="D2" s="20"/>
      <c r="E2" s="20"/>
      <c r="F2" s="20"/>
      <c r="G2" s="20"/>
      <c r="H2" s="20"/>
      <c r="I2" s="10" t="s">
        <v>54</v>
      </c>
      <c r="J2" s="20"/>
      <c r="K2" s="20"/>
      <c r="L2" s="20"/>
      <c r="M2" s="20"/>
    </row>
    <row r="3" spans="1:14" ht="15" customHeight="1">
      <c r="A3" s="23" t="s">
        <v>2</v>
      </c>
      <c r="B3" s="23" t="s">
        <v>3</v>
      </c>
      <c r="C3" s="25"/>
      <c r="D3" s="25" t="s">
        <v>51</v>
      </c>
      <c r="E3" s="27"/>
      <c r="F3" s="169" t="s">
        <v>104</v>
      </c>
      <c r="G3" s="160" t="s">
        <v>10</v>
      </c>
      <c r="H3" s="161"/>
      <c r="I3" s="162"/>
      <c r="J3" s="25" t="s">
        <v>6</v>
      </c>
      <c r="K3" s="21" t="s">
        <v>7</v>
      </c>
      <c r="L3" s="165" t="s">
        <v>67</v>
      </c>
      <c r="M3" s="166"/>
      <c r="N3" s="163"/>
    </row>
    <row r="4" spans="1:14" ht="15" customHeight="1">
      <c r="A4" s="33"/>
      <c r="B4" s="33"/>
      <c r="C4" s="9">
        <v>2012</v>
      </c>
      <c r="D4" s="42">
        <v>2013</v>
      </c>
      <c r="E4" s="19" t="s">
        <v>4</v>
      </c>
      <c r="F4" s="170"/>
      <c r="G4" s="9">
        <v>2012</v>
      </c>
      <c r="H4" s="42">
        <v>2013</v>
      </c>
      <c r="I4" s="19" t="s">
        <v>4</v>
      </c>
      <c r="J4" s="9">
        <v>2012</v>
      </c>
      <c r="K4" s="42">
        <v>2013</v>
      </c>
      <c r="L4" s="167" t="s">
        <v>1</v>
      </c>
      <c r="M4" s="167" t="s">
        <v>68</v>
      </c>
      <c r="N4" s="164"/>
    </row>
    <row r="5" spans="1:14" ht="15">
      <c r="A5" s="29"/>
      <c r="B5" s="29"/>
      <c r="C5" s="28"/>
      <c r="D5" s="35"/>
      <c r="E5" s="11">
        <v>2012</v>
      </c>
      <c r="F5" s="171"/>
      <c r="G5" s="28"/>
      <c r="H5" s="35"/>
      <c r="I5" s="11">
        <v>2012</v>
      </c>
      <c r="J5" s="35"/>
      <c r="K5" s="29"/>
      <c r="L5" s="168"/>
      <c r="M5" s="168"/>
      <c r="N5" s="164"/>
    </row>
    <row r="6" spans="1:14" ht="15">
      <c r="A6" s="3">
        <v>1</v>
      </c>
      <c r="B6" s="22" t="s">
        <v>55</v>
      </c>
      <c r="C6" s="3"/>
      <c r="D6" s="3"/>
      <c r="E6" s="36"/>
      <c r="F6" s="36"/>
      <c r="G6" s="3">
        <v>14</v>
      </c>
      <c r="H6" s="3">
        <v>8</v>
      </c>
      <c r="I6" s="88">
        <f aca="true" t="shared" si="0" ref="I6:I19">H6*100/G6</f>
        <v>57.142857142857146</v>
      </c>
      <c r="J6" s="119">
        <f>G6+(C6*0.2)+('численность 1'!M6*0.3)+'численность 1'!G6+(('численность 1'!C6-'численность 1'!G6)*0.6)</f>
        <v>266</v>
      </c>
      <c r="K6" s="119">
        <f>H6+(D6*0.2)+('численность 1'!N6*0.3)+'численность 1'!H6+(('численность 1'!D6-'численность 1'!H6)*0.6)</f>
        <v>273.2</v>
      </c>
      <c r="L6" s="3">
        <v>1300</v>
      </c>
      <c r="M6" s="3">
        <v>214</v>
      </c>
      <c r="N6" s="76"/>
    </row>
    <row r="7" spans="1:14" ht="15">
      <c r="A7" s="3">
        <v>2</v>
      </c>
      <c r="B7" s="22" t="s">
        <v>56</v>
      </c>
      <c r="C7" s="3"/>
      <c r="D7" s="3"/>
      <c r="E7" s="36"/>
      <c r="F7" s="36"/>
      <c r="G7" s="3">
        <v>4</v>
      </c>
      <c r="H7" s="3">
        <v>4</v>
      </c>
      <c r="I7" s="88">
        <f t="shared" si="0"/>
        <v>100</v>
      </c>
      <c r="J7" s="119">
        <f>G7+(C7*0.2)+('численность 1'!M7*0.3)+'численность 1'!G7+(('численность 1'!C7-'численность 1'!G7)*0.6)</f>
        <v>195.39999999999998</v>
      </c>
      <c r="K7" s="119">
        <f>H7+(D7*0.2)+('численность 1'!N7*0.3)+'численность 1'!H7+(('численность 1'!D7-'численность 1'!H7)*0.6)</f>
        <v>205</v>
      </c>
      <c r="L7" s="3">
        <v>3124</v>
      </c>
      <c r="M7" s="3">
        <v>837</v>
      </c>
      <c r="N7" s="76"/>
    </row>
    <row r="8" spans="1:14" ht="15">
      <c r="A8" s="3">
        <v>3</v>
      </c>
      <c r="B8" s="22" t="s">
        <v>57</v>
      </c>
      <c r="C8" s="3"/>
      <c r="D8" s="3"/>
      <c r="E8" s="36"/>
      <c r="F8" s="36"/>
      <c r="G8" s="3">
        <v>1</v>
      </c>
      <c r="H8" s="3">
        <v>1</v>
      </c>
      <c r="I8" s="88">
        <f t="shared" si="0"/>
        <v>100</v>
      </c>
      <c r="J8" s="119">
        <f>G8+(C8*0.2)+('численность 1'!M8*0.3)+'численность 1'!G8+(('численность 1'!C8-'численность 1'!G8)*0.6)</f>
        <v>95.8</v>
      </c>
      <c r="K8" s="119">
        <f>H8+(D8*0.2)+('численность 1'!N8*0.3)+'численность 1'!H8+(('численность 1'!D8-'численность 1'!H8)*0.6)</f>
        <v>100</v>
      </c>
      <c r="L8" s="3">
        <v>1151</v>
      </c>
      <c r="M8" s="3">
        <v>335</v>
      </c>
      <c r="N8" s="76"/>
    </row>
    <row r="9" spans="1:14" ht="15">
      <c r="A9" s="3">
        <v>4</v>
      </c>
      <c r="B9" s="22" t="s">
        <v>58</v>
      </c>
      <c r="C9" s="3"/>
      <c r="D9" s="3"/>
      <c r="E9" s="3"/>
      <c r="F9" s="3"/>
      <c r="G9" s="3">
        <v>20</v>
      </c>
      <c r="H9" s="3">
        <v>19</v>
      </c>
      <c r="I9" s="88">
        <f t="shared" si="0"/>
        <v>95</v>
      </c>
      <c r="J9" s="119">
        <f>G9+(C9*0.2)+('численность 1'!M9*0.3)+'численность 1'!G9+(('численность 1'!C9-'численность 1'!G9)*0.6)</f>
        <v>781.9</v>
      </c>
      <c r="K9" s="119">
        <f>H9+(D9*0.2)+('численность 1'!N9*0.3)+'численность 1'!H9+(('численность 1'!D9-'численность 1'!H9)*0.6)</f>
        <v>797.7</v>
      </c>
      <c r="L9" s="87">
        <v>4120</v>
      </c>
      <c r="M9" s="87">
        <v>2300</v>
      </c>
      <c r="N9" s="76"/>
    </row>
    <row r="10" spans="1:14" ht="15">
      <c r="A10" s="3">
        <v>5</v>
      </c>
      <c r="B10" s="22" t="s">
        <v>59</v>
      </c>
      <c r="C10" s="3">
        <v>133</v>
      </c>
      <c r="D10" s="3"/>
      <c r="E10" s="88"/>
      <c r="F10" s="88"/>
      <c r="G10" s="3">
        <v>17</v>
      </c>
      <c r="H10" s="3">
        <v>10</v>
      </c>
      <c r="I10" s="88">
        <f t="shared" si="0"/>
        <v>58.8235294117647</v>
      </c>
      <c r="J10" s="119">
        <f>G10+(C10*0.2)+('численность 1'!M10*0.3)+'численность 1'!G10+(('численность 1'!C10-'численность 1'!G10)*0.6)</f>
        <v>412.9</v>
      </c>
      <c r="K10" s="119">
        <f>H10+(D10*0.2)+('численность 1'!N10*0.3)+'численность 1'!H10+(('численность 1'!D10-'численность 1'!H10)*0.6)</f>
        <v>291.3</v>
      </c>
      <c r="L10" s="3">
        <v>253</v>
      </c>
      <c r="M10" s="3">
        <v>134</v>
      </c>
      <c r="N10" s="76"/>
    </row>
    <row r="11" spans="1:14" ht="15">
      <c r="A11" s="3">
        <v>6</v>
      </c>
      <c r="B11" s="38" t="s">
        <v>72</v>
      </c>
      <c r="C11" s="87"/>
      <c r="D11" s="87"/>
      <c r="E11" s="88"/>
      <c r="F11" s="88"/>
      <c r="G11" s="3">
        <v>9</v>
      </c>
      <c r="H11" s="3">
        <v>8</v>
      </c>
      <c r="I11" s="88">
        <f t="shared" si="0"/>
        <v>88.88888888888889</v>
      </c>
      <c r="J11" s="119">
        <f>G11+(C11*0.2)+('численность 1'!M11*0.3)+'численность 1'!G11+(('численность 1'!C11-'численность 1'!G11)*0.6)</f>
        <v>212.8</v>
      </c>
      <c r="K11" s="119">
        <f>H11+(D11*0.2)+('численность 1'!N11*0.3)+'численность 1'!H11+(('численность 1'!D11-'численность 1'!H11)*0.6)</f>
        <v>198</v>
      </c>
      <c r="L11" s="87">
        <v>8010</v>
      </c>
      <c r="M11" s="87">
        <v>1060</v>
      </c>
      <c r="N11" s="76"/>
    </row>
    <row r="12" spans="1:14" ht="15">
      <c r="A12" s="3">
        <v>8</v>
      </c>
      <c r="B12" s="32" t="s">
        <v>85</v>
      </c>
      <c r="C12" s="87"/>
      <c r="D12" s="87"/>
      <c r="E12" s="88"/>
      <c r="F12" s="88"/>
      <c r="G12" s="87">
        <v>3</v>
      </c>
      <c r="H12" s="87">
        <v>3</v>
      </c>
      <c r="I12" s="88">
        <f t="shared" si="0"/>
        <v>100</v>
      </c>
      <c r="J12" s="119">
        <f>G12+(C12*0.2)+('численность 1'!M12*0.3)+'численность 1'!G12+(('численность 1'!C12-'численность 1'!G12)*0.6)</f>
        <v>173</v>
      </c>
      <c r="K12" s="119">
        <f>H12+(D12*0.2)+('численность 1'!N12*0.3)+'численность 1'!H12+(('численность 1'!D12-'численность 1'!H12)*0.6)</f>
        <v>195.2</v>
      </c>
      <c r="L12" s="87">
        <v>1518</v>
      </c>
      <c r="M12" s="116">
        <v>919</v>
      </c>
      <c r="N12" s="76"/>
    </row>
    <row r="13" spans="1:14" ht="15">
      <c r="A13" s="3">
        <v>9</v>
      </c>
      <c r="B13" s="32" t="s">
        <v>71</v>
      </c>
      <c r="C13" s="87">
        <v>258</v>
      </c>
      <c r="D13" s="87">
        <v>277</v>
      </c>
      <c r="E13" s="88">
        <f>D13*100/C13</f>
        <v>107.36434108527132</v>
      </c>
      <c r="F13" s="88">
        <v>111</v>
      </c>
      <c r="G13" s="3">
        <v>3</v>
      </c>
      <c r="H13" s="3">
        <v>3</v>
      </c>
      <c r="I13" s="88">
        <f t="shared" si="0"/>
        <v>100</v>
      </c>
      <c r="J13" s="119">
        <f>G13+(C13*0.2)+('численность 1'!M13*0.3)+'численность 1'!G13+(('численность 1'!C13-'численность 1'!G13)*0.6)</f>
        <v>250.2</v>
      </c>
      <c r="K13" s="119">
        <f>H13+(D13*0.2)+('численность 1'!N13*0.3)+'численность 1'!H13+(('численность 1'!D13-'численность 1'!H13)*0.6)</f>
        <v>192.2</v>
      </c>
      <c r="L13" s="87">
        <v>1147</v>
      </c>
      <c r="M13" s="87">
        <v>252</v>
      </c>
      <c r="N13" s="76"/>
    </row>
    <row r="14" spans="1:14" ht="15">
      <c r="A14" s="3">
        <v>10</v>
      </c>
      <c r="B14" s="22" t="s">
        <v>60</v>
      </c>
      <c r="C14" s="87"/>
      <c r="D14" s="87"/>
      <c r="E14" s="88"/>
      <c r="F14" s="88"/>
      <c r="G14" s="3">
        <v>4</v>
      </c>
      <c r="H14" s="3">
        <v>4</v>
      </c>
      <c r="I14" s="88">
        <f t="shared" si="0"/>
        <v>100</v>
      </c>
      <c r="J14" s="119">
        <f>G14+(C14*0.2)+('численность 1'!M14*0.3)+'численность 1'!G14+(('численность 1'!C14-'численность 1'!G14)*0.6)</f>
        <v>197.6</v>
      </c>
      <c r="K14" s="119">
        <f>H14+(D14*0.2)+('численность 1'!N14*0.3)+'численность 1'!H14+(('численность 1'!D14-'численность 1'!H14)*0.6)</f>
        <v>204.2</v>
      </c>
      <c r="L14" s="87">
        <v>394</v>
      </c>
      <c r="M14" s="87">
        <v>119</v>
      </c>
      <c r="N14" s="76"/>
    </row>
    <row r="15" spans="1:14" ht="15">
      <c r="A15" s="3">
        <v>11</v>
      </c>
      <c r="B15" s="22" t="s">
        <v>61</v>
      </c>
      <c r="C15" s="87"/>
      <c r="D15" s="87"/>
      <c r="E15" s="88"/>
      <c r="F15" s="88"/>
      <c r="G15" s="3">
        <v>1</v>
      </c>
      <c r="H15" s="3">
        <v>1</v>
      </c>
      <c r="I15" s="88">
        <f t="shared" si="0"/>
        <v>100</v>
      </c>
      <c r="J15" s="119">
        <f>G15+(C15*0.2)+('численность 1'!M15*0.3)+'численность 1'!G15+(('численность 1'!C15-'численность 1'!G15)*0.6)</f>
        <v>44.8</v>
      </c>
      <c r="K15" s="119">
        <f>H15+(D15*0.2)+('численность 1'!N15*0.3)+'численность 1'!H15+(('численность 1'!D15-'численность 1'!H15)*0.6)</f>
        <v>48.8</v>
      </c>
      <c r="L15" s="87">
        <v>450</v>
      </c>
      <c r="M15" s="87">
        <v>210</v>
      </c>
      <c r="N15" s="76"/>
    </row>
    <row r="16" spans="1:14" ht="15">
      <c r="A16" s="3">
        <v>12</v>
      </c>
      <c r="B16" s="22" t="s">
        <v>62</v>
      </c>
      <c r="C16" s="87"/>
      <c r="D16" s="87"/>
      <c r="E16" s="88"/>
      <c r="F16" s="88"/>
      <c r="G16" s="3"/>
      <c r="H16" s="3">
        <v>1</v>
      </c>
      <c r="I16" s="88"/>
      <c r="J16" s="119">
        <f>G16+(C16*0.2)+('численность 1'!M16*0.3)+'численность 1'!G16+(('численность 1'!C16-'численность 1'!G16)*0.6)</f>
        <v>2923.2</v>
      </c>
      <c r="K16" s="119">
        <f>H16+(D16*0.2)+('численность 1'!N16*0.3)+'численность 1'!H16+(('численность 1'!D16-'численность 1'!H16)*0.6)</f>
        <v>2742.1</v>
      </c>
      <c r="L16" s="87">
        <v>1260</v>
      </c>
      <c r="M16" s="87">
        <v>1260</v>
      </c>
      <c r="N16" s="76"/>
    </row>
    <row r="17" spans="1:14" ht="15">
      <c r="A17" s="3">
        <v>13</v>
      </c>
      <c r="B17" s="32" t="s">
        <v>70</v>
      </c>
      <c r="C17" s="87"/>
      <c r="D17" s="87"/>
      <c r="E17" s="88"/>
      <c r="F17" s="88"/>
      <c r="G17" s="3">
        <v>154</v>
      </c>
      <c r="H17" s="3">
        <v>157</v>
      </c>
      <c r="I17" s="88">
        <f t="shared" si="0"/>
        <v>101.94805194805195</v>
      </c>
      <c r="J17" s="119">
        <f>G17+(C17*0.2)+('численность 1'!M17*0.3)+'численность 1'!G17+(('численность 1'!C17-'численность 1'!G17)*0.6)</f>
        <v>154</v>
      </c>
      <c r="K17" s="119">
        <f>H17+(D17*0.2)+('численность 1'!N17*0.3)+'численность 1'!H17+(('численность 1'!D17-'численность 1'!H17)*0.6)</f>
        <v>157</v>
      </c>
      <c r="L17" s="87">
        <v>8310</v>
      </c>
      <c r="M17" s="87"/>
      <c r="N17" s="76"/>
    </row>
    <row r="18" spans="1:14" ht="15">
      <c r="A18" s="31">
        <v>14</v>
      </c>
      <c r="B18" s="32" t="s">
        <v>103</v>
      </c>
      <c r="C18" s="87"/>
      <c r="D18" s="87">
        <v>340</v>
      </c>
      <c r="E18" s="88"/>
      <c r="F18" s="88">
        <v>180</v>
      </c>
      <c r="G18" s="3"/>
      <c r="H18" s="3"/>
      <c r="I18" s="88"/>
      <c r="J18" s="119"/>
      <c r="K18" s="119">
        <f>H18+(D18*0.2)+('численность 1'!N18*0.3)+'численность 1'!H18+(('численность 1'!D18-'численность 1'!H18)*0.6)</f>
        <v>68</v>
      </c>
      <c r="L18" s="87">
        <v>200</v>
      </c>
      <c r="M18" s="87">
        <v>20</v>
      </c>
      <c r="N18" s="76"/>
    </row>
    <row r="19" spans="1:14" ht="60" customHeight="1">
      <c r="A19" s="156" t="s">
        <v>96</v>
      </c>
      <c r="B19" s="157"/>
      <c r="C19" s="87">
        <f>SUM(C10:C17)</f>
        <v>391</v>
      </c>
      <c r="D19" s="87">
        <f>SUM(D6:D18)</f>
        <v>617</v>
      </c>
      <c r="E19" s="88">
        <f>D19*100/C19</f>
        <v>157.80051150895142</v>
      </c>
      <c r="F19" s="88">
        <f>SUM(F6:F18)</f>
        <v>291</v>
      </c>
      <c r="G19" s="3">
        <f>SUM(G6:G17)</f>
        <v>230</v>
      </c>
      <c r="H19" s="3">
        <f>SUM(H6:H17)</f>
        <v>219</v>
      </c>
      <c r="I19" s="88">
        <f t="shared" si="0"/>
        <v>95.21739130434783</v>
      </c>
      <c r="J19" s="119">
        <f>SUM(J6:J17)</f>
        <v>5707.6</v>
      </c>
      <c r="K19" s="119">
        <f>SUM(K6:K18)</f>
        <v>5472.7</v>
      </c>
      <c r="L19" s="87">
        <f>SUM(L6:L18)</f>
        <v>31237</v>
      </c>
      <c r="M19" s="87">
        <f>SUM(M6:M18)</f>
        <v>7660</v>
      </c>
      <c r="N19" s="76"/>
    </row>
    <row r="20" spans="1:14" ht="15.75" customHeight="1">
      <c r="A20" s="128">
        <v>1</v>
      </c>
      <c r="B20" s="32" t="s">
        <v>99</v>
      </c>
      <c r="C20" s="87"/>
      <c r="D20" s="87"/>
      <c r="E20" s="88"/>
      <c r="F20" s="88"/>
      <c r="G20" s="3"/>
      <c r="H20" s="3"/>
      <c r="I20" s="88"/>
      <c r="J20" s="119"/>
      <c r="K20" s="119">
        <f>H20+(D20*0.2)+('численность 1'!N20*0.3)+'численность 1'!H20+(('численность 1'!D20-'численность 1'!H20)*0.6)</f>
        <v>17.4</v>
      </c>
      <c r="L20" s="87"/>
      <c r="M20" s="87"/>
      <c r="N20" s="76"/>
    </row>
    <row r="21" spans="1:14" ht="15.75" customHeight="1">
      <c r="A21" s="128">
        <v>2</v>
      </c>
      <c r="B21" s="32" t="s">
        <v>102</v>
      </c>
      <c r="C21" s="87"/>
      <c r="D21" s="87">
        <v>127</v>
      </c>
      <c r="E21" s="88"/>
      <c r="F21" s="88">
        <v>65</v>
      </c>
      <c r="G21" s="3"/>
      <c r="H21" s="3"/>
      <c r="I21" s="88"/>
      <c r="J21" s="119"/>
      <c r="K21" s="119">
        <f>H21+(D21*0.2)+('численность 1'!N21*0.3)+'численность 1'!H21+(('численность 1'!D21-'численность 1'!H21)*0.6)</f>
        <v>25.400000000000002</v>
      </c>
      <c r="L21" s="87"/>
      <c r="M21" s="87"/>
      <c r="N21" s="76"/>
    </row>
    <row r="22" spans="1:14" ht="15">
      <c r="A22" s="3">
        <v>3</v>
      </c>
      <c r="B22" s="32" t="s">
        <v>81</v>
      </c>
      <c r="C22" s="87"/>
      <c r="D22" s="87"/>
      <c r="E22" s="88"/>
      <c r="F22" s="88"/>
      <c r="G22" s="3"/>
      <c r="H22" s="3"/>
      <c r="I22" s="88"/>
      <c r="J22" s="119">
        <f>G22+(C22*0.2)+('численность 1'!M22*0.3)+'численность 1'!G22+(('численность 1'!C22-'численность 1'!G22)*0.6)</f>
        <v>30.599999999999998</v>
      </c>
      <c r="K22" s="119">
        <f>H22+(D22*0.2)+('численность 1'!N22*0.3)+'численность 1'!H22+(('численность 1'!D22-'численность 1'!H22)*0.6)</f>
        <v>0</v>
      </c>
      <c r="L22" s="116"/>
      <c r="M22" s="87"/>
      <c r="N22" s="76"/>
    </row>
    <row r="23" spans="1:14" ht="15">
      <c r="A23" s="3">
        <v>4</v>
      </c>
      <c r="B23" s="32" t="s">
        <v>86</v>
      </c>
      <c r="C23" s="3">
        <v>57</v>
      </c>
      <c r="D23" s="3">
        <v>108</v>
      </c>
      <c r="E23" s="88">
        <f>D23*100/C23</f>
        <v>189.47368421052633</v>
      </c>
      <c r="F23" s="36">
        <v>56</v>
      </c>
      <c r="G23" s="3">
        <v>7</v>
      </c>
      <c r="H23" s="3">
        <v>7</v>
      </c>
      <c r="I23" s="88">
        <f>H23*100/G23</f>
        <v>100</v>
      </c>
      <c r="J23" s="119">
        <f>G23+(C23*0.2)+('численность 1'!M23*0.3)+'численность 1'!G23+(('численность 1'!C23-'численность 1'!G23)*0.6)</f>
        <v>18.4</v>
      </c>
      <c r="K23" s="119">
        <f>H23+(D23*0.2)+('численность 1'!N23*0.3)+'численность 1'!H23+(('численность 1'!D23-'численность 1'!H23)*0.6)</f>
        <v>28.6</v>
      </c>
      <c r="L23" s="3"/>
      <c r="M23" s="3"/>
      <c r="N23" s="76"/>
    </row>
    <row r="24" spans="1:13" ht="25.5" customHeight="1">
      <c r="A24" s="156" t="s">
        <v>88</v>
      </c>
      <c r="B24" s="157"/>
      <c r="C24" s="87">
        <f>SUM(C23)</f>
        <v>57</v>
      </c>
      <c r="D24" s="87">
        <f>SUM(D20:D23)</f>
        <v>235</v>
      </c>
      <c r="E24" s="88">
        <f>D24*100/C24</f>
        <v>412.280701754386</v>
      </c>
      <c r="F24" s="87">
        <f>SUM(F20:F23)</f>
        <v>121</v>
      </c>
      <c r="G24" s="87">
        <f>SUM(G22:G23)</f>
        <v>7</v>
      </c>
      <c r="H24" s="87">
        <f>SUM(H22:H23)</f>
        <v>7</v>
      </c>
      <c r="I24" s="88">
        <f>H24*100/G24</f>
        <v>100</v>
      </c>
      <c r="J24" s="119">
        <f>SUM(J20:J23)</f>
        <v>49</v>
      </c>
      <c r="K24" s="119">
        <f>SUM(K20:K23)</f>
        <v>71.4</v>
      </c>
      <c r="L24" s="119">
        <f>SUM(L20:L23)</f>
        <v>0</v>
      </c>
      <c r="M24" s="119">
        <f>SUM(M20:M23)</f>
        <v>0</v>
      </c>
    </row>
    <row r="25" spans="1:13" ht="41.25" customHeight="1">
      <c r="A25" s="158" t="s">
        <v>89</v>
      </c>
      <c r="B25" s="159"/>
      <c r="C25" s="87">
        <f>C19+C24</f>
        <v>448</v>
      </c>
      <c r="D25" s="87">
        <f>D19+D24</f>
        <v>852</v>
      </c>
      <c r="E25" s="36">
        <f>D25/C25*100</f>
        <v>190.17857142857142</v>
      </c>
      <c r="F25" s="87">
        <f>F19+F24</f>
        <v>412</v>
      </c>
      <c r="G25" s="87">
        <f>G19+G24</f>
        <v>237</v>
      </c>
      <c r="H25" s="87">
        <f>H19+H24</f>
        <v>226</v>
      </c>
      <c r="I25" s="88">
        <f>H25*100/G25</f>
        <v>95.35864978902954</v>
      </c>
      <c r="J25" s="116">
        <f>J19+J24</f>
        <v>5756.6</v>
      </c>
      <c r="K25" s="119">
        <f>K19+K24</f>
        <v>5544.099999999999</v>
      </c>
      <c r="L25" s="88">
        <f>L19+L24</f>
        <v>31237</v>
      </c>
      <c r="M25" s="87">
        <f>M19+M24</f>
        <v>7660</v>
      </c>
    </row>
  </sheetData>
  <sheetProtection/>
  <mergeCells count="9">
    <mergeCell ref="A24:B24"/>
    <mergeCell ref="A25:B25"/>
    <mergeCell ref="G3:I3"/>
    <mergeCell ref="N3:N5"/>
    <mergeCell ref="L3:M3"/>
    <mergeCell ref="L4:L5"/>
    <mergeCell ref="M4:M5"/>
    <mergeCell ref="A19:B19"/>
    <mergeCell ref="F3:F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="60" zoomScaleNormal="50" zoomScalePageLayoutView="0" workbookViewId="0" topLeftCell="A1">
      <selection activeCell="N43" sqref="N43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120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8" t="s">
        <v>3</v>
      </c>
      <c r="C3" s="143" t="s">
        <v>74</v>
      </c>
      <c r="D3" s="175"/>
      <c r="E3" s="176"/>
      <c r="F3" s="150" t="s">
        <v>73</v>
      </c>
      <c r="G3" s="143" t="s">
        <v>8</v>
      </c>
      <c r="H3" s="175"/>
      <c r="I3" s="176"/>
      <c r="J3" s="177" t="s">
        <v>66</v>
      </c>
      <c r="K3" s="178"/>
      <c r="L3" s="179"/>
      <c r="M3" s="143" t="s">
        <v>9</v>
      </c>
      <c r="N3" s="175"/>
      <c r="O3" s="175"/>
      <c r="P3" s="175"/>
      <c r="Q3" s="175"/>
      <c r="R3" s="175"/>
      <c r="S3" s="175"/>
      <c r="T3" s="175"/>
      <c r="U3" s="176"/>
    </row>
    <row r="4" spans="1:21" s="20" customFormat="1" ht="23.25" customHeight="1">
      <c r="A4" s="33"/>
      <c r="B4" s="174"/>
      <c r="C4" s="148">
        <v>2012</v>
      </c>
      <c r="D4" s="148">
        <v>2013</v>
      </c>
      <c r="E4" s="99" t="s">
        <v>4</v>
      </c>
      <c r="F4" s="151"/>
      <c r="G4" s="148">
        <v>2012</v>
      </c>
      <c r="H4" s="148">
        <v>2013</v>
      </c>
      <c r="I4" s="99" t="s">
        <v>4</v>
      </c>
      <c r="J4" s="148">
        <v>2012</v>
      </c>
      <c r="K4" s="148">
        <v>2013</v>
      </c>
      <c r="L4" s="99" t="s">
        <v>4</v>
      </c>
      <c r="M4" s="148">
        <v>2012</v>
      </c>
      <c r="N4" s="148">
        <v>2013</v>
      </c>
      <c r="O4" s="99" t="s">
        <v>4</v>
      </c>
      <c r="P4" s="96" t="s">
        <v>5</v>
      </c>
      <c r="Q4" s="100" t="s">
        <v>65</v>
      </c>
      <c r="R4" s="150" t="s">
        <v>112</v>
      </c>
      <c r="S4" s="96" t="s">
        <v>50</v>
      </c>
      <c r="T4" s="101"/>
      <c r="U4" s="150" t="s">
        <v>112</v>
      </c>
    </row>
    <row r="5" spans="1:21" s="20" customFormat="1" ht="23.25" customHeight="1">
      <c r="A5" s="29"/>
      <c r="B5" s="149"/>
      <c r="C5" s="173"/>
      <c r="D5" s="173"/>
      <c r="E5" s="102">
        <v>2012</v>
      </c>
      <c r="F5" s="152"/>
      <c r="G5" s="173"/>
      <c r="H5" s="173"/>
      <c r="I5" s="102">
        <v>2012</v>
      </c>
      <c r="J5" s="173"/>
      <c r="K5" s="173"/>
      <c r="L5" s="102">
        <v>2012</v>
      </c>
      <c r="M5" s="173"/>
      <c r="N5" s="173"/>
      <c r="O5" s="102">
        <v>2012</v>
      </c>
      <c r="P5" s="97">
        <v>2012</v>
      </c>
      <c r="Q5" s="97">
        <v>2013</v>
      </c>
      <c r="R5" s="172"/>
      <c r="S5" s="97">
        <v>2012</v>
      </c>
      <c r="T5" s="97">
        <v>2013</v>
      </c>
      <c r="U5" s="172"/>
    </row>
    <row r="6" spans="1:34" s="20" customFormat="1" ht="24.75" customHeight="1">
      <c r="A6" s="3">
        <v>1</v>
      </c>
      <c r="B6" s="22" t="s">
        <v>55</v>
      </c>
      <c r="C6" s="3">
        <v>300</v>
      </c>
      <c r="D6" s="3">
        <v>322</v>
      </c>
      <c r="E6" s="36">
        <f aca="true" t="shared" si="0" ref="E6:E15">D6*100/C6</f>
        <v>107.33333333333333</v>
      </c>
      <c r="F6" s="3">
        <v>8</v>
      </c>
      <c r="G6" s="3">
        <v>180</v>
      </c>
      <c r="H6" s="3">
        <v>180</v>
      </c>
      <c r="I6" s="36">
        <f aca="true" t="shared" si="1" ref="I6:I15">H6*100/G6</f>
        <v>100</v>
      </c>
      <c r="J6" s="3">
        <v>180</v>
      </c>
      <c r="K6" s="3">
        <v>180</v>
      </c>
      <c r="L6" s="36">
        <f aca="true" t="shared" si="2" ref="L6:L25">K6*100/J6</f>
        <v>100</v>
      </c>
      <c r="M6" s="3"/>
      <c r="N6" s="3"/>
      <c r="O6" s="36"/>
      <c r="P6" s="3"/>
      <c r="Q6" s="3"/>
      <c r="R6" s="36"/>
      <c r="S6" s="36"/>
      <c r="T6" s="36"/>
      <c r="U6" s="36"/>
      <c r="AH6" s="85"/>
    </row>
    <row r="7" spans="1:34" s="20" customFormat="1" ht="24.75" customHeight="1">
      <c r="A7" s="3">
        <v>2</v>
      </c>
      <c r="B7" s="22" t="s">
        <v>56</v>
      </c>
      <c r="C7" s="3">
        <v>249</v>
      </c>
      <c r="D7" s="3">
        <v>265</v>
      </c>
      <c r="E7" s="36">
        <f t="shared" si="0"/>
        <v>106.42570281124497</v>
      </c>
      <c r="F7" s="3">
        <v>12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3"/>
      <c r="N7" s="3"/>
      <c r="O7" s="36"/>
      <c r="P7" s="3"/>
      <c r="Q7" s="3"/>
      <c r="R7" s="36"/>
      <c r="S7" s="36"/>
      <c r="T7" s="36"/>
      <c r="U7" s="36"/>
      <c r="AH7" s="85"/>
    </row>
    <row r="8" spans="1:34" s="20" customFormat="1" ht="24.75" customHeight="1">
      <c r="A8" s="3">
        <v>3</v>
      </c>
      <c r="B8" s="22" t="s">
        <v>57</v>
      </c>
      <c r="C8" s="3">
        <v>118</v>
      </c>
      <c r="D8" s="3">
        <v>125</v>
      </c>
      <c r="E8" s="36">
        <f t="shared" si="0"/>
        <v>105.9322033898305</v>
      </c>
      <c r="F8" s="87">
        <v>3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3"/>
      <c r="N8" s="3"/>
      <c r="O8" s="98"/>
      <c r="P8" s="3"/>
      <c r="Q8" s="3"/>
      <c r="R8" s="36"/>
      <c r="S8" s="36"/>
      <c r="T8" s="36"/>
      <c r="U8" s="36"/>
      <c r="AH8" s="85"/>
    </row>
    <row r="9" spans="1:34" s="20" customFormat="1" ht="24.75" customHeight="1">
      <c r="A9" s="3">
        <v>4</v>
      </c>
      <c r="B9" s="22" t="s">
        <v>58</v>
      </c>
      <c r="C9" s="3">
        <v>818</v>
      </c>
      <c r="D9" s="3">
        <v>914</v>
      </c>
      <c r="E9" s="36">
        <f t="shared" si="0"/>
        <v>111.73594132029339</v>
      </c>
      <c r="F9" s="3">
        <v>39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493</v>
      </c>
      <c r="N9" s="3">
        <v>357</v>
      </c>
      <c r="O9" s="36">
        <f>N9*100/M9</f>
        <v>72.41379310344827</v>
      </c>
      <c r="P9" s="3">
        <v>28</v>
      </c>
      <c r="Q9" s="3">
        <v>28</v>
      </c>
      <c r="R9" s="36">
        <f>Q9*100/P9</f>
        <v>100</v>
      </c>
      <c r="S9" s="3">
        <v>39</v>
      </c>
      <c r="T9" s="3">
        <v>28</v>
      </c>
      <c r="U9" s="36">
        <f>T9*100/S9</f>
        <v>71.7948717948718</v>
      </c>
      <c r="AH9" s="85"/>
    </row>
    <row r="10" spans="1:34" s="20" customFormat="1" ht="24.75" customHeight="1">
      <c r="A10" s="3">
        <v>5</v>
      </c>
      <c r="B10" s="22" t="s">
        <v>59</v>
      </c>
      <c r="C10" s="3">
        <v>364</v>
      </c>
      <c r="D10" s="3">
        <v>266</v>
      </c>
      <c r="E10" s="36">
        <f t="shared" si="0"/>
        <v>73.07692307692308</v>
      </c>
      <c r="F10" s="116"/>
      <c r="G10" s="3">
        <v>225</v>
      </c>
      <c r="H10" s="3">
        <v>200</v>
      </c>
      <c r="I10" s="36">
        <f t="shared" si="1"/>
        <v>88.88888888888889</v>
      </c>
      <c r="J10" s="3">
        <v>250</v>
      </c>
      <c r="K10" s="3">
        <v>200</v>
      </c>
      <c r="L10" s="36">
        <f t="shared" si="2"/>
        <v>80</v>
      </c>
      <c r="M10" s="3">
        <v>203</v>
      </c>
      <c r="N10" s="3">
        <v>139</v>
      </c>
      <c r="O10" s="36">
        <f>N10*100/M10</f>
        <v>68.47290640394088</v>
      </c>
      <c r="P10" s="3">
        <v>80</v>
      </c>
      <c r="Q10" s="3">
        <v>36</v>
      </c>
      <c r="R10" s="36">
        <f>Q10*100/P10</f>
        <v>45</v>
      </c>
      <c r="S10" s="3"/>
      <c r="T10" s="3">
        <v>1</v>
      </c>
      <c r="U10" s="36" t="e">
        <f>T10*100/S10</f>
        <v>#DIV/0!</v>
      </c>
      <c r="AH10" s="85"/>
    </row>
    <row r="11" spans="1:34" s="20" customFormat="1" ht="24.75" customHeight="1">
      <c r="A11" s="3">
        <v>6</v>
      </c>
      <c r="B11" s="38" t="s">
        <v>72</v>
      </c>
      <c r="C11" s="3">
        <v>283</v>
      </c>
      <c r="D11" s="3">
        <v>260</v>
      </c>
      <c r="E11" s="36">
        <f t="shared" si="0"/>
        <v>91.87279151943463</v>
      </c>
      <c r="F11" s="116">
        <v>23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5"/>
    </row>
    <row r="12" spans="1:34" s="20" customFormat="1" ht="24.75" customHeight="1">
      <c r="A12" s="3">
        <v>8</v>
      </c>
      <c r="B12" s="32" t="s">
        <v>85</v>
      </c>
      <c r="C12" s="3">
        <v>240</v>
      </c>
      <c r="D12" s="3">
        <v>277</v>
      </c>
      <c r="E12" s="36">
        <f t="shared" si="0"/>
        <v>115.41666666666667</v>
      </c>
      <c r="F12" s="3">
        <v>10</v>
      </c>
      <c r="G12" s="3">
        <v>65</v>
      </c>
      <c r="H12" s="3">
        <v>65</v>
      </c>
      <c r="I12" s="36">
        <f t="shared" si="1"/>
        <v>100</v>
      </c>
      <c r="J12" s="3">
        <v>65</v>
      </c>
      <c r="K12" s="3">
        <v>65</v>
      </c>
      <c r="L12" s="36"/>
      <c r="M12" s="3"/>
      <c r="N12" s="3"/>
      <c r="O12" s="36"/>
      <c r="P12" s="3"/>
      <c r="Q12" s="3"/>
      <c r="R12" s="36"/>
      <c r="S12" s="3"/>
      <c r="T12" s="3"/>
      <c r="U12" s="36"/>
      <c r="AH12" s="85"/>
    </row>
    <row r="13" spans="1:34" s="20" customFormat="1" ht="24.75" customHeight="1">
      <c r="A13" s="3">
        <v>9</v>
      </c>
      <c r="B13" s="32" t="s">
        <v>71</v>
      </c>
      <c r="C13" s="3">
        <v>274</v>
      </c>
      <c r="D13" s="3">
        <v>171</v>
      </c>
      <c r="E13" s="36">
        <f t="shared" si="0"/>
        <v>62.40875912408759</v>
      </c>
      <c r="F13" s="3"/>
      <c r="G13" s="3">
        <v>78</v>
      </c>
      <c r="H13" s="3">
        <v>78</v>
      </c>
      <c r="I13" s="36">
        <f t="shared" si="1"/>
        <v>100</v>
      </c>
      <c r="J13" s="3">
        <v>78</v>
      </c>
      <c r="K13" s="3">
        <v>78</v>
      </c>
      <c r="L13" s="36">
        <f t="shared" si="2"/>
        <v>100</v>
      </c>
      <c r="M13" s="3"/>
      <c r="N13" s="3"/>
      <c r="O13" s="36"/>
      <c r="P13" s="3"/>
      <c r="Q13" s="3"/>
      <c r="R13" s="36"/>
      <c r="S13" s="3"/>
      <c r="T13" s="3"/>
      <c r="U13" s="36"/>
      <c r="AH13" s="85"/>
    </row>
    <row r="14" spans="1:34" s="20" customFormat="1" ht="24.75" customHeight="1">
      <c r="A14" s="3">
        <v>10</v>
      </c>
      <c r="B14" s="22" t="s">
        <v>60</v>
      </c>
      <c r="C14" s="3">
        <v>256</v>
      </c>
      <c r="D14" s="3">
        <v>267</v>
      </c>
      <c r="E14" s="36">
        <f t="shared" si="0"/>
        <v>104.296875</v>
      </c>
      <c r="F14" s="3">
        <v>16</v>
      </c>
      <c r="G14" s="3">
        <v>100</v>
      </c>
      <c r="H14" s="3">
        <v>100</v>
      </c>
      <c r="I14" s="36">
        <f t="shared" si="1"/>
        <v>100</v>
      </c>
      <c r="J14" s="3">
        <v>100</v>
      </c>
      <c r="K14" s="3">
        <v>100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5"/>
    </row>
    <row r="15" spans="1:34" s="20" customFormat="1" ht="24.75" customHeight="1">
      <c r="A15" s="3">
        <v>11</v>
      </c>
      <c r="B15" s="22" t="s">
        <v>61</v>
      </c>
      <c r="C15" s="3">
        <v>45</v>
      </c>
      <c r="D15" s="3">
        <v>53</v>
      </c>
      <c r="E15" s="36">
        <f t="shared" si="0"/>
        <v>117.77777777777777</v>
      </c>
      <c r="F15" s="3"/>
      <c r="G15" s="3">
        <v>42</v>
      </c>
      <c r="H15" s="3">
        <v>40</v>
      </c>
      <c r="I15" s="36">
        <f t="shared" si="1"/>
        <v>95.23809523809524</v>
      </c>
      <c r="J15" s="3">
        <v>42</v>
      </c>
      <c r="K15" s="3">
        <v>41</v>
      </c>
      <c r="L15" s="36">
        <f t="shared" si="2"/>
        <v>97.61904761904762</v>
      </c>
      <c r="M15" s="3"/>
      <c r="N15" s="3"/>
      <c r="O15" s="36"/>
      <c r="P15" s="3"/>
      <c r="Q15" s="3"/>
      <c r="R15" s="36"/>
      <c r="S15" s="3"/>
      <c r="T15" s="3"/>
      <c r="U15" s="36"/>
      <c r="AH15" s="85"/>
    </row>
    <row r="16" spans="1:34" s="20" customFormat="1" ht="24.75" customHeight="1">
      <c r="A16" s="3">
        <v>12</v>
      </c>
      <c r="B16" s="22" t="s">
        <v>62</v>
      </c>
      <c r="C16" s="3"/>
      <c r="D16" s="3"/>
      <c r="E16" s="36"/>
      <c r="F16" s="3"/>
      <c r="G16" s="3"/>
      <c r="H16" s="3"/>
      <c r="I16" s="36"/>
      <c r="J16" s="3"/>
      <c r="K16" s="3"/>
      <c r="L16" s="36"/>
      <c r="M16" s="3">
        <v>9744</v>
      </c>
      <c r="N16" s="3">
        <v>9137</v>
      </c>
      <c r="O16" s="36">
        <f>N16*100/M16</f>
        <v>93.77052545155993</v>
      </c>
      <c r="P16" s="3">
        <v>240</v>
      </c>
      <c r="Q16" s="3">
        <v>280</v>
      </c>
      <c r="R16" s="36">
        <f>Q16*100/P16</f>
        <v>116.66666666666667</v>
      </c>
      <c r="S16" s="3">
        <v>405</v>
      </c>
      <c r="T16" s="3">
        <v>360</v>
      </c>
      <c r="U16" s="36">
        <f>T16*100/S16</f>
        <v>88.88888888888889</v>
      </c>
      <c r="AH16" s="85"/>
    </row>
    <row r="17" spans="1:34" s="20" customFormat="1" ht="24.75" customHeight="1">
      <c r="A17" s="3">
        <v>13</v>
      </c>
      <c r="B17" s="32" t="s">
        <v>70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/>
      <c r="N17" s="3"/>
      <c r="O17" s="36"/>
      <c r="P17" s="3"/>
      <c r="Q17" s="3"/>
      <c r="R17" s="36"/>
      <c r="S17" s="3"/>
      <c r="T17" s="3"/>
      <c r="U17" s="36"/>
      <c r="AH17" s="85"/>
    </row>
    <row r="18" spans="1:34" s="20" customFormat="1" ht="24.75" customHeight="1">
      <c r="A18" s="31">
        <v>14</v>
      </c>
      <c r="B18" s="32" t="s">
        <v>103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5"/>
    </row>
    <row r="19" spans="1:21" s="20" customFormat="1" ht="57" customHeight="1">
      <c r="A19" s="156" t="s">
        <v>96</v>
      </c>
      <c r="B19" s="157"/>
      <c r="C19" s="3">
        <f>SUM(C6:C17)</f>
        <v>2947</v>
      </c>
      <c r="D19" s="3">
        <f>SUM(D6:D17)</f>
        <v>2920</v>
      </c>
      <c r="E19" s="36">
        <f>D19*100/C19</f>
        <v>99.08381404818459</v>
      </c>
      <c r="F19" s="3">
        <f>SUM(F6:F17)</f>
        <v>111</v>
      </c>
      <c r="G19" s="3">
        <f>SUM(G6:G17)</f>
        <v>1248</v>
      </c>
      <c r="H19" s="3">
        <f>SUM(H6:H17)</f>
        <v>1221</v>
      </c>
      <c r="I19" s="36">
        <f>H19*100/G19</f>
        <v>97.83653846153847</v>
      </c>
      <c r="J19" s="3">
        <f>SUM(J6:J17)</f>
        <v>1273</v>
      </c>
      <c r="K19" s="3">
        <f>SUM(K6:K17)</f>
        <v>1222</v>
      </c>
      <c r="L19" s="36">
        <f t="shared" si="2"/>
        <v>95.9937156323645</v>
      </c>
      <c r="M19" s="3">
        <f>SUM(M9:M17)</f>
        <v>10440</v>
      </c>
      <c r="N19" s="3">
        <f>SUM(N9:N17)</f>
        <v>9633</v>
      </c>
      <c r="O19" s="36">
        <f>N19*100/M19</f>
        <v>92.27011494252874</v>
      </c>
      <c r="P19" s="3">
        <f>SUM(P9:P17)</f>
        <v>348</v>
      </c>
      <c r="Q19" s="3">
        <f>SUM(Q9:Q17)</f>
        <v>344</v>
      </c>
      <c r="R19" s="36">
        <f>Q19*100/P19</f>
        <v>98.85057471264368</v>
      </c>
      <c r="S19" s="3">
        <f>SUM(S9:S17)</f>
        <v>444</v>
      </c>
      <c r="T19" s="36">
        <f>SUM(T9:T17)</f>
        <v>389</v>
      </c>
      <c r="U19" s="36">
        <f>T19*100/S19</f>
        <v>87.61261261261261</v>
      </c>
    </row>
    <row r="20" spans="1:21" s="20" customFormat="1" ht="24.75" customHeight="1">
      <c r="A20" s="128">
        <v>1</v>
      </c>
      <c r="B20" s="32" t="s">
        <v>99</v>
      </c>
      <c r="C20" s="3"/>
      <c r="D20" s="3">
        <v>19</v>
      </c>
      <c r="E20" s="36"/>
      <c r="F20" s="3"/>
      <c r="G20" s="3"/>
      <c r="H20" s="3">
        <v>15</v>
      </c>
      <c r="I20" s="36"/>
      <c r="J20" s="3"/>
      <c r="K20" s="3">
        <v>15</v>
      </c>
      <c r="L20" s="36"/>
      <c r="M20" s="3"/>
      <c r="N20" s="3"/>
      <c r="O20" s="36"/>
      <c r="P20" s="3"/>
      <c r="Q20" s="3"/>
      <c r="R20" s="36"/>
      <c r="S20" s="3"/>
      <c r="T20" s="36"/>
      <c r="U20" s="36"/>
    </row>
    <row r="21" spans="1:21" s="20" customFormat="1" ht="24.75" customHeight="1">
      <c r="A21" s="128">
        <v>2</v>
      </c>
      <c r="B21" s="32" t="s">
        <v>102</v>
      </c>
      <c r="C21" s="3"/>
      <c r="D21" s="3"/>
      <c r="E21" s="36"/>
      <c r="F21" s="3"/>
      <c r="G21" s="3"/>
      <c r="H21" s="3"/>
      <c r="I21" s="36"/>
      <c r="J21" s="3"/>
      <c r="K21" s="3"/>
      <c r="L21" s="36"/>
      <c r="M21" s="3"/>
      <c r="N21" s="3"/>
      <c r="O21" s="36"/>
      <c r="P21" s="3"/>
      <c r="Q21" s="3"/>
      <c r="R21" s="36"/>
      <c r="S21" s="3"/>
      <c r="T21" s="36"/>
      <c r="U21" s="36"/>
    </row>
    <row r="22" spans="1:34" s="20" customFormat="1" ht="24.75" customHeight="1">
      <c r="A22" s="3">
        <v>3</v>
      </c>
      <c r="B22" s="32" t="s">
        <v>81</v>
      </c>
      <c r="C22" s="3"/>
      <c r="D22" s="3"/>
      <c r="E22" s="36"/>
      <c r="F22" s="3"/>
      <c r="G22" s="3"/>
      <c r="H22" s="3"/>
      <c r="I22" s="36"/>
      <c r="J22" s="3"/>
      <c r="K22" s="3"/>
      <c r="L22" s="36"/>
      <c r="M22" s="3">
        <v>102</v>
      </c>
      <c r="N22" s="3"/>
      <c r="O22" s="36">
        <f>N22*100/M22</f>
        <v>0</v>
      </c>
      <c r="P22" s="3">
        <v>10</v>
      </c>
      <c r="Q22" s="3"/>
      <c r="R22" s="36">
        <f>Q22*100/P22</f>
        <v>0</v>
      </c>
      <c r="S22" s="3"/>
      <c r="T22" s="3"/>
      <c r="U22" s="36"/>
      <c r="AH22" s="85"/>
    </row>
    <row r="23" spans="1:34" s="20" customFormat="1" ht="24.75" customHeight="1">
      <c r="A23" s="3">
        <v>4</v>
      </c>
      <c r="B23" s="32" t="s">
        <v>86</v>
      </c>
      <c r="C23" s="3"/>
      <c r="D23" s="3"/>
      <c r="E23" s="36"/>
      <c r="F23" s="3"/>
      <c r="G23" s="3"/>
      <c r="H23" s="3"/>
      <c r="I23" s="36"/>
      <c r="J23" s="3"/>
      <c r="K23" s="3"/>
      <c r="L23" s="36"/>
      <c r="M23" s="3"/>
      <c r="N23" s="3"/>
      <c r="O23" s="36"/>
      <c r="P23" s="3"/>
      <c r="Q23" s="3"/>
      <c r="R23" s="36"/>
      <c r="S23" s="3"/>
      <c r="T23" s="3"/>
      <c r="U23" s="36"/>
      <c r="AH23" s="85"/>
    </row>
    <row r="24" spans="1:34" s="20" customFormat="1" ht="24.75" customHeight="1">
      <c r="A24" s="156" t="s">
        <v>88</v>
      </c>
      <c r="B24" s="157"/>
      <c r="C24" s="3"/>
      <c r="D24" s="3">
        <f>SUM(D20:D23)</f>
        <v>19</v>
      </c>
      <c r="E24" s="36"/>
      <c r="F24" s="3"/>
      <c r="G24" s="3"/>
      <c r="H24" s="3">
        <f>SUM(H20:H23)</f>
        <v>15</v>
      </c>
      <c r="I24" s="36"/>
      <c r="J24" s="3"/>
      <c r="K24" s="36">
        <f>SUM(K20:K23)</f>
        <v>15</v>
      </c>
      <c r="L24" s="36"/>
      <c r="M24" s="3">
        <f>SUM(M22:M23)</f>
        <v>102</v>
      </c>
      <c r="N24" s="3">
        <f>SUM(N22:N23)</f>
        <v>0</v>
      </c>
      <c r="O24" s="36">
        <f>N24*100/M24</f>
        <v>0</v>
      </c>
      <c r="P24" s="3">
        <f>SUM(P22:P23)</f>
        <v>10</v>
      </c>
      <c r="Q24" s="3">
        <f>SUM(Q22:Q23)</f>
        <v>0</v>
      </c>
      <c r="R24" s="36">
        <f>Q24*100/P24</f>
        <v>0</v>
      </c>
      <c r="S24" s="3">
        <f>SUM(S22:S23)</f>
        <v>0</v>
      </c>
      <c r="T24" s="3">
        <f>SUM(T22:T23)</f>
        <v>0</v>
      </c>
      <c r="U24" s="36"/>
      <c r="AH24" s="85"/>
    </row>
    <row r="25" spans="1:34" s="20" customFormat="1" ht="36" customHeight="1">
      <c r="A25" s="158" t="s">
        <v>89</v>
      </c>
      <c r="B25" s="159"/>
      <c r="C25" s="3">
        <f>C19+C24</f>
        <v>2947</v>
      </c>
      <c r="D25" s="3">
        <f>D19+D24</f>
        <v>2939</v>
      </c>
      <c r="E25" s="36">
        <f>D25*100/C25</f>
        <v>99.7285374957584</v>
      </c>
      <c r="F25" s="3">
        <f>F19+F24</f>
        <v>111</v>
      </c>
      <c r="G25" s="3">
        <f>G19+G24</f>
        <v>1248</v>
      </c>
      <c r="H25" s="3">
        <f>H19+H24</f>
        <v>1236</v>
      </c>
      <c r="I25" s="36">
        <f>H25*100/G25</f>
        <v>99.03846153846153</v>
      </c>
      <c r="J25" s="3">
        <f>J19+J24</f>
        <v>1273</v>
      </c>
      <c r="K25" s="36">
        <f>K19+K24</f>
        <v>1237</v>
      </c>
      <c r="L25" s="36">
        <f t="shared" si="2"/>
        <v>97.172034564022</v>
      </c>
      <c r="M25" s="3">
        <f>M19+M24</f>
        <v>10542</v>
      </c>
      <c r="N25" s="3">
        <f>N19+N24</f>
        <v>9633</v>
      </c>
      <c r="O25" s="36">
        <f>N25*100/M25</f>
        <v>91.37734775184974</v>
      </c>
      <c r="P25" s="3">
        <f>P19+P24</f>
        <v>358</v>
      </c>
      <c r="Q25" s="3">
        <f>Q19+Q24</f>
        <v>344</v>
      </c>
      <c r="R25" s="36">
        <f>Q25*100/P25</f>
        <v>96.08938547486034</v>
      </c>
      <c r="S25" s="3">
        <f>S19+S24</f>
        <v>444</v>
      </c>
      <c r="T25" s="3">
        <f>T19+T24</f>
        <v>389</v>
      </c>
      <c r="U25" s="36">
        <f>T25*100/S25</f>
        <v>87.61261261261261</v>
      </c>
      <c r="AH25" s="85"/>
    </row>
  </sheetData>
  <sheetProtection/>
  <mergeCells count="19">
    <mergeCell ref="F3:F5"/>
    <mergeCell ref="C3:E3"/>
    <mergeCell ref="A19:B19"/>
    <mergeCell ref="J3:L3"/>
    <mergeCell ref="J4:J5"/>
    <mergeCell ref="K4:K5"/>
    <mergeCell ref="M3:U3"/>
    <mergeCell ref="N4:N5"/>
    <mergeCell ref="R4:R5"/>
    <mergeCell ref="A24:B24"/>
    <mergeCell ref="A25:B25"/>
    <mergeCell ref="U4:U5"/>
    <mergeCell ref="M4:M5"/>
    <mergeCell ref="B3:B5"/>
    <mergeCell ref="G4:G5"/>
    <mergeCell ref="H4:H5"/>
    <mergeCell ref="D4:D5"/>
    <mergeCell ref="C4:C5"/>
    <mergeCell ref="G3:I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view="pageBreakPreview" zoomScale="75" zoomScaleNormal="75" zoomScaleSheetLayoutView="75" zoomScalePageLayoutView="0" workbookViewId="0" topLeftCell="A1">
      <selection activeCell="K20" sqref="K20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119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88" t="s">
        <v>97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2.75">
      <c r="A4" s="148" t="s">
        <v>2</v>
      </c>
      <c r="B4" s="150" t="s">
        <v>3</v>
      </c>
      <c r="C4" s="154" t="s">
        <v>78</v>
      </c>
      <c r="D4" s="180"/>
      <c r="E4" s="181"/>
      <c r="F4" s="189" t="s">
        <v>63</v>
      </c>
      <c r="G4" s="190"/>
      <c r="H4" s="189" t="s">
        <v>77</v>
      </c>
      <c r="I4" s="193"/>
      <c r="J4" s="181"/>
      <c r="K4" s="189" t="s">
        <v>75</v>
      </c>
      <c r="L4" s="190"/>
      <c r="M4" s="189" t="s">
        <v>76</v>
      </c>
      <c r="N4" s="190"/>
    </row>
    <row r="5" spans="1:14" ht="31.5" customHeight="1">
      <c r="A5" s="174"/>
      <c r="B5" s="151"/>
      <c r="C5" s="182"/>
      <c r="D5" s="183"/>
      <c r="E5" s="184"/>
      <c r="F5" s="191"/>
      <c r="G5" s="192"/>
      <c r="H5" s="191"/>
      <c r="I5" s="194"/>
      <c r="J5" s="195"/>
      <c r="K5" s="191"/>
      <c r="L5" s="192"/>
      <c r="M5" s="191"/>
      <c r="N5" s="192"/>
    </row>
    <row r="6" spans="1:14" ht="30">
      <c r="A6" s="149"/>
      <c r="B6" s="152"/>
      <c r="C6" s="3">
        <v>2012</v>
      </c>
      <c r="D6" s="19">
        <v>2013</v>
      </c>
      <c r="E6" s="94" t="s">
        <v>111</v>
      </c>
      <c r="F6" s="3">
        <v>2012</v>
      </c>
      <c r="G6" s="19">
        <v>2013</v>
      </c>
      <c r="H6" s="3">
        <v>2012</v>
      </c>
      <c r="I6" s="19">
        <v>2013</v>
      </c>
      <c r="J6" s="94" t="s">
        <v>111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>
        <v>378</v>
      </c>
      <c r="D7" s="31">
        <v>129</v>
      </c>
      <c r="E7" s="31">
        <f aca="true" t="shared" si="0" ref="E7:E13">D7-C7</f>
        <v>-249</v>
      </c>
      <c r="F7" s="31">
        <v>150</v>
      </c>
      <c r="G7" s="31">
        <v>98</v>
      </c>
      <c r="H7" s="74">
        <f>F7*100/28</f>
        <v>535.7142857142857</v>
      </c>
      <c r="I7" s="74">
        <f>G7*100/28</f>
        <v>350</v>
      </c>
      <c r="J7" s="73">
        <f aca="true" t="shared" si="1" ref="J7:J13">I7-H7</f>
        <v>-185.71428571428567</v>
      </c>
      <c r="K7" s="31">
        <v>16</v>
      </c>
      <c r="L7" s="31">
        <v>12</v>
      </c>
      <c r="M7" s="92">
        <f aca="true" t="shared" si="2" ref="M7:M13">G7/L7</f>
        <v>8.166666666666666</v>
      </c>
      <c r="N7" s="114">
        <f>(D7-G7)/(K7-L7)</f>
        <v>7.75</v>
      </c>
    </row>
    <row r="8" spans="1:15" ht="16.5" customHeight="1">
      <c r="A8" s="31">
        <v>2</v>
      </c>
      <c r="B8" s="31" t="s">
        <v>59</v>
      </c>
      <c r="C8" s="31">
        <v>104</v>
      </c>
      <c r="D8" s="31">
        <v>54</v>
      </c>
      <c r="E8" s="31">
        <f t="shared" si="0"/>
        <v>-50</v>
      </c>
      <c r="F8" s="31">
        <v>86</v>
      </c>
      <c r="G8" s="31">
        <v>54</v>
      </c>
      <c r="H8" s="74">
        <f>F8*100/80</f>
        <v>107.5</v>
      </c>
      <c r="I8" s="74">
        <f>G8*100/46</f>
        <v>117.3913043478261</v>
      </c>
      <c r="J8" s="73">
        <f t="shared" si="1"/>
        <v>9.891304347826093</v>
      </c>
      <c r="K8" s="32">
        <v>12</v>
      </c>
      <c r="L8" s="32">
        <v>12</v>
      </c>
      <c r="M8" s="92">
        <f t="shared" si="2"/>
        <v>4.5</v>
      </c>
      <c r="N8" s="114"/>
      <c r="O8" s="15"/>
    </row>
    <row r="9" spans="1:14" ht="16.5" customHeight="1">
      <c r="A9" s="31">
        <v>3</v>
      </c>
      <c r="B9" s="32" t="s">
        <v>62</v>
      </c>
      <c r="C9" s="31">
        <v>3803</v>
      </c>
      <c r="D9" s="31">
        <v>3539</v>
      </c>
      <c r="E9" s="31">
        <f t="shared" si="0"/>
        <v>-264</v>
      </c>
      <c r="F9" s="31">
        <v>2314</v>
      </c>
      <c r="G9" s="31">
        <v>1648</v>
      </c>
      <c r="H9" s="74">
        <f>F9*100/240</f>
        <v>964.1666666666666</v>
      </c>
      <c r="I9" s="74">
        <f>G9*100/280</f>
        <v>588.5714285714286</v>
      </c>
      <c r="J9" s="73">
        <f t="shared" si="1"/>
        <v>-375.5952380952381</v>
      </c>
      <c r="K9" s="32">
        <v>396</v>
      </c>
      <c r="L9" s="32">
        <v>157</v>
      </c>
      <c r="M9" s="114">
        <f t="shared" si="2"/>
        <v>10.496815286624203</v>
      </c>
      <c r="N9" s="114">
        <f>(D9-G9)/(K9-L9)</f>
        <v>7.912133891213389</v>
      </c>
    </row>
    <row r="10" spans="1:14" ht="42.75" customHeight="1">
      <c r="A10" s="186" t="s">
        <v>95</v>
      </c>
      <c r="B10" s="187"/>
      <c r="C10" s="31">
        <f>SUM(C7:C9)</f>
        <v>4285</v>
      </c>
      <c r="D10" s="31">
        <f>SUM(D7:D9)</f>
        <v>3722</v>
      </c>
      <c r="E10" s="31">
        <f t="shared" si="0"/>
        <v>-563</v>
      </c>
      <c r="F10" s="31">
        <f>SUM(F7:F9)</f>
        <v>2550</v>
      </c>
      <c r="G10" s="31">
        <f>SUM(G7:G9)</f>
        <v>1800</v>
      </c>
      <c r="H10" s="74">
        <f>F10*100/348</f>
        <v>732.7586206896551</v>
      </c>
      <c r="I10" s="74">
        <f>G10*100/354</f>
        <v>508.47457627118644</v>
      </c>
      <c r="J10" s="73">
        <f t="shared" si="1"/>
        <v>-224.28404441846868</v>
      </c>
      <c r="K10" s="73">
        <f>SUM(K7:K9)</f>
        <v>424</v>
      </c>
      <c r="L10" s="73">
        <f>SUM(L7:L9)</f>
        <v>181</v>
      </c>
      <c r="M10" s="92">
        <f t="shared" si="2"/>
        <v>9.94475138121547</v>
      </c>
      <c r="N10" s="92">
        <f>(D10-G10)/(K10-L10)</f>
        <v>7.909465020576132</v>
      </c>
    </row>
    <row r="11" spans="1:14" ht="15">
      <c r="A11" s="31">
        <v>1</v>
      </c>
      <c r="B11" s="32" t="s">
        <v>81</v>
      </c>
      <c r="C11" s="31">
        <v>8</v>
      </c>
      <c r="D11" s="31"/>
      <c r="E11" s="31"/>
      <c r="F11" s="22">
        <v>8</v>
      </c>
      <c r="G11" s="22"/>
      <c r="H11" s="74"/>
      <c r="I11" s="74"/>
      <c r="J11" s="73"/>
      <c r="K11" s="73"/>
      <c r="L11" s="22"/>
      <c r="M11" s="92"/>
      <c r="N11" s="92"/>
    </row>
    <row r="12" spans="1:14" ht="25.5" customHeight="1">
      <c r="A12" s="156" t="s">
        <v>88</v>
      </c>
      <c r="B12" s="157"/>
      <c r="C12" s="31">
        <f>SUM(C11)</f>
        <v>8</v>
      </c>
      <c r="D12" s="31">
        <f>SUM(D11)</f>
        <v>0</v>
      </c>
      <c r="E12" s="31">
        <f t="shared" si="0"/>
        <v>-8</v>
      </c>
      <c r="F12" s="31">
        <f>SUM(F11)</f>
        <v>8</v>
      </c>
      <c r="G12" s="31">
        <f>SUM(G11)</f>
        <v>0</v>
      </c>
      <c r="H12" s="74">
        <f>F12*100/10</f>
        <v>80</v>
      </c>
      <c r="I12" s="74">
        <f>G12*100/10</f>
        <v>0</v>
      </c>
      <c r="J12" s="73">
        <f t="shared" si="1"/>
        <v>-80</v>
      </c>
      <c r="K12" s="31">
        <f>SUM(K11)</f>
        <v>0</v>
      </c>
      <c r="L12" s="31">
        <f>SUM(L11)</f>
        <v>0</v>
      </c>
      <c r="M12" s="92"/>
      <c r="N12" s="92"/>
    </row>
    <row r="13" spans="1:14" ht="28.5" customHeight="1">
      <c r="A13" s="185" t="s">
        <v>89</v>
      </c>
      <c r="B13" s="185"/>
      <c r="C13" s="31">
        <f>C10+C12</f>
        <v>4293</v>
      </c>
      <c r="D13" s="31">
        <f>SUM(D10:D11)</f>
        <v>3722</v>
      </c>
      <c r="E13" s="31">
        <f t="shared" si="0"/>
        <v>-571</v>
      </c>
      <c r="F13" s="31">
        <f>F10+F12</f>
        <v>2558</v>
      </c>
      <c r="G13" s="31">
        <f>SUM(G10:G11)</f>
        <v>1800</v>
      </c>
      <c r="H13" s="74">
        <f>F13*100/337</f>
        <v>759.0504451038576</v>
      </c>
      <c r="I13" s="74">
        <f>G13*100/358</f>
        <v>502.7932960893855</v>
      </c>
      <c r="J13" s="73">
        <f t="shared" si="1"/>
        <v>-256.2571490144721</v>
      </c>
      <c r="K13" s="31">
        <f>K10+K12</f>
        <v>424</v>
      </c>
      <c r="L13" s="31">
        <f>SUM(L10:L11)</f>
        <v>181</v>
      </c>
      <c r="M13" s="92">
        <f t="shared" si="2"/>
        <v>9.94475138121547</v>
      </c>
      <c r="N13" s="92">
        <f>(D13-G13)/(K13-L13)</f>
        <v>7.909465020576132</v>
      </c>
    </row>
    <row r="15" spans="2:17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72"/>
      <c r="C16" s="109"/>
      <c r="D16" s="109"/>
      <c r="E16" s="109"/>
      <c r="F16" s="109"/>
      <c r="G16" s="109"/>
      <c r="H16" s="110"/>
      <c r="I16" s="111"/>
      <c r="J16" s="110"/>
      <c r="K16" s="109"/>
      <c r="L16" s="109"/>
      <c r="M16" s="112"/>
      <c r="N16" s="112"/>
      <c r="O16" s="72"/>
      <c r="P16" s="72"/>
      <c r="Q16" s="72"/>
    </row>
    <row r="17" spans="2:17" ht="15">
      <c r="B17" s="72"/>
      <c r="C17" s="109"/>
      <c r="D17" s="109"/>
      <c r="E17" s="109"/>
      <c r="F17" s="109"/>
      <c r="G17" s="109"/>
      <c r="H17" s="111"/>
      <c r="I17" s="111"/>
      <c r="J17" s="110"/>
      <c r="K17" s="113"/>
      <c r="L17" s="113"/>
      <c r="M17" s="112"/>
      <c r="N17" s="112"/>
      <c r="O17" s="72"/>
      <c r="P17" s="72"/>
      <c r="Q17" s="72"/>
    </row>
    <row r="18" spans="2:17" ht="15">
      <c r="B18" s="72"/>
      <c r="C18" s="109"/>
      <c r="D18" s="109"/>
      <c r="E18" s="109"/>
      <c r="F18" s="109"/>
      <c r="G18" s="109"/>
      <c r="H18" s="110"/>
      <c r="I18" s="111"/>
      <c r="J18" s="110"/>
      <c r="K18" s="113"/>
      <c r="L18" s="113"/>
      <c r="M18" s="112"/>
      <c r="N18" s="112"/>
      <c r="O18" s="72"/>
      <c r="P18" s="72"/>
      <c r="Q18" s="72"/>
    </row>
    <row r="19" spans="2:17" ht="15">
      <c r="B19" s="72"/>
      <c r="C19" s="109"/>
      <c r="D19" s="109"/>
      <c r="E19" s="109"/>
      <c r="F19" s="109"/>
      <c r="G19" s="109"/>
      <c r="H19" s="110"/>
      <c r="I19" s="111"/>
      <c r="J19" s="110"/>
      <c r="K19" s="113"/>
      <c r="L19" s="113"/>
      <c r="M19" s="112"/>
      <c r="N19" s="112"/>
      <c r="O19" s="72"/>
      <c r="P19" s="72"/>
      <c r="Q19" s="72"/>
    </row>
    <row r="20" spans="2:17" ht="15">
      <c r="B20" s="72"/>
      <c r="C20" s="109"/>
      <c r="D20" s="109"/>
      <c r="E20" s="109"/>
      <c r="F20" s="109"/>
      <c r="G20" s="109"/>
      <c r="H20" s="110"/>
      <c r="I20" s="111"/>
      <c r="J20" s="110"/>
      <c r="K20" s="113"/>
      <c r="L20" s="113"/>
      <c r="M20" s="112"/>
      <c r="N20" s="112"/>
      <c r="O20" s="72"/>
      <c r="P20" s="72"/>
      <c r="Q20" s="72"/>
    </row>
    <row r="21" spans="2:17" ht="15">
      <c r="B21" s="72"/>
      <c r="C21" s="109"/>
      <c r="D21" s="109"/>
      <c r="E21" s="109"/>
      <c r="F21" s="109"/>
      <c r="G21" s="109"/>
      <c r="H21" s="110"/>
      <c r="I21" s="111"/>
      <c r="J21" s="110"/>
      <c r="K21" s="111"/>
      <c r="L21" s="111"/>
      <c r="M21" s="112"/>
      <c r="N21" s="112"/>
      <c r="O21" s="72"/>
      <c r="P21" s="72"/>
      <c r="Q21" s="72"/>
    </row>
    <row r="22" spans="2:17" ht="15">
      <c r="B22" s="72"/>
      <c r="C22" s="109"/>
      <c r="D22" s="109"/>
      <c r="E22" s="109"/>
      <c r="F22" s="109"/>
      <c r="G22" s="109"/>
      <c r="H22" s="110"/>
      <c r="I22" s="111"/>
      <c r="J22" s="110"/>
      <c r="K22" s="113"/>
      <c r="L22" s="113"/>
      <c r="M22" s="112"/>
      <c r="N22" s="112"/>
      <c r="O22" s="72"/>
      <c r="P22" s="72"/>
      <c r="Q22" s="72"/>
    </row>
    <row r="23" spans="2:17" ht="15">
      <c r="B23" s="72"/>
      <c r="C23" s="109"/>
      <c r="D23" s="109"/>
      <c r="E23" s="109"/>
      <c r="F23" s="109"/>
      <c r="G23" s="109"/>
      <c r="H23" s="111"/>
      <c r="I23" s="111"/>
      <c r="J23" s="110"/>
      <c r="K23" s="113"/>
      <c r="L23" s="113"/>
      <c r="M23" s="112"/>
      <c r="N23" s="112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</sheetData>
  <sheetProtection/>
  <mergeCells count="11">
    <mergeCell ref="H4:J5"/>
    <mergeCell ref="C4:E5"/>
    <mergeCell ref="A12:B12"/>
    <mergeCell ref="A13:B13"/>
    <mergeCell ref="A10:B10"/>
    <mergeCell ref="A3:N3"/>
    <mergeCell ref="F4:G5"/>
    <mergeCell ref="K4:L5"/>
    <mergeCell ref="M4:N5"/>
    <mergeCell ref="B4:B6"/>
    <mergeCell ref="A4:A6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65" zoomScaleNormal="75" zoomScaleSheetLayoutView="65" zoomScalePageLayoutView="0" workbookViewId="0" topLeftCell="A1">
      <selection activeCell="B49" sqref="B49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23" t="s">
        <v>118</v>
      </c>
      <c r="D1" s="123"/>
      <c r="E1" s="123"/>
      <c r="F1" s="123"/>
      <c r="G1" s="123"/>
      <c r="H1" s="123"/>
      <c r="I1" s="123"/>
      <c r="J1" s="123"/>
      <c r="K1" s="123"/>
      <c r="L1" s="20"/>
      <c r="M1" s="20"/>
      <c r="N1" s="20"/>
    </row>
    <row r="2" spans="1:14" ht="15">
      <c r="A2" s="148" t="s">
        <v>2</v>
      </c>
      <c r="B2" s="148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74"/>
      <c r="B3" s="174"/>
      <c r="C3" s="18">
        <v>2012</v>
      </c>
      <c r="D3" s="19">
        <v>2013</v>
      </c>
      <c r="E3" s="9" t="s">
        <v>33</v>
      </c>
      <c r="F3" s="18">
        <v>2012</v>
      </c>
      <c r="G3" s="19">
        <v>2013</v>
      </c>
      <c r="H3" s="9" t="s">
        <v>33</v>
      </c>
      <c r="I3" s="18">
        <v>2012</v>
      </c>
      <c r="J3" s="19">
        <v>2013</v>
      </c>
      <c r="K3" s="9" t="s">
        <v>33</v>
      </c>
      <c r="L3" s="18">
        <v>2012</v>
      </c>
      <c r="M3" s="19">
        <v>2013</v>
      </c>
      <c r="N3" s="9" t="s">
        <v>33</v>
      </c>
    </row>
    <row r="4" spans="1:14" ht="15">
      <c r="A4" s="149"/>
      <c r="B4" s="149"/>
      <c r="C4" s="29"/>
      <c r="D4" s="29"/>
      <c r="E4" s="45" t="s">
        <v>110</v>
      </c>
      <c r="F4" s="29"/>
      <c r="G4" s="29"/>
      <c r="H4" s="45" t="s">
        <v>110</v>
      </c>
      <c r="I4" s="29"/>
      <c r="J4" s="29"/>
      <c r="K4" s="45" t="s">
        <v>110</v>
      </c>
      <c r="L4" s="29"/>
      <c r="M4" s="29"/>
      <c r="N4" s="45" t="s">
        <v>110</v>
      </c>
    </row>
    <row r="5" spans="1:14" ht="16.5" customHeight="1">
      <c r="A5" s="31">
        <v>1</v>
      </c>
      <c r="B5" s="31" t="s">
        <v>55</v>
      </c>
      <c r="C5" s="12">
        <v>91</v>
      </c>
      <c r="D5" s="12">
        <v>39</v>
      </c>
      <c r="E5" s="16">
        <f aca="true" t="shared" si="0" ref="E5:E14">D5-C5</f>
        <v>-52</v>
      </c>
      <c r="F5" s="12">
        <v>16</v>
      </c>
      <c r="G5" s="12">
        <v>6</v>
      </c>
      <c r="H5" s="16">
        <f aca="true" t="shared" si="1" ref="H5:H14">G5-F5</f>
        <v>-10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47</v>
      </c>
      <c r="D6" s="12">
        <v>32</v>
      </c>
      <c r="E6" s="16">
        <f t="shared" si="0"/>
        <v>-15</v>
      </c>
      <c r="F6" s="12">
        <v>1</v>
      </c>
      <c r="G6" s="12"/>
      <c r="H6" s="16">
        <f t="shared" si="1"/>
        <v>-1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25</v>
      </c>
      <c r="D7" s="12">
        <v>23</v>
      </c>
      <c r="E7" s="16">
        <f t="shared" si="0"/>
        <v>-2</v>
      </c>
      <c r="F7" s="12"/>
      <c r="G7" s="12"/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205</v>
      </c>
      <c r="D8" s="12">
        <v>118</v>
      </c>
      <c r="E8" s="16">
        <f t="shared" si="0"/>
        <v>-87</v>
      </c>
      <c r="F8" s="12"/>
      <c r="G8" s="12"/>
      <c r="H8" s="16">
        <f t="shared" si="1"/>
        <v>0</v>
      </c>
      <c r="I8" s="16">
        <v>43</v>
      </c>
      <c r="J8" s="16">
        <v>28</v>
      </c>
      <c r="K8" s="12">
        <f>J8-I8</f>
        <v>-15</v>
      </c>
      <c r="L8" s="12">
        <v>29</v>
      </c>
      <c r="M8" s="12">
        <v>8</v>
      </c>
      <c r="N8" s="12">
        <f>M8-L8</f>
        <v>-21</v>
      </c>
    </row>
    <row r="9" spans="1:14" ht="16.5" customHeight="1">
      <c r="A9" s="31">
        <v>5</v>
      </c>
      <c r="B9" s="31" t="s">
        <v>59</v>
      </c>
      <c r="C9" s="12">
        <v>68</v>
      </c>
      <c r="D9" s="12">
        <v>45</v>
      </c>
      <c r="E9" s="16">
        <f t="shared" si="0"/>
        <v>-23</v>
      </c>
      <c r="F9" s="12"/>
      <c r="G9" s="12"/>
      <c r="H9" s="16">
        <f t="shared" si="1"/>
        <v>0</v>
      </c>
      <c r="I9" s="12">
        <v>52</v>
      </c>
      <c r="J9" s="12">
        <v>26</v>
      </c>
      <c r="K9" s="12">
        <f>J9-I9</f>
        <v>-26</v>
      </c>
      <c r="L9" s="16">
        <v>12</v>
      </c>
      <c r="M9" s="16">
        <v>4</v>
      </c>
      <c r="N9" s="12">
        <f>M9-L9</f>
        <v>-8</v>
      </c>
    </row>
    <row r="10" spans="1:14" ht="16.5" customHeight="1">
      <c r="A10" s="31">
        <v>6</v>
      </c>
      <c r="B10" s="32" t="s">
        <v>72</v>
      </c>
      <c r="C10" s="12">
        <v>26</v>
      </c>
      <c r="D10" s="12">
        <v>37</v>
      </c>
      <c r="E10" s="16">
        <f t="shared" si="0"/>
        <v>11</v>
      </c>
      <c r="F10" s="12"/>
      <c r="G10" s="12"/>
      <c r="H10" s="16">
        <f t="shared" si="1"/>
        <v>0</v>
      </c>
      <c r="I10" s="12"/>
      <c r="J10" s="12"/>
      <c r="K10" s="12"/>
      <c r="L10" s="12"/>
      <c r="M10" s="12"/>
      <c r="N10" s="12"/>
    </row>
    <row r="11" spans="1:14" ht="16.5" customHeight="1">
      <c r="A11" s="31">
        <v>8</v>
      </c>
      <c r="B11" s="32" t="s">
        <v>85</v>
      </c>
      <c r="C11" s="12">
        <v>52</v>
      </c>
      <c r="D11" s="12">
        <v>32</v>
      </c>
      <c r="E11" s="16">
        <f t="shared" si="0"/>
        <v>-20</v>
      </c>
      <c r="F11" s="12">
        <v>7</v>
      </c>
      <c r="G11" s="12">
        <v>7</v>
      </c>
      <c r="H11" s="16"/>
      <c r="I11" s="12"/>
      <c r="J11" s="12"/>
      <c r="K11" s="12"/>
      <c r="L11" s="12"/>
      <c r="M11" s="12"/>
      <c r="N11" s="12"/>
    </row>
    <row r="12" spans="1:14" ht="16.5" customHeight="1">
      <c r="A12" s="31">
        <v>9</v>
      </c>
      <c r="B12" s="32" t="s">
        <v>71</v>
      </c>
      <c r="C12" s="12">
        <v>89</v>
      </c>
      <c r="D12" s="12">
        <v>63</v>
      </c>
      <c r="E12" s="16">
        <f t="shared" si="0"/>
        <v>-26</v>
      </c>
      <c r="F12" s="12">
        <v>30</v>
      </c>
      <c r="G12" s="12">
        <v>3</v>
      </c>
      <c r="H12" s="16">
        <f t="shared" si="1"/>
        <v>-27</v>
      </c>
      <c r="I12" s="12"/>
      <c r="J12" s="12"/>
      <c r="K12" s="12"/>
      <c r="L12" s="12"/>
      <c r="M12" s="12"/>
      <c r="N12" s="12"/>
    </row>
    <row r="13" spans="1:14" ht="16.5" customHeight="1">
      <c r="A13" s="31">
        <v>10</v>
      </c>
      <c r="B13" s="32" t="s">
        <v>60</v>
      </c>
      <c r="C13" s="12">
        <v>24</v>
      </c>
      <c r="D13" s="12">
        <v>23</v>
      </c>
      <c r="E13" s="16">
        <f t="shared" si="0"/>
        <v>-1</v>
      </c>
      <c r="F13" s="12"/>
      <c r="G13" s="12"/>
      <c r="H13" s="16">
        <f t="shared" si="1"/>
        <v>0</v>
      </c>
      <c r="I13" s="12"/>
      <c r="J13" s="12"/>
      <c r="K13" s="12"/>
      <c r="L13" s="12"/>
      <c r="M13" s="12"/>
      <c r="N13" s="12"/>
    </row>
    <row r="14" spans="1:14" ht="16.5" customHeight="1">
      <c r="A14" s="31">
        <v>11</v>
      </c>
      <c r="B14" s="32" t="s">
        <v>61</v>
      </c>
      <c r="C14" s="12">
        <v>13</v>
      </c>
      <c r="D14" s="12">
        <v>15</v>
      </c>
      <c r="E14" s="16">
        <f t="shared" si="0"/>
        <v>2</v>
      </c>
      <c r="F14" s="12"/>
      <c r="G14" s="12"/>
      <c r="H14" s="16">
        <f t="shared" si="1"/>
        <v>0</v>
      </c>
      <c r="I14" s="12"/>
      <c r="J14" s="12"/>
      <c r="K14" s="12"/>
      <c r="L14" s="12"/>
      <c r="M14" s="12"/>
      <c r="N14" s="12"/>
    </row>
    <row r="15" spans="1:14" ht="16.5" customHeight="1">
      <c r="A15" s="31">
        <v>12</v>
      </c>
      <c r="B15" s="32" t="s">
        <v>62</v>
      </c>
      <c r="C15" s="16"/>
      <c r="D15" s="16"/>
      <c r="E15" s="16"/>
      <c r="F15" s="16"/>
      <c r="G15" s="16"/>
      <c r="H15" s="16"/>
      <c r="I15" s="12">
        <v>731</v>
      </c>
      <c r="J15" s="12">
        <v>728</v>
      </c>
      <c r="K15" s="12">
        <f>J15-I15</f>
        <v>-3</v>
      </c>
      <c r="L15" s="12">
        <v>294</v>
      </c>
      <c r="M15" s="12">
        <v>272</v>
      </c>
      <c r="N15" s="12">
        <f>M15-L15</f>
        <v>-22</v>
      </c>
    </row>
    <row r="16" spans="1:14" ht="60.75" customHeight="1">
      <c r="A16" s="158" t="s">
        <v>124</v>
      </c>
      <c r="B16" s="159"/>
      <c r="C16" s="12">
        <f>SUM(C5:C14)</f>
        <v>640</v>
      </c>
      <c r="D16" s="12">
        <f>SUM(D5:D15)</f>
        <v>427</v>
      </c>
      <c r="E16" s="12">
        <f>D16-C16</f>
        <v>-213</v>
      </c>
      <c r="F16" s="12">
        <f>SUM(F5:F15)</f>
        <v>54</v>
      </c>
      <c r="G16" s="12">
        <f>SUM(G5:G15)</f>
        <v>16</v>
      </c>
      <c r="H16" s="12">
        <f>G16-F16</f>
        <v>-38</v>
      </c>
      <c r="I16" s="12">
        <f>SUM(I8:I15)</f>
        <v>826</v>
      </c>
      <c r="J16" s="12">
        <f>SUM(J8:J15)</f>
        <v>782</v>
      </c>
      <c r="K16" s="12">
        <f>J16-I16</f>
        <v>-44</v>
      </c>
      <c r="L16" s="12">
        <f>SUM(L8:L15)</f>
        <v>335</v>
      </c>
      <c r="M16" s="12">
        <f>SUM(M8:M15)</f>
        <v>284</v>
      </c>
      <c r="N16" s="12">
        <f>M16-L16</f>
        <v>-51</v>
      </c>
    </row>
  </sheetData>
  <sheetProtection/>
  <mergeCells count="3">
    <mergeCell ref="B2:B4"/>
    <mergeCell ref="A2:A4"/>
    <mergeCell ref="A16:B16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65" zoomScaleNormal="75" zoomScaleSheetLayoutView="65" zoomScalePageLayoutView="0" workbookViewId="0" topLeftCell="A1">
      <selection activeCell="A17" sqref="A17:IV22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96" t="s">
        <v>117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53" t="s">
        <v>2</v>
      </c>
      <c r="B3" s="153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99"/>
      <c r="B4" s="199"/>
      <c r="C4" s="18">
        <v>2012</v>
      </c>
      <c r="D4" s="19">
        <v>2013</v>
      </c>
      <c r="E4" s="19" t="s">
        <v>105</v>
      </c>
      <c r="F4" s="18">
        <v>2012</v>
      </c>
      <c r="G4" s="19">
        <v>2013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99"/>
      <c r="B5" s="199"/>
      <c r="C5" s="40"/>
      <c r="D5" s="11"/>
      <c r="E5" s="11" t="s">
        <v>108</v>
      </c>
      <c r="F5" s="29"/>
      <c r="G5" s="28"/>
      <c r="H5" s="29" t="s">
        <v>109</v>
      </c>
      <c r="I5" s="18">
        <v>2012</v>
      </c>
      <c r="J5" s="19">
        <v>2013</v>
      </c>
      <c r="K5" s="29" t="s">
        <v>109</v>
      </c>
      <c r="L5" s="18">
        <v>2012</v>
      </c>
      <c r="M5" s="19">
        <v>2013</v>
      </c>
      <c r="N5" s="29" t="s">
        <v>109</v>
      </c>
    </row>
    <row r="6" spans="1:14" ht="16.5" customHeight="1">
      <c r="A6" s="31">
        <v>1</v>
      </c>
      <c r="B6" s="31" t="s">
        <v>55</v>
      </c>
      <c r="C6" s="36">
        <v>43</v>
      </c>
      <c r="D6" s="36">
        <v>70</v>
      </c>
      <c r="E6" s="36">
        <f aca="true" t="shared" si="0" ref="E6:E16">D6*100/C6</f>
        <v>162.7906976744186</v>
      </c>
      <c r="F6" s="36">
        <v>40</v>
      </c>
      <c r="G6" s="36">
        <v>70</v>
      </c>
      <c r="H6" s="36">
        <f aca="true" t="shared" si="1" ref="H6:H16">G6-F6</f>
        <v>30</v>
      </c>
      <c r="I6" s="36">
        <f>F6*100/180</f>
        <v>22.22222222222222</v>
      </c>
      <c r="J6" s="36">
        <f>G6*100/180</f>
        <v>38.888888888888886</v>
      </c>
      <c r="K6" s="36">
        <f aca="true" t="shared" si="2" ref="K6:K16">J6-I6</f>
        <v>16.666666666666664</v>
      </c>
      <c r="L6" s="36">
        <f>(C6-F6)*100/180</f>
        <v>1.6666666666666667</v>
      </c>
      <c r="M6" s="36">
        <f>(D6-G6)*100/180</f>
        <v>0</v>
      </c>
      <c r="N6" s="36">
        <f>M6-L6</f>
        <v>-1.6666666666666667</v>
      </c>
    </row>
    <row r="7" spans="1:14" ht="16.5" customHeight="1">
      <c r="A7" s="31">
        <v>2</v>
      </c>
      <c r="B7" s="31" t="s">
        <v>56</v>
      </c>
      <c r="C7" s="36">
        <v>66</v>
      </c>
      <c r="D7" s="36">
        <v>72</v>
      </c>
      <c r="E7" s="36">
        <f t="shared" si="0"/>
        <v>109.0909090909091</v>
      </c>
      <c r="F7" s="36">
        <v>66</v>
      </c>
      <c r="G7" s="36">
        <v>62</v>
      </c>
      <c r="H7" s="36">
        <f t="shared" si="1"/>
        <v>-4</v>
      </c>
      <c r="I7" s="36">
        <f>F7*100/105</f>
        <v>62.857142857142854</v>
      </c>
      <c r="J7" s="36">
        <f>G7*100/105</f>
        <v>59.04761904761905</v>
      </c>
      <c r="K7" s="36">
        <f>J7-I7</f>
        <v>-3.809523809523803</v>
      </c>
      <c r="L7" s="36">
        <f>(C7-F7)*100/105</f>
        <v>0</v>
      </c>
      <c r="M7" s="36">
        <f>(D7-G7)*100/105</f>
        <v>9.523809523809524</v>
      </c>
      <c r="N7" s="36">
        <f>M7-L7</f>
        <v>9.523809523809524</v>
      </c>
    </row>
    <row r="8" spans="1:14" ht="16.5" customHeight="1">
      <c r="A8" s="31">
        <v>3</v>
      </c>
      <c r="B8" s="31" t="s">
        <v>57</v>
      </c>
      <c r="C8" s="36">
        <v>26</v>
      </c>
      <c r="D8" s="36">
        <v>33</v>
      </c>
      <c r="E8" s="36">
        <f t="shared" si="0"/>
        <v>126.92307692307692</v>
      </c>
      <c r="F8" s="36">
        <v>26</v>
      </c>
      <c r="G8" s="36">
        <v>32</v>
      </c>
      <c r="H8" s="36">
        <f t="shared" si="1"/>
        <v>6</v>
      </c>
      <c r="I8" s="36">
        <f>F8*100/60</f>
        <v>43.333333333333336</v>
      </c>
      <c r="J8" s="36">
        <f>G8*100/60</f>
        <v>53.333333333333336</v>
      </c>
      <c r="K8" s="36">
        <f>J8-I8</f>
        <v>10</v>
      </c>
      <c r="L8" s="36">
        <f>(C8-F8)*100/60</f>
        <v>0</v>
      </c>
      <c r="M8" s="36">
        <f>(D8-G8)*100/60</f>
        <v>1.6666666666666667</v>
      </c>
      <c r="N8" s="36">
        <f>M8-L8</f>
        <v>1.6666666666666667</v>
      </c>
    </row>
    <row r="9" spans="1:14" ht="16.5" customHeight="1">
      <c r="A9" s="31">
        <v>4</v>
      </c>
      <c r="B9" s="22" t="s">
        <v>58</v>
      </c>
      <c r="C9" s="36">
        <v>85</v>
      </c>
      <c r="D9" s="36">
        <v>115</v>
      </c>
      <c r="E9" s="36">
        <f t="shared" si="0"/>
        <v>135.2941176470588</v>
      </c>
      <c r="F9" s="36">
        <v>65</v>
      </c>
      <c r="G9" s="36">
        <v>95</v>
      </c>
      <c r="H9" s="36">
        <f t="shared" si="1"/>
        <v>30</v>
      </c>
      <c r="I9" s="36">
        <f>F9*100/308</f>
        <v>21.103896103896105</v>
      </c>
      <c r="J9" s="36">
        <f>G9*100/308</f>
        <v>30.844155844155843</v>
      </c>
      <c r="K9" s="36">
        <f t="shared" si="2"/>
        <v>9.740259740259738</v>
      </c>
      <c r="L9" s="36">
        <f>(C9-F9)*100/308</f>
        <v>6.4935064935064934</v>
      </c>
      <c r="M9" s="36">
        <f>(D9-G9)*100/308</f>
        <v>6.4935064935064934</v>
      </c>
      <c r="N9" s="36">
        <f aca="true" t="shared" si="3" ref="N9:N16">M9-L9</f>
        <v>0</v>
      </c>
    </row>
    <row r="10" spans="1:14" ht="16.5" customHeight="1">
      <c r="A10" s="31">
        <v>5</v>
      </c>
      <c r="B10" s="31" t="s">
        <v>59</v>
      </c>
      <c r="C10" s="36">
        <v>81</v>
      </c>
      <c r="D10" s="36">
        <v>45</v>
      </c>
      <c r="E10" s="36">
        <f t="shared" si="0"/>
        <v>55.55555555555556</v>
      </c>
      <c r="F10" s="36">
        <v>67</v>
      </c>
      <c r="G10" s="36">
        <v>45</v>
      </c>
      <c r="H10" s="36">
        <f t="shared" si="1"/>
        <v>-22</v>
      </c>
      <c r="I10" s="36">
        <f>F10*100/280</f>
        <v>23.928571428571427</v>
      </c>
      <c r="J10" s="36">
        <f>G10*100/200</f>
        <v>22.5</v>
      </c>
      <c r="K10" s="36">
        <f t="shared" si="2"/>
        <v>-1.428571428571427</v>
      </c>
      <c r="L10" s="36">
        <f>(C10-F10)*100/280</f>
        <v>5</v>
      </c>
      <c r="M10" s="36">
        <f>(D10-G10)*100/280</f>
        <v>0</v>
      </c>
      <c r="N10" s="36">
        <f t="shared" si="3"/>
        <v>-5</v>
      </c>
    </row>
    <row r="11" spans="1:14" ht="16.5" customHeight="1">
      <c r="A11" s="31">
        <v>6</v>
      </c>
      <c r="B11" s="32" t="s">
        <v>72</v>
      </c>
      <c r="C11" s="88">
        <v>48</v>
      </c>
      <c r="D11" s="88">
        <v>48</v>
      </c>
      <c r="E11" s="36">
        <f t="shared" si="0"/>
        <v>100</v>
      </c>
      <c r="F11" s="88">
        <v>38</v>
      </c>
      <c r="G11" s="88">
        <v>44</v>
      </c>
      <c r="H11" s="36">
        <f t="shared" si="1"/>
        <v>6</v>
      </c>
      <c r="I11" s="88">
        <f>F11*100/85</f>
        <v>44.705882352941174</v>
      </c>
      <c r="J11" s="88">
        <f>G11*100/85</f>
        <v>51.76470588235294</v>
      </c>
      <c r="K11" s="36">
        <f t="shared" si="2"/>
        <v>7.058823529411768</v>
      </c>
      <c r="L11" s="36">
        <f>(C11-F11)*100/85</f>
        <v>11.764705882352942</v>
      </c>
      <c r="M11" s="36">
        <f>(D11-G11)*100/85</f>
        <v>4.705882352941177</v>
      </c>
      <c r="N11" s="88">
        <f t="shared" si="3"/>
        <v>-7.058823529411765</v>
      </c>
    </row>
    <row r="12" spans="1:14" ht="16.5" customHeight="1">
      <c r="A12" s="31">
        <v>8</v>
      </c>
      <c r="B12" s="32" t="s">
        <v>85</v>
      </c>
      <c r="C12" s="88">
        <v>72</v>
      </c>
      <c r="D12" s="88">
        <v>60</v>
      </c>
      <c r="E12" s="36">
        <f>D12*100/C13</f>
        <v>146.34146341463415</v>
      </c>
      <c r="F12" s="88">
        <v>63</v>
      </c>
      <c r="G12" s="88">
        <v>55</v>
      </c>
      <c r="H12" s="36">
        <f t="shared" si="1"/>
        <v>-8</v>
      </c>
      <c r="I12" s="88"/>
      <c r="J12" s="88">
        <f>G12*100/65</f>
        <v>84.61538461538461</v>
      </c>
      <c r="K12" s="36"/>
      <c r="L12" s="36"/>
      <c r="M12" s="36">
        <f>(D12-G12)*100/65</f>
        <v>7.6923076923076925</v>
      </c>
      <c r="N12" s="88"/>
    </row>
    <row r="13" spans="1:14" ht="16.5" customHeight="1">
      <c r="A13" s="31">
        <v>9</v>
      </c>
      <c r="B13" s="32" t="s">
        <v>71</v>
      </c>
      <c r="C13" s="88">
        <v>41</v>
      </c>
      <c r="D13" s="88">
        <v>14</v>
      </c>
      <c r="E13" s="36">
        <f>D13*100/C14</f>
        <v>23.333333333333332</v>
      </c>
      <c r="F13" s="88">
        <v>38</v>
      </c>
      <c r="G13" s="88">
        <v>10</v>
      </c>
      <c r="H13" s="36">
        <f t="shared" si="1"/>
        <v>-28</v>
      </c>
      <c r="I13" s="88">
        <f>F13*100/78</f>
        <v>48.717948717948715</v>
      </c>
      <c r="J13" s="88">
        <f>G13*100/78</f>
        <v>12.820512820512821</v>
      </c>
      <c r="K13" s="36">
        <f t="shared" si="2"/>
        <v>-35.8974358974359</v>
      </c>
      <c r="L13" s="36">
        <f>(C13-F13)*100/78</f>
        <v>3.8461538461538463</v>
      </c>
      <c r="M13" s="36">
        <f>(D13-G13)*100/78</f>
        <v>5.128205128205129</v>
      </c>
      <c r="N13" s="88">
        <f t="shared" si="3"/>
        <v>1.2820512820512824</v>
      </c>
    </row>
    <row r="14" spans="1:14" ht="16.5" customHeight="1">
      <c r="A14" s="31">
        <v>10</v>
      </c>
      <c r="B14" s="32" t="s">
        <v>60</v>
      </c>
      <c r="C14" s="88">
        <v>60</v>
      </c>
      <c r="D14" s="88">
        <v>60</v>
      </c>
      <c r="E14" s="36">
        <f>D14*100/C15</f>
        <v>222.22222222222223</v>
      </c>
      <c r="F14" s="88">
        <v>54</v>
      </c>
      <c r="G14" s="88">
        <v>54</v>
      </c>
      <c r="H14" s="36">
        <f t="shared" si="1"/>
        <v>0</v>
      </c>
      <c r="I14" s="88">
        <f>F14*100/100</f>
        <v>54</v>
      </c>
      <c r="J14" s="88">
        <f>G14*100/100</f>
        <v>54</v>
      </c>
      <c r="K14" s="36">
        <f t="shared" si="2"/>
        <v>0</v>
      </c>
      <c r="L14" s="36">
        <f>(C14-F14)*100/100</f>
        <v>6</v>
      </c>
      <c r="M14" s="36">
        <f>(D14-G14)*100/100</f>
        <v>6</v>
      </c>
      <c r="N14" s="88">
        <f t="shared" si="3"/>
        <v>0</v>
      </c>
    </row>
    <row r="15" spans="1:14" ht="16.5" customHeight="1">
      <c r="A15" s="31">
        <v>11</v>
      </c>
      <c r="B15" s="32" t="s">
        <v>61</v>
      </c>
      <c r="C15" s="119">
        <v>27</v>
      </c>
      <c r="D15" s="88">
        <v>29</v>
      </c>
      <c r="E15" s="36">
        <f>D15*100/C16</f>
        <v>5.2823315118397085</v>
      </c>
      <c r="F15" s="119">
        <v>27</v>
      </c>
      <c r="G15" s="88">
        <v>29</v>
      </c>
      <c r="H15" s="36">
        <f t="shared" si="1"/>
        <v>2</v>
      </c>
      <c r="I15" s="88">
        <f>F15*100/42</f>
        <v>64.28571428571429</v>
      </c>
      <c r="J15" s="88">
        <f>G15*100/42</f>
        <v>69.04761904761905</v>
      </c>
      <c r="K15" s="36">
        <f t="shared" si="2"/>
        <v>4.761904761904759</v>
      </c>
      <c r="L15" s="36">
        <f>(C15-F15)*100/42</f>
        <v>0</v>
      </c>
      <c r="M15" s="36">
        <f>(D15-G15)*100/42</f>
        <v>0</v>
      </c>
      <c r="N15" s="88">
        <f t="shared" si="3"/>
        <v>0</v>
      </c>
    </row>
    <row r="16" spans="1:14" ht="61.5" customHeight="1">
      <c r="A16" s="197" t="s">
        <v>94</v>
      </c>
      <c r="B16" s="198"/>
      <c r="C16" s="36">
        <f>SUM(C6:C15)</f>
        <v>549</v>
      </c>
      <c r="D16" s="3">
        <f>SUM(D6:D15)</f>
        <v>546</v>
      </c>
      <c r="E16" s="36">
        <f t="shared" si="0"/>
        <v>99.4535519125683</v>
      </c>
      <c r="F16" s="3">
        <f>SUM(F6:F15)</f>
        <v>484</v>
      </c>
      <c r="G16" s="3">
        <f>SUM(G6:G15)</f>
        <v>496</v>
      </c>
      <c r="H16" s="36">
        <f t="shared" si="1"/>
        <v>12</v>
      </c>
      <c r="I16" s="36">
        <f>F16*100/1303</f>
        <v>37.14504988488105</v>
      </c>
      <c r="J16" s="36">
        <f>G16*100/1223</f>
        <v>40.556009811937855</v>
      </c>
      <c r="K16" s="36">
        <f t="shared" si="2"/>
        <v>3.4109599270568083</v>
      </c>
      <c r="L16" s="36">
        <f>(C16-F16)*100/1303</f>
        <v>4.98848810437452</v>
      </c>
      <c r="M16" s="36">
        <f>(D16-G16)*100/1223</f>
        <v>4.088307440719542</v>
      </c>
      <c r="N16" s="36">
        <f t="shared" si="3"/>
        <v>-0.9001806636549778</v>
      </c>
    </row>
  </sheetData>
  <sheetProtection/>
  <mergeCells count="4">
    <mergeCell ref="A1:N1"/>
    <mergeCell ref="A16:B16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zoomScalePageLayoutView="0" workbookViewId="0" topLeftCell="A1">
      <selection activeCell="L25" sqref="L25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200" t="s">
        <v>98</v>
      </c>
      <c r="B1" s="200"/>
      <c r="C1" s="200"/>
      <c r="D1" s="200"/>
      <c r="E1" s="200"/>
      <c r="F1" s="200"/>
      <c r="G1" s="75"/>
      <c r="H1" s="75"/>
      <c r="I1" s="75"/>
    </row>
    <row r="2" spans="1:9" ht="15.75">
      <c r="A2" s="201" t="s">
        <v>116</v>
      </c>
      <c r="B2" s="201"/>
      <c r="C2" s="201"/>
      <c r="D2" s="201"/>
      <c r="E2" s="201"/>
      <c r="F2" s="201"/>
      <c r="G2" s="75"/>
      <c r="H2" s="75"/>
      <c r="I2" s="75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5"/>
      <c r="H3" s="75"/>
      <c r="I3" s="75"/>
    </row>
    <row r="4" spans="1:9" ht="15">
      <c r="A4" s="8"/>
      <c r="B4" s="8"/>
      <c r="C4" s="18">
        <v>2012</v>
      </c>
      <c r="D4" s="19">
        <v>2013</v>
      </c>
      <c r="E4" s="18">
        <v>2012</v>
      </c>
      <c r="F4" s="19">
        <v>2013</v>
      </c>
      <c r="G4" s="75"/>
      <c r="H4" s="75"/>
      <c r="I4" s="75"/>
    </row>
    <row r="5" spans="1:9" ht="15">
      <c r="A5" s="3">
        <v>1</v>
      </c>
      <c r="B5" s="22" t="s">
        <v>55</v>
      </c>
      <c r="C5" s="36">
        <f>(молоко!C7*1000)/1875</f>
        <v>58.026666666666664</v>
      </c>
      <c r="D5" s="36">
        <f>(молоко!D7*1000)/1875</f>
        <v>51.46666666666667</v>
      </c>
      <c r="E5" s="36">
        <f>(мясо!C6*1000)/1875</f>
        <v>6.666666666666667</v>
      </c>
      <c r="F5" s="36">
        <f>(мясо!D6*1000)/1875</f>
        <v>1.3333333333333333</v>
      </c>
      <c r="H5" s="75"/>
      <c r="I5" s="75"/>
    </row>
    <row r="6" spans="1:9" ht="15">
      <c r="A6" s="3">
        <v>2</v>
      </c>
      <c r="B6" s="22" t="s">
        <v>56</v>
      </c>
      <c r="C6" s="36">
        <f>(молоко!C8*1000)/799</f>
        <v>83.86608260325407</v>
      </c>
      <c r="D6" s="36">
        <f>(молоко!D8*1000)/799</f>
        <v>103.62578222778473</v>
      </c>
      <c r="E6" s="36">
        <f>(мясо!C7*1000)/799</f>
        <v>3.254067584480601</v>
      </c>
      <c r="F6" s="36">
        <f>(мясо!D7*1000)/799</f>
        <v>2.6145181476846058</v>
      </c>
      <c r="H6" s="75"/>
      <c r="I6" s="75"/>
    </row>
    <row r="7" spans="1:9" ht="15">
      <c r="A7" s="3">
        <v>3</v>
      </c>
      <c r="B7" s="22" t="s">
        <v>57</v>
      </c>
      <c r="C7" s="36">
        <f>(молоко!C9*1000)/2025</f>
        <v>30.617283950617285</v>
      </c>
      <c r="D7" s="36">
        <f>(молоко!D9*1000)/2025</f>
        <v>30.617283950617285</v>
      </c>
      <c r="E7" s="36">
        <f>(мясо!C8*1000)/2025</f>
        <v>1.4814814814814814</v>
      </c>
      <c r="F7" s="36">
        <f>(мясо!D8*1000)/2025</f>
        <v>2.0246913580246915</v>
      </c>
      <c r="H7" s="75"/>
      <c r="I7" s="75"/>
    </row>
    <row r="8" spans="1:9" ht="15">
      <c r="A8" s="3">
        <v>4</v>
      </c>
      <c r="B8" s="38" t="s">
        <v>58</v>
      </c>
      <c r="C8" s="36">
        <f>(молоко!C10*1000)/2478</f>
        <v>122.96206618240517</v>
      </c>
      <c r="D8" s="36">
        <f>(молоко!D10*1000)/2478</f>
        <v>118.96690879741728</v>
      </c>
      <c r="E8" s="36">
        <f>(мясо!C9*1000)/2478</f>
        <v>8.071025020177563</v>
      </c>
      <c r="F8" s="36">
        <f>(мясо!D9*1000)/2478</f>
        <v>13.27683615819209</v>
      </c>
      <c r="H8" s="75"/>
      <c r="I8" s="75"/>
    </row>
    <row r="9" spans="1:9" ht="15">
      <c r="A9" s="3">
        <v>5</v>
      </c>
      <c r="B9" s="22" t="s">
        <v>59</v>
      </c>
      <c r="C9" s="36">
        <f>(молоко!C11*1000)/2157</f>
        <v>40.24107556791841</v>
      </c>
      <c r="D9" s="36">
        <f>(молоко!D11*1000)/2157</f>
        <v>27.677329624478443</v>
      </c>
      <c r="E9" s="36">
        <f>(мясо!C10*1000)/2157</f>
        <v>14.079740380157626</v>
      </c>
      <c r="F9" s="36">
        <f>(мясо!D10*1000)/2157</f>
        <v>3.703291608715809</v>
      </c>
      <c r="H9" s="75"/>
      <c r="I9" s="75"/>
    </row>
    <row r="10" spans="1:9" ht="15">
      <c r="A10" s="3">
        <v>6</v>
      </c>
      <c r="B10" s="38" t="s">
        <v>72</v>
      </c>
      <c r="C10" s="36">
        <f>(молоко!C12*1000)/859</f>
        <v>140.046565774156</v>
      </c>
      <c r="D10" s="36">
        <f>(молоко!D12*1000)/859</f>
        <v>79.51105937136205</v>
      </c>
      <c r="E10" s="36">
        <f>(мясо!C11*1000)/859</f>
        <v>5.529685681024447</v>
      </c>
      <c r="F10" s="36">
        <f>(мясо!D11*1000)/859</f>
        <v>5.564610011641443</v>
      </c>
      <c r="H10" s="75"/>
      <c r="I10" s="75"/>
    </row>
    <row r="11" spans="1:9" ht="15">
      <c r="A11" s="3">
        <v>8</v>
      </c>
      <c r="B11" s="32" t="s">
        <v>85</v>
      </c>
      <c r="C11" s="36"/>
      <c r="D11" s="36">
        <f>(молоко!D13*1000)/1482</f>
        <v>63.57017543859649</v>
      </c>
      <c r="E11" s="36"/>
      <c r="F11" s="36">
        <f>(мясо!D12*1000)/1482</f>
        <v>5.294197031039136</v>
      </c>
      <c r="H11" s="75"/>
      <c r="I11" s="75"/>
    </row>
    <row r="12" spans="1:9" ht="15.75" customHeight="1">
      <c r="A12" s="3">
        <v>9</v>
      </c>
      <c r="B12" s="32" t="s">
        <v>71</v>
      </c>
      <c r="C12" s="36">
        <f>(молоко!C14*1000)/1077</f>
        <v>125.03249767873723</v>
      </c>
      <c r="D12" s="36">
        <f>(молоко!D14*1000)/1077</f>
        <v>141.69173630454966</v>
      </c>
      <c r="E12" s="36">
        <f>(мясо!C13*1000)/1077</f>
        <v>4.633240482822655</v>
      </c>
      <c r="F12" s="36">
        <f>(мясо!D13*1000)/1077</f>
        <v>14.252553389043639</v>
      </c>
      <c r="H12" s="75"/>
      <c r="I12" s="75"/>
    </row>
    <row r="13" spans="1:9" ht="15">
      <c r="A13" s="3">
        <v>10</v>
      </c>
      <c r="B13" s="38" t="s">
        <v>60</v>
      </c>
      <c r="C13" s="36">
        <f>(молоко!C15*1000)/1084</f>
        <v>74.35424354243543</v>
      </c>
      <c r="D13" s="36">
        <f>(молоко!D15*1000)/1084</f>
        <v>86.71586715867159</v>
      </c>
      <c r="E13" s="36">
        <f>(мясо!C14*1000)/1084</f>
        <v>10.51660516605166</v>
      </c>
      <c r="F13" s="36">
        <f>(мясо!D14*1000)/1084</f>
        <v>6.918819188191882</v>
      </c>
      <c r="H13" s="75"/>
      <c r="I13" s="75"/>
    </row>
    <row r="14" spans="1:9" ht="15">
      <c r="A14" s="3">
        <v>11</v>
      </c>
      <c r="B14" s="38" t="s">
        <v>61</v>
      </c>
      <c r="C14" s="36">
        <f>(молоко!C16*1000)/674</f>
        <v>61.21661721068249</v>
      </c>
      <c r="D14" s="36">
        <f>(молоко!D16*1000)/674</f>
        <v>58.30860534124629</v>
      </c>
      <c r="E14" s="36">
        <f>(мясо!C15*1000)/674</f>
        <v>4.599406528189911</v>
      </c>
      <c r="F14" s="36">
        <f>(мясо!D15*1000)/674</f>
        <v>1.7804154302670623</v>
      </c>
      <c r="H14" s="75"/>
      <c r="I14" s="75"/>
    </row>
    <row r="15" spans="1:9" ht="15">
      <c r="A15" s="3">
        <v>12</v>
      </c>
      <c r="B15" s="38" t="s">
        <v>62</v>
      </c>
      <c r="C15" s="36"/>
      <c r="D15" s="36"/>
      <c r="E15" s="36">
        <f>(мясо!C16*1000)/983</f>
        <v>336.7243133265514</v>
      </c>
      <c r="F15" s="36">
        <f>(мясо!D16*1000)/983</f>
        <v>420.1424211597152</v>
      </c>
      <c r="H15" s="75"/>
      <c r="I15" s="75"/>
    </row>
    <row r="16" spans="1:6" ht="63.75" customHeight="1">
      <c r="A16" s="197" t="s">
        <v>94</v>
      </c>
      <c r="B16" s="198"/>
      <c r="C16" s="36">
        <f>(молоко!C17*1000)/22877</f>
        <v>48.56156838746338</v>
      </c>
      <c r="D16" s="36">
        <f>(молоко!D17*1000)/22877</f>
        <v>45.64453381125148</v>
      </c>
      <c r="E16" s="36">
        <f>(мясо!C25*1000)/22877</f>
        <v>19.164575774795647</v>
      </c>
      <c r="F16" s="36">
        <f>(мясо!D25*1000)/22877</f>
        <v>22.03969051886174</v>
      </c>
    </row>
  </sheetData>
  <sheetProtection/>
  <mergeCells count="3">
    <mergeCell ref="A1:F1"/>
    <mergeCell ref="A2:F2"/>
    <mergeCell ref="A16:B16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70" zoomScaleNormal="75" zoomScaleSheetLayoutView="70" zoomScalePageLayoutView="0" workbookViewId="0" topLeftCell="A1">
      <selection activeCell="K45" sqref="K45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115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8" t="s">
        <v>2</v>
      </c>
      <c r="B3" s="204" t="s">
        <v>3</v>
      </c>
      <c r="C3" s="205" t="s">
        <v>90</v>
      </c>
      <c r="D3" s="206"/>
      <c r="E3" s="207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74"/>
      <c r="B4" s="174"/>
      <c r="C4" s="58">
        <v>2012</v>
      </c>
      <c r="D4" s="54">
        <v>2013</v>
      </c>
      <c r="E4" s="54" t="s">
        <v>105</v>
      </c>
      <c r="F4" s="59" t="s">
        <v>12</v>
      </c>
      <c r="G4" s="60" t="s">
        <v>15</v>
      </c>
      <c r="H4" s="58">
        <v>2012</v>
      </c>
      <c r="I4" s="54">
        <v>2013</v>
      </c>
      <c r="J4" s="54" t="s">
        <v>105</v>
      </c>
      <c r="K4" s="61" t="s">
        <v>18</v>
      </c>
    </row>
    <row r="5" spans="1:11" ht="18">
      <c r="A5" s="149"/>
      <c r="B5" s="149"/>
      <c r="C5" s="62"/>
      <c r="D5" s="63"/>
      <c r="E5" s="63" t="s">
        <v>107</v>
      </c>
      <c r="F5" s="63" t="s">
        <v>13</v>
      </c>
      <c r="G5" s="64"/>
      <c r="H5" s="62"/>
      <c r="I5" s="63"/>
      <c r="J5" s="63" t="s">
        <v>107</v>
      </c>
      <c r="K5" s="65" t="s">
        <v>0</v>
      </c>
    </row>
    <row r="6" spans="1:11" ht="18" customHeight="1">
      <c r="A6" s="208" t="s">
        <v>91</v>
      </c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6.5" customHeight="1">
      <c r="A7" s="31">
        <v>1</v>
      </c>
      <c r="B7" s="66" t="s">
        <v>55</v>
      </c>
      <c r="C7" s="12">
        <v>108.8</v>
      </c>
      <c r="D7" s="12">
        <v>96.5</v>
      </c>
      <c r="E7" s="13">
        <f aca="true" t="shared" si="0" ref="E7:E16">D7/C7*100</f>
        <v>88.69485294117648</v>
      </c>
      <c r="F7" s="12">
        <v>75.4</v>
      </c>
      <c r="G7" s="13">
        <f aca="true" t="shared" si="1" ref="G7:G16">F7/D7*100</f>
        <v>78.13471502590674</v>
      </c>
      <c r="H7" s="17">
        <f>C7/'численность 1'!J6*1000</f>
        <v>604.4444444444445</v>
      </c>
      <c r="I7" s="17">
        <f>D7/'численность 1'!K6*1000</f>
        <v>536.1111111111111</v>
      </c>
      <c r="J7" s="13">
        <f aca="true" t="shared" si="2" ref="J7:J21">I7/H7*100</f>
        <v>88.69485294117646</v>
      </c>
      <c r="K7" s="12"/>
    </row>
    <row r="8" spans="1:11" ht="16.5" customHeight="1">
      <c r="A8" s="31">
        <v>2</v>
      </c>
      <c r="B8" s="66" t="s">
        <v>56</v>
      </c>
      <c r="C8" s="12">
        <v>67.009</v>
      </c>
      <c r="D8" s="12">
        <v>82.797</v>
      </c>
      <c r="E8" s="13">
        <f t="shared" si="0"/>
        <v>123.56101419212344</v>
      </c>
      <c r="F8" s="12">
        <v>63.817</v>
      </c>
      <c r="G8" s="13">
        <f t="shared" si="1"/>
        <v>77.07646412309626</v>
      </c>
      <c r="H8" s="17">
        <f>C8/'численность 1'!J7*1000</f>
        <v>638.1809523809524</v>
      </c>
      <c r="I8" s="13">
        <f>D8/'численность 1'!K7*1000</f>
        <v>788.5428571428571</v>
      </c>
      <c r="J8" s="13">
        <f t="shared" si="2"/>
        <v>123.56101419212344</v>
      </c>
      <c r="K8" s="12"/>
    </row>
    <row r="9" spans="1:11" ht="16.5" customHeight="1">
      <c r="A9" s="31">
        <v>3</v>
      </c>
      <c r="B9" s="66" t="s">
        <v>57</v>
      </c>
      <c r="C9" s="12">
        <v>62</v>
      </c>
      <c r="D9" s="12">
        <v>62</v>
      </c>
      <c r="E9" s="13">
        <f t="shared" si="0"/>
        <v>100</v>
      </c>
      <c r="F9" s="12">
        <v>43</v>
      </c>
      <c r="G9" s="13">
        <f t="shared" si="1"/>
        <v>69.35483870967742</v>
      </c>
      <c r="H9" s="17">
        <f>C9/'численность 1'!J8*1000</f>
        <v>1033.3333333333335</v>
      </c>
      <c r="I9" s="13">
        <f>D9/'численность 1'!K8*1000</f>
        <v>1033.3333333333335</v>
      </c>
      <c r="J9" s="13">
        <f t="shared" si="2"/>
        <v>100</v>
      </c>
      <c r="K9" s="12"/>
    </row>
    <row r="10" spans="1:11" ht="16.5" customHeight="1">
      <c r="A10" s="31">
        <v>4</v>
      </c>
      <c r="B10" s="66" t="s">
        <v>58</v>
      </c>
      <c r="C10" s="12">
        <v>304.7</v>
      </c>
      <c r="D10" s="12">
        <v>294.8</v>
      </c>
      <c r="E10" s="13">
        <f t="shared" si="0"/>
        <v>96.75090252707582</v>
      </c>
      <c r="F10" s="12">
        <v>268.7</v>
      </c>
      <c r="G10" s="13">
        <f t="shared" si="1"/>
        <v>91.14654002713704</v>
      </c>
      <c r="H10" s="17">
        <f>C10/'численность 1'!J9*1000</f>
        <v>989.2857142857142</v>
      </c>
      <c r="I10" s="13">
        <f>D10/'численность 1'!K9*1000</f>
        <v>957.1428571428572</v>
      </c>
      <c r="J10" s="13">
        <f t="shared" si="2"/>
        <v>96.75090252707582</v>
      </c>
      <c r="K10" s="12"/>
    </row>
    <row r="11" spans="1:11" ht="16.5" customHeight="1">
      <c r="A11" s="31">
        <v>5</v>
      </c>
      <c r="B11" s="67" t="s">
        <v>59</v>
      </c>
      <c r="C11" s="12">
        <v>86.8</v>
      </c>
      <c r="D11" s="12">
        <v>59.7</v>
      </c>
      <c r="E11" s="13">
        <f t="shared" si="0"/>
        <v>68.77880184331798</v>
      </c>
      <c r="F11" s="12">
        <v>42</v>
      </c>
      <c r="G11" s="13">
        <f t="shared" si="1"/>
        <v>70.35175879396985</v>
      </c>
      <c r="H11" s="17">
        <f>C11/'численность 1'!J10*1000</f>
        <v>347.2</v>
      </c>
      <c r="I11" s="124">
        <f>D11/'численность 1'!K10*1000</f>
        <v>298.5</v>
      </c>
      <c r="J11" s="13">
        <f t="shared" si="2"/>
        <v>85.97350230414746</v>
      </c>
      <c r="K11" s="12"/>
    </row>
    <row r="12" spans="1:11" ht="16.5" customHeight="1">
      <c r="A12" s="31">
        <v>6</v>
      </c>
      <c r="B12" s="67" t="s">
        <v>72</v>
      </c>
      <c r="C12" s="16">
        <v>120.3</v>
      </c>
      <c r="D12" s="16">
        <v>68.3</v>
      </c>
      <c r="E12" s="13">
        <f t="shared" si="0"/>
        <v>56.77472984206151</v>
      </c>
      <c r="F12" s="16">
        <v>45</v>
      </c>
      <c r="G12" s="17">
        <f t="shared" si="1"/>
        <v>65.88579795021963</v>
      </c>
      <c r="H12" s="17">
        <f>C12/'численность 1'!J11*1000</f>
        <v>1415.2941176470588</v>
      </c>
      <c r="I12" s="13">
        <f>D12/'численность 1'!K11*1000</f>
        <v>803.5294117647059</v>
      </c>
      <c r="J12" s="13">
        <f t="shared" si="2"/>
        <v>56.77472984206151</v>
      </c>
      <c r="K12" s="125">
        <v>132.28</v>
      </c>
    </row>
    <row r="13" spans="1:11" ht="16.5" customHeight="1">
      <c r="A13" s="31">
        <v>8</v>
      </c>
      <c r="B13" s="67" t="s">
        <v>85</v>
      </c>
      <c r="C13" s="16">
        <v>104.814</v>
      </c>
      <c r="D13" s="16">
        <v>94.211</v>
      </c>
      <c r="E13" s="13">
        <f t="shared" si="0"/>
        <v>89.88398496384072</v>
      </c>
      <c r="F13" s="16">
        <v>76.595</v>
      </c>
      <c r="G13" s="17">
        <f t="shared" si="1"/>
        <v>81.301546528537</v>
      </c>
      <c r="H13" s="17">
        <f>C13/'численность 1'!J12*1000</f>
        <v>1612.5230769230768</v>
      </c>
      <c r="I13" s="17">
        <f>D13/'численность 1'!K12*1000</f>
        <v>1449.4</v>
      </c>
      <c r="J13" s="13">
        <f t="shared" si="2"/>
        <v>89.88398496384072</v>
      </c>
      <c r="K13" s="16">
        <v>2.479</v>
      </c>
    </row>
    <row r="14" spans="1:11" ht="16.5" customHeight="1">
      <c r="A14" s="31">
        <v>9</v>
      </c>
      <c r="B14" s="67" t="s">
        <v>71</v>
      </c>
      <c r="C14" s="16">
        <v>134.66</v>
      </c>
      <c r="D14" s="16">
        <v>152.602</v>
      </c>
      <c r="E14" s="17">
        <f t="shared" si="0"/>
        <v>113.3239269270756</v>
      </c>
      <c r="F14" s="16">
        <v>124.353</v>
      </c>
      <c r="G14" s="17">
        <f t="shared" si="1"/>
        <v>81.48844707146695</v>
      </c>
      <c r="H14" s="17">
        <f>C14/'численность 1'!J13*1000</f>
        <v>1726.4102564102564</v>
      </c>
      <c r="I14" s="17">
        <f>D14/'численность 1'!K13*1000</f>
        <v>1956.4358974358975</v>
      </c>
      <c r="J14" s="13">
        <f t="shared" si="2"/>
        <v>113.3239269270756</v>
      </c>
      <c r="K14" s="16"/>
    </row>
    <row r="15" spans="1:11" ht="16.5" customHeight="1">
      <c r="A15" s="31">
        <v>10</v>
      </c>
      <c r="B15" s="67" t="s">
        <v>60</v>
      </c>
      <c r="C15" s="16">
        <v>80.6</v>
      </c>
      <c r="D15" s="16">
        <v>94</v>
      </c>
      <c r="E15" s="13">
        <f t="shared" si="0"/>
        <v>116.62531017369729</v>
      </c>
      <c r="F15" s="16">
        <v>70</v>
      </c>
      <c r="G15" s="17">
        <f t="shared" si="1"/>
        <v>74.46808510638297</v>
      </c>
      <c r="H15" s="17">
        <f>C15/'численность 1'!J14*1000</f>
        <v>805.9999999999999</v>
      </c>
      <c r="I15" s="13">
        <f>D15/'численность 1'!K14*1000</f>
        <v>940</v>
      </c>
      <c r="J15" s="13">
        <f t="shared" si="2"/>
        <v>116.62531017369729</v>
      </c>
      <c r="K15" s="16"/>
    </row>
    <row r="16" spans="1:11" ht="16.5" customHeight="1">
      <c r="A16" s="31">
        <v>11</v>
      </c>
      <c r="B16" s="67" t="s">
        <v>61</v>
      </c>
      <c r="C16" s="16">
        <v>41.26</v>
      </c>
      <c r="D16" s="16">
        <v>39.3</v>
      </c>
      <c r="E16" s="13">
        <f t="shared" si="0"/>
        <v>95.24963645176928</v>
      </c>
      <c r="F16" s="16">
        <v>32.06</v>
      </c>
      <c r="G16" s="17">
        <f t="shared" si="1"/>
        <v>81.57760814249365</v>
      </c>
      <c r="H16" s="17">
        <f>C16/'численность 1'!J15*1000</f>
        <v>982.3809523809524</v>
      </c>
      <c r="I16" s="13">
        <f>D16/'численность 1'!K15*1000</f>
        <v>958.5365853658536</v>
      </c>
      <c r="J16" s="13">
        <f t="shared" si="2"/>
        <v>97.57279831644657</v>
      </c>
      <c r="K16" s="16"/>
    </row>
    <row r="17" spans="1:11" ht="57" customHeight="1">
      <c r="A17" s="156" t="s">
        <v>96</v>
      </c>
      <c r="B17" s="157"/>
      <c r="C17" s="16">
        <f>SUM(C7:C16)</f>
        <v>1110.9429999999998</v>
      </c>
      <c r="D17" s="68">
        <f>SUM(D7:D16)</f>
        <v>1044.21</v>
      </c>
      <c r="E17" s="13">
        <f>D17/C17*100</f>
        <v>93.99312115923142</v>
      </c>
      <c r="F17" s="68">
        <f>SUM(F7:F16)</f>
        <v>840.925</v>
      </c>
      <c r="G17" s="13">
        <f>F17/D17*100</f>
        <v>80.53217264726443</v>
      </c>
      <c r="H17" s="13">
        <f>C17/'численность 1'!J19*1000</f>
        <v>872.6967792615866</v>
      </c>
      <c r="I17" s="13">
        <f>D17/'численность 1'!K19*1000</f>
        <v>854.5090016366612</v>
      </c>
      <c r="J17" s="13">
        <f t="shared" si="2"/>
        <v>97.91591099484582</v>
      </c>
      <c r="K17" s="68">
        <f>SUM(K7:K16)</f>
        <v>134.75900000000001</v>
      </c>
    </row>
    <row r="18" spans="1:11" ht="19.5" customHeight="1">
      <c r="A18" s="128">
        <v>1</v>
      </c>
      <c r="B18" s="126" t="s">
        <v>101</v>
      </c>
      <c r="C18" s="128"/>
      <c r="D18" s="68">
        <v>13.751</v>
      </c>
      <c r="E18" s="13"/>
      <c r="F18" s="68">
        <v>10.353</v>
      </c>
      <c r="G18" s="13">
        <f>F18/D18*100</f>
        <v>75.28906988582649</v>
      </c>
      <c r="H18" s="13"/>
      <c r="I18" s="13">
        <f>D18/'численность 1'!K20*1000</f>
        <v>916.7333333333332</v>
      </c>
      <c r="J18" s="13"/>
      <c r="K18" s="68"/>
    </row>
    <row r="19" spans="1:11" ht="21.75" customHeight="1">
      <c r="A19" s="156" t="s">
        <v>100</v>
      </c>
      <c r="B19" s="211"/>
      <c r="C19" s="16"/>
      <c r="D19" s="68">
        <f>SUM(D18:D18)</f>
        <v>13.751</v>
      </c>
      <c r="E19" s="68"/>
      <c r="F19" s="68">
        <f>SUM(F18:F18)</f>
        <v>10.353</v>
      </c>
      <c r="G19" s="13">
        <f>F19/D19*100</f>
        <v>75.28906988582649</v>
      </c>
      <c r="H19" s="13"/>
      <c r="I19" s="13">
        <f>D19/'численность 1'!K24*1000</f>
        <v>916.7333333333332</v>
      </c>
      <c r="J19" s="13"/>
      <c r="K19" s="68"/>
    </row>
    <row r="20" spans="1:11" ht="18">
      <c r="A20" s="208" t="s">
        <v>92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10"/>
    </row>
    <row r="21" spans="1:11" ht="17.25" customHeight="1">
      <c r="A21" s="117">
        <v>1</v>
      </c>
      <c r="B21" s="67" t="s">
        <v>71</v>
      </c>
      <c r="C21" s="117">
        <v>16.637</v>
      </c>
      <c r="D21" s="117">
        <v>22.04</v>
      </c>
      <c r="E21" s="13">
        <f>D21/C21*100</f>
        <v>132.4758069363467</v>
      </c>
      <c r="F21" s="117">
        <v>11.576</v>
      </c>
      <c r="G21" s="13">
        <f>F21/D21*100</f>
        <v>52.52268602540835</v>
      </c>
      <c r="H21" s="117">
        <f>C21*1000/82</f>
        <v>202.890243902439</v>
      </c>
      <c r="I21" s="122">
        <f>D21*1000/111</f>
        <v>198.55855855855856</v>
      </c>
      <c r="J21" s="13">
        <f t="shared" si="2"/>
        <v>97.86501052955342</v>
      </c>
      <c r="K21" s="117"/>
    </row>
    <row r="22" spans="1:11" ht="37.5" customHeight="1">
      <c r="A22" s="202" t="s">
        <v>89</v>
      </c>
      <c r="B22" s="203"/>
      <c r="C22" s="117">
        <f>C17+C21</f>
        <v>1127.5799999999997</v>
      </c>
      <c r="D22" s="122">
        <f>D17+D21+D19</f>
        <v>1080.001</v>
      </c>
      <c r="E22" s="13">
        <f>D22/C22*100</f>
        <v>95.78043243051494</v>
      </c>
      <c r="F22" s="117">
        <f>F17+F21</f>
        <v>852.501</v>
      </c>
      <c r="G22" s="13">
        <f>F22/D22*100</f>
        <v>78.93520468962528</v>
      </c>
      <c r="H22" s="118" t="s">
        <v>93</v>
      </c>
      <c r="I22" s="118" t="s">
        <v>93</v>
      </c>
      <c r="J22" s="118" t="s">
        <v>93</v>
      </c>
      <c r="K22" s="117">
        <f>K17+K21</f>
        <v>134.75900000000001</v>
      </c>
    </row>
  </sheetData>
  <sheetProtection/>
  <mergeCells count="8">
    <mergeCell ref="A22:B22"/>
    <mergeCell ref="A3:A5"/>
    <mergeCell ref="B3:B5"/>
    <mergeCell ref="A17:B17"/>
    <mergeCell ref="C3:E3"/>
    <mergeCell ref="A6:K6"/>
    <mergeCell ref="A20:K20"/>
    <mergeCell ref="A19:B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2013-01-11T12:24:42Z</cp:lastPrinted>
  <dcterms:created xsi:type="dcterms:W3CDTF">2002-11-05T10:10:22Z</dcterms:created>
  <dcterms:modified xsi:type="dcterms:W3CDTF">2013-10-18T23:36:07Z</dcterms:modified>
  <cp:category/>
  <cp:version/>
  <cp:contentType/>
  <cp:contentStatus/>
</cp:coreProperties>
</file>