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'пало1'!$A$1:$T$23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1'!$A$1:$U$23</definedName>
    <definedName name="_xlnm.Print_Area" localSheetId="2">'численность 2'!$A$1:$M$23</definedName>
  </definedNames>
  <calcPr fullCalcOnLoad="1"/>
</workbook>
</file>

<file path=xl/sharedStrings.xml><?xml version="1.0" encoding="utf-8"?>
<sst xmlns="http://schemas.openxmlformats.org/spreadsheetml/2006/main" count="305" uniqueCount="120">
  <si>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</si>
  <si>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</si>
  <si>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</si>
  <si>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</si>
  <si>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</si>
  <si>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</si>
  <si>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</si>
  <si>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</si>
  <si>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</si>
  <si>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</si>
  <si>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</si>
  <si>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</si>
  <si>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</si>
  <si>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</si>
  <si>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</si>
  <si>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</si>
  <si>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</si>
  <si>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</si>
  <si>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</si>
  <si>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</si>
  <si>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</si>
  <si>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</si>
  <si>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</si>
  <si>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</si>
  <si>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</si>
  <si>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</si>
  <si>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</si>
  <si>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</si>
  <si>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</si>
  <si>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</si>
  <si>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</si>
  <si>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</si>
  <si>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</si>
  <si>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</si>
  <si>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</si>
  <si>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</si>
  <si>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</si>
  <si>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</si>
  <si>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</si>
  <si>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</si>
  <si>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</si>
  <si>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</si>
  <si>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</si>
  <si>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</si>
  <si>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</si>
  <si>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</si>
  <si>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</si>
  <si>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</si>
  <si>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</si>
  <si>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</si>
  <si>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</si>
  <si>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</si>
  <si>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</si>
  <si>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</si>
  <si>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</si>
  <si>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</si>
  <si>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</si>
  <si>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</si>
  <si>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</si>
  <si>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</si>
  <si>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</si>
  <si>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</si>
  <si>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</si>
  <si>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</si>
  <si>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</si>
  <si>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</si>
  <si>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</si>
  <si>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</si>
  <si>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</si>
  <si>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</si>
  <si>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</si>
  <si>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</si>
  <si>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</si>
  <si>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</si>
  <si>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</si>
  <si>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</si>
  <si>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</si>
  <si>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</si>
  <si>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</si>
  <si>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</si>
  <si>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</si>
  <si>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</si>
  <si>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</si>
  <si>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</si>
  <si>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</si>
  <si>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</si>
  <si>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</si>
  <si>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</si>
  <si>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</si>
  <si>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</si>
  <si>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</si>
  <si>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</si>
  <si>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</si>
  <si>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</si>
  <si>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</si>
  <si>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</si>
  <si>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</si>
  <si>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</si>
  <si>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</si>
  <si>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</si>
  <si>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</si>
  <si>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</si>
  <si>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</si>
  <si>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</si>
  <si>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</si>
  <si>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</si>
  <si>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</si>
  <si>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</si>
  <si>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</si>
  <si>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</si>
  <si>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>Поступление приплода (поросят) за январь-апрель 2012 года по Ибресинкому  району</t>
  </si>
  <si>
    <t xml:space="preserve">   Производство мяса за январь-апрель 2012 года по Ибресинскому району </t>
  </si>
  <si>
    <t>Производство молока за  январь-апрель 2012 года по Ибресинскому району</t>
  </si>
  <si>
    <t xml:space="preserve">по Ибресинскому району за январь- апрель 2012 год </t>
  </si>
  <si>
    <t>Поступление приплода (телят) за январь-апрель 2012 года по Ибресинскому  району</t>
  </si>
  <si>
    <t>Случено и осеменено за январь-апрель 2012 года по Ибресинскому району</t>
  </si>
  <si>
    <t xml:space="preserve"> Численность скота по Ибресинскому району на 1.05.2012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</si>
  <si>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1.05.2012 г., (голов)</t>
    </r>
  </si>
  <si>
    <t>Показатели получения привесов за январь-апрель 2012 года по Ибресинскому району</t>
  </si>
  <si>
    <t>Пало, погибло, куплено и продано  сельскохозяйственных животных за январь-апрель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</si>
</sst>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15" sqref="R15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41" t="s">
        <v>119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42" t="s">
        <v>38</v>
      </c>
      <c r="D3" s="143"/>
      <c r="E3" s="144"/>
      <c r="F3" s="142" t="s">
        <v>52</v>
      </c>
      <c r="G3" s="143"/>
      <c r="H3" s="144"/>
      <c r="I3" s="97"/>
      <c r="J3" s="102" t="s">
        <v>40</v>
      </c>
      <c r="K3" s="102"/>
      <c r="L3" s="102"/>
      <c r="M3" s="104"/>
      <c r="N3" s="104"/>
      <c r="O3" s="104"/>
      <c r="P3" s="104"/>
      <c r="Q3" s="97"/>
      <c r="R3" s="102" t="s">
        <v>41</v>
      </c>
      <c r="S3" s="102"/>
      <c r="T3" s="101"/>
    </row>
    <row r="4" spans="1:20" s="20" customFormat="1" ht="18.75" customHeight="1">
      <c r="A4" s="39"/>
      <c r="B4" s="33"/>
      <c r="C4" s="145">
        <v>2011</v>
      </c>
      <c r="D4" s="145">
        <v>2012</v>
      </c>
      <c r="E4" s="106" t="s">
        <v>39</v>
      </c>
      <c r="F4" s="145">
        <v>2011</v>
      </c>
      <c r="G4" s="145">
        <v>2012</v>
      </c>
      <c r="H4" s="106" t="s">
        <v>39</v>
      </c>
      <c r="I4" s="133" t="s">
        <v>86</v>
      </c>
      <c r="J4" s="134"/>
      <c r="K4" s="133" t="s">
        <v>84</v>
      </c>
      <c r="L4" s="134"/>
      <c r="M4" s="133" t="s">
        <v>80</v>
      </c>
      <c r="N4" s="134"/>
      <c r="O4" s="133" t="s">
        <v>81</v>
      </c>
      <c r="P4" s="134"/>
      <c r="Q4" s="133" t="s">
        <v>83</v>
      </c>
      <c r="R4" s="134"/>
      <c r="S4" s="133" t="s">
        <v>84</v>
      </c>
      <c r="T4" s="134"/>
    </row>
    <row r="5" spans="1:20" s="20" customFormat="1" ht="18.75" customHeight="1">
      <c r="A5" s="30"/>
      <c r="B5" s="29"/>
      <c r="C5" s="146"/>
      <c r="D5" s="146"/>
      <c r="E5" s="107" t="s">
        <v>105</v>
      </c>
      <c r="F5" s="146"/>
      <c r="G5" s="146"/>
      <c r="H5" s="107" t="s">
        <v>105</v>
      </c>
      <c r="I5" s="108">
        <v>2011</v>
      </c>
      <c r="J5" s="109">
        <v>2012</v>
      </c>
      <c r="K5" s="108">
        <v>2011</v>
      </c>
      <c r="L5" s="109">
        <v>2012</v>
      </c>
      <c r="M5" s="108">
        <v>2011</v>
      </c>
      <c r="N5" s="109">
        <v>2012</v>
      </c>
      <c r="O5" s="108">
        <v>2011</v>
      </c>
      <c r="P5" s="109">
        <v>2012</v>
      </c>
      <c r="Q5" s="108">
        <v>2011</v>
      </c>
      <c r="R5" s="109">
        <v>2012</v>
      </c>
      <c r="S5" s="108">
        <v>2011</v>
      </c>
      <c r="T5" s="109">
        <v>2012</v>
      </c>
    </row>
    <row r="6" spans="1:20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2</v>
      </c>
      <c r="D7" s="3"/>
      <c r="E7" s="11">
        <f t="shared" si="0"/>
        <v>-2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21</v>
      </c>
      <c r="R7" s="3">
        <v>20</v>
      </c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7</v>
      </c>
      <c r="R8" s="3">
        <v>16</v>
      </c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2</v>
      </c>
      <c r="D9" s="3">
        <v>5</v>
      </c>
      <c r="E9" s="11">
        <f t="shared" si="0"/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125</v>
      </c>
      <c r="T9" s="3">
        <v>277</v>
      </c>
    </row>
    <row r="10" spans="1:20" s="20" customFormat="1" ht="13.5" customHeight="1">
      <c r="A10" s="31">
        <v>5</v>
      </c>
      <c r="B10" s="92" t="s">
        <v>59</v>
      </c>
      <c r="C10" s="3"/>
      <c r="D10" s="3">
        <v>1</v>
      </c>
      <c r="E10" s="11">
        <f t="shared" si="0"/>
        <v>1</v>
      </c>
      <c r="F10" s="3">
        <v>18</v>
      </c>
      <c r="G10" s="3"/>
      <c r="H10" s="3">
        <f>G10-F10</f>
        <v>-18</v>
      </c>
      <c r="I10" s="3"/>
      <c r="J10" s="3"/>
      <c r="K10" s="3">
        <v>2</v>
      </c>
      <c r="L10" s="3"/>
      <c r="M10" s="3"/>
      <c r="N10" s="3"/>
      <c r="O10" s="3"/>
      <c r="P10" s="3"/>
      <c r="Q10" s="3"/>
      <c r="R10" s="3"/>
      <c r="S10" s="3">
        <v>68</v>
      </c>
      <c r="T10" s="3">
        <v>23</v>
      </c>
    </row>
    <row r="11" spans="1:20" s="20" customFormat="1" ht="12.75" customHeight="1">
      <c r="A11" s="31">
        <v>6</v>
      </c>
      <c r="B11" s="32" t="s">
        <v>73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18</v>
      </c>
      <c r="S11" s="88"/>
      <c r="T11" s="88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72</v>
      </c>
      <c r="C14" s="3"/>
      <c r="D14" s="3"/>
      <c r="E14" s="11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1</v>
      </c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/>
      <c r="D16" s="3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</v>
      </c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282</v>
      </c>
      <c r="G17" s="3">
        <v>184</v>
      </c>
      <c r="H17" s="3">
        <f aca="true" t="shared" si="1" ref="H17:H23">G17-F17</f>
        <v>-98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194</v>
      </c>
      <c r="T17" s="3">
        <v>562</v>
      </c>
    </row>
    <row r="18" spans="1:20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0" customFormat="1" ht="44.25" customHeight="1">
      <c r="A19" s="137" t="s">
        <v>103</v>
      </c>
      <c r="B19" s="138"/>
      <c r="C19" s="3">
        <f>SUM(C6:C18)</f>
        <v>5</v>
      </c>
      <c r="D19" s="3">
        <f>SUM(D6:D18)</f>
        <v>8</v>
      </c>
      <c r="E19" s="11">
        <f t="shared" si="0"/>
        <v>3</v>
      </c>
      <c r="F19" s="3">
        <f>SUM(F10:F18)</f>
        <v>300</v>
      </c>
      <c r="G19" s="3">
        <f>SUM(G10:G18)</f>
        <v>184</v>
      </c>
      <c r="H19" s="3">
        <f t="shared" si="1"/>
        <v>-116</v>
      </c>
      <c r="I19" s="3">
        <f>SUM(I6:I18)</f>
        <v>0</v>
      </c>
      <c r="J19" s="3">
        <f aca="true" t="shared" si="2" ref="J19:T19">SUM(J6:J18)</f>
        <v>1</v>
      </c>
      <c r="K19" s="3">
        <f t="shared" si="2"/>
        <v>2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28</v>
      </c>
      <c r="R19" s="3">
        <f t="shared" si="2"/>
        <v>57</v>
      </c>
      <c r="S19" s="3">
        <f t="shared" si="2"/>
        <v>387</v>
      </c>
      <c r="T19" s="3">
        <f t="shared" si="2"/>
        <v>862</v>
      </c>
    </row>
    <row r="20" spans="1:20" s="20" customFormat="1" ht="12.75" customHeight="1">
      <c r="A20" s="31">
        <v>1</v>
      </c>
      <c r="B20" s="32" t="s">
        <v>82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8"/>
      <c r="N20" s="3"/>
      <c r="O20" s="3"/>
      <c r="P20" s="3"/>
      <c r="Q20" s="3"/>
      <c r="R20" s="3"/>
      <c r="S20" s="111">
        <v>5</v>
      </c>
      <c r="T20" s="22"/>
    </row>
    <row r="21" spans="1:20" s="20" customFormat="1" ht="12.75" customHeight="1">
      <c r="A21" s="31">
        <v>2</v>
      </c>
      <c r="B21" s="32" t="s">
        <v>88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8"/>
      <c r="N21" s="3"/>
      <c r="O21" s="3"/>
      <c r="P21" s="3"/>
      <c r="Q21" s="3"/>
      <c r="R21" s="3"/>
      <c r="S21" s="111"/>
      <c r="T21" s="22"/>
    </row>
    <row r="22" spans="1:20" s="20" customFormat="1" ht="30" customHeight="1">
      <c r="A22" s="139" t="s">
        <v>90</v>
      </c>
      <c r="B22" s="140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5</v>
      </c>
      <c r="T22" s="3">
        <f t="shared" si="3"/>
        <v>0</v>
      </c>
    </row>
    <row r="23" spans="1:20" s="20" customFormat="1" ht="37.5" customHeight="1">
      <c r="A23" s="135" t="s">
        <v>91</v>
      </c>
      <c r="B23" s="136"/>
      <c r="C23" s="3">
        <f>C22+C19</f>
        <v>5</v>
      </c>
      <c r="D23" s="3">
        <f>D22+D19</f>
        <v>8</v>
      </c>
      <c r="E23" s="11">
        <f>D23-C23</f>
        <v>3</v>
      </c>
      <c r="F23" s="3">
        <f>F22+F19</f>
        <v>300</v>
      </c>
      <c r="G23" s="3">
        <f>G22+G19</f>
        <v>184</v>
      </c>
      <c r="H23" s="3">
        <f t="shared" si="1"/>
        <v>-116</v>
      </c>
      <c r="I23" s="3">
        <f aca="true" t="shared" si="4" ref="I23:T23">I22+I19</f>
        <v>0</v>
      </c>
      <c r="J23" s="3">
        <f t="shared" si="4"/>
        <v>1</v>
      </c>
      <c r="K23" s="3">
        <f t="shared" si="4"/>
        <v>2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28</v>
      </c>
      <c r="R23" s="3">
        <f t="shared" si="4"/>
        <v>57</v>
      </c>
      <c r="S23" s="3">
        <f t="shared" si="4"/>
        <v>392</v>
      </c>
      <c r="T23" s="3">
        <f t="shared" si="4"/>
        <v>862</v>
      </c>
    </row>
    <row r="24" ht="14.25">
      <c r="B24" s="73"/>
    </row>
  </sheetData>
  <sheetProtection/>
  <mergeCells count="16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Q4:R4"/>
    <mergeCell ref="S4:T4"/>
    <mergeCell ref="I4:J4"/>
    <mergeCell ref="K4:L4"/>
    <mergeCell ref="A23:B23"/>
    <mergeCell ref="A19:B19"/>
    <mergeCell ref="A22:B2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65" zoomScaleSheetLayoutView="75" zoomScalePageLayoutView="0" workbookViewId="0" topLeftCell="A1">
      <selection activeCell="J19" sqref="J19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4" t="s">
        <v>111</v>
      </c>
      <c r="D1" s="94"/>
      <c r="E1" s="94"/>
      <c r="F1" s="94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9" t="s">
        <v>2</v>
      </c>
      <c r="B3" s="209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10"/>
      <c r="B4" s="210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11"/>
      <c r="B5" s="211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17.9</v>
      </c>
      <c r="D6" s="83">
        <v>12.5</v>
      </c>
      <c r="E6" s="82">
        <f aca="true" t="shared" si="0" ref="E6:E23">D6*100/C6</f>
        <v>69.83240223463687</v>
      </c>
      <c r="F6" s="83">
        <v>17.2</v>
      </c>
      <c r="G6" s="83">
        <v>12.5</v>
      </c>
      <c r="H6" s="83"/>
      <c r="I6" s="83"/>
      <c r="J6" s="83">
        <v>0.7</v>
      </c>
      <c r="K6" s="83"/>
      <c r="L6" s="20"/>
      <c r="M6" s="20"/>
    </row>
    <row r="7" spans="1:13" ht="16.5">
      <c r="A7" s="31">
        <v>2</v>
      </c>
      <c r="B7" s="31" t="s">
        <v>56</v>
      </c>
      <c r="C7" s="83">
        <v>6.1</v>
      </c>
      <c r="D7" s="83">
        <v>2.6</v>
      </c>
      <c r="E7" s="82">
        <f t="shared" si="0"/>
        <v>42.622950819672134</v>
      </c>
      <c r="F7" s="83">
        <v>6.1</v>
      </c>
      <c r="G7" s="83">
        <v>2.6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3</v>
      </c>
      <c r="D8" s="83">
        <v>3</v>
      </c>
      <c r="E8" s="82">
        <f t="shared" si="0"/>
        <v>100</v>
      </c>
      <c r="F8" s="83">
        <v>3</v>
      </c>
      <c r="G8" s="83">
        <v>3</v>
      </c>
      <c r="H8" s="83">
        <v>3</v>
      </c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67</v>
      </c>
      <c r="D9" s="83">
        <v>20</v>
      </c>
      <c r="E9" s="82">
        <f t="shared" si="0"/>
        <v>29.850746268656717</v>
      </c>
      <c r="F9" s="83">
        <v>62.2</v>
      </c>
      <c r="G9" s="83">
        <v>19.5</v>
      </c>
      <c r="H9" s="83">
        <v>4</v>
      </c>
      <c r="I9" s="83">
        <v>0.5</v>
      </c>
      <c r="J9" s="83">
        <v>0.8</v>
      </c>
      <c r="K9" s="83"/>
      <c r="L9" s="20"/>
      <c r="M9" s="20"/>
    </row>
    <row r="10" spans="1:13" ht="16.5">
      <c r="A10" s="31">
        <v>5</v>
      </c>
      <c r="B10" s="31" t="s">
        <v>59</v>
      </c>
      <c r="C10" s="83">
        <v>21.4</v>
      </c>
      <c r="D10" s="83">
        <v>30.37</v>
      </c>
      <c r="E10" s="82">
        <f t="shared" si="0"/>
        <v>141.9158878504673</v>
      </c>
      <c r="F10" s="83">
        <v>13.8</v>
      </c>
      <c r="G10" s="83">
        <v>23.6</v>
      </c>
      <c r="H10" s="83">
        <v>4.6</v>
      </c>
      <c r="I10" s="83">
        <v>5.57</v>
      </c>
      <c r="J10" s="83">
        <v>3</v>
      </c>
      <c r="K10" s="83">
        <v>1.2</v>
      </c>
      <c r="L10" s="20"/>
      <c r="M10" s="20"/>
    </row>
    <row r="11" spans="1:13" ht="16.5">
      <c r="A11" s="31">
        <v>6</v>
      </c>
      <c r="B11" s="32" t="s">
        <v>73</v>
      </c>
      <c r="C11" s="83">
        <v>9.7</v>
      </c>
      <c r="D11" s="119">
        <v>4.75</v>
      </c>
      <c r="E11" s="82">
        <f t="shared" si="0"/>
        <v>48.96907216494846</v>
      </c>
      <c r="F11" s="84">
        <v>8.6</v>
      </c>
      <c r="G11" s="84">
        <v>4.75</v>
      </c>
      <c r="H11" s="84"/>
      <c r="I11" s="84"/>
      <c r="J11" s="84">
        <v>1.1</v>
      </c>
      <c r="K11" s="84"/>
      <c r="L11" s="20"/>
      <c r="M11" s="20"/>
    </row>
    <row r="12" spans="1:13" ht="16.5">
      <c r="A12" s="31">
        <v>7</v>
      </c>
      <c r="B12" s="32" t="s">
        <v>60</v>
      </c>
      <c r="C12" s="83"/>
      <c r="D12" s="83"/>
      <c r="E12" s="82"/>
      <c r="F12" s="84"/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87</v>
      </c>
      <c r="C13" s="83"/>
      <c r="D13" s="83">
        <v>13.718</v>
      </c>
      <c r="E13" s="82"/>
      <c r="F13" s="84"/>
      <c r="G13" s="84">
        <v>13.718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72</v>
      </c>
      <c r="C14" s="83">
        <v>6.3</v>
      </c>
      <c r="D14" s="83">
        <v>4.99</v>
      </c>
      <c r="E14" s="82">
        <f t="shared" si="0"/>
        <v>79.2063492063492</v>
      </c>
      <c r="F14" s="84">
        <v>6.2</v>
      </c>
      <c r="G14" s="84">
        <v>4.53</v>
      </c>
      <c r="H14" s="84"/>
      <c r="I14" s="84"/>
      <c r="J14" s="84">
        <v>0.1</v>
      </c>
      <c r="K14" s="84">
        <v>0.46</v>
      </c>
      <c r="L14" s="20"/>
      <c r="M14" s="20"/>
    </row>
    <row r="15" spans="1:13" ht="16.5">
      <c r="A15" s="31">
        <v>10</v>
      </c>
      <c r="B15" s="32" t="s">
        <v>61</v>
      </c>
      <c r="C15" s="83">
        <v>5</v>
      </c>
      <c r="D15" s="83">
        <v>11.4</v>
      </c>
      <c r="E15" s="82">
        <f t="shared" si="0"/>
        <v>228</v>
      </c>
      <c r="F15" s="84">
        <v>5</v>
      </c>
      <c r="G15" s="84">
        <v>11.1</v>
      </c>
      <c r="H15" s="84"/>
      <c r="I15" s="84"/>
      <c r="J15" s="84"/>
      <c r="K15" s="84">
        <v>0.3</v>
      </c>
      <c r="L15" s="20"/>
      <c r="M15" s="20"/>
    </row>
    <row r="16" spans="1:13" ht="16.5">
      <c r="A16" s="31">
        <v>11</v>
      </c>
      <c r="B16" s="32" t="s">
        <v>62</v>
      </c>
      <c r="C16" s="83">
        <v>4.4</v>
      </c>
      <c r="D16" s="83">
        <v>3.1</v>
      </c>
      <c r="E16" s="82">
        <f t="shared" si="0"/>
        <v>70.45454545454545</v>
      </c>
      <c r="F16" s="84">
        <v>4</v>
      </c>
      <c r="G16" s="84">
        <v>3.1</v>
      </c>
      <c r="H16" s="84"/>
      <c r="I16" s="84"/>
      <c r="J16" s="84">
        <v>0.4</v>
      </c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269</v>
      </c>
      <c r="D17" s="83">
        <v>331</v>
      </c>
      <c r="E17" s="82">
        <f t="shared" si="0"/>
        <v>123.04832713754647</v>
      </c>
      <c r="F17" s="84"/>
      <c r="G17" s="84"/>
      <c r="H17" s="84">
        <v>269</v>
      </c>
      <c r="I17" s="84">
        <v>331</v>
      </c>
      <c r="J17" s="84"/>
      <c r="K17" s="84"/>
      <c r="L17" s="20"/>
      <c r="M17" s="20"/>
    </row>
    <row r="18" spans="1:13" ht="16.5">
      <c r="A18" s="31">
        <v>13</v>
      </c>
      <c r="B18" s="32" t="s">
        <v>71</v>
      </c>
      <c r="C18" s="83">
        <v>1.6</v>
      </c>
      <c r="D18" s="83">
        <v>1</v>
      </c>
      <c r="E18" s="82">
        <f t="shared" si="0"/>
        <v>62.5</v>
      </c>
      <c r="F18" s="84"/>
      <c r="G18" s="84"/>
      <c r="H18" s="84"/>
      <c r="I18" s="84"/>
      <c r="J18" s="84">
        <v>1.6</v>
      </c>
      <c r="K18" s="84">
        <v>1</v>
      </c>
      <c r="L18" s="20"/>
      <c r="M18" s="20"/>
    </row>
    <row r="19" spans="1:13" ht="46.5" customHeight="1">
      <c r="A19" s="212" t="s">
        <v>89</v>
      </c>
      <c r="B19" s="213"/>
      <c r="C19" s="83">
        <f>SUM(C6:C18)</f>
        <v>411.40000000000003</v>
      </c>
      <c r="D19" s="83">
        <f>SUM(D6:D18)</f>
        <v>438.428</v>
      </c>
      <c r="E19" s="82">
        <f t="shared" si="0"/>
        <v>106.56976178901313</v>
      </c>
      <c r="F19" s="84">
        <f aca="true" t="shared" si="1" ref="F19:K19">SUM(F6:F18)</f>
        <v>126.1</v>
      </c>
      <c r="G19" s="84">
        <f t="shared" si="1"/>
        <v>98.398</v>
      </c>
      <c r="H19" s="84">
        <f t="shared" si="1"/>
        <v>280.6</v>
      </c>
      <c r="I19" s="84">
        <f t="shared" si="1"/>
        <v>337.07</v>
      </c>
      <c r="J19" s="84">
        <f t="shared" si="1"/>
        <v>7.699999999999999</v>
      </c>
      <c r="K19" s="84">
        <f t="shared" si="1"/>
        <v>2.96</v>
      </c>
      <c r="L19" s="20"/>
      <c r="M19" s="20"/>
    </row>
    <row r="20" spans="1:13" ht="16.5">
      <c r="A20" s="31">
        <v>1</v>
      </c>
      <c r="B20" s="32" t="s">
        <v>82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88</v>
      </c>
      <c r="C21" s="83"/>
      <c r="D21" s="83"/>
      <c r="E21" s="82"/>
      <c r="F21" s="16"/>
      <c r="G21" s="84"/>
      <c r="H21" s="16"/>
      <c r="I21" s="84"/>
      <c r="J21" s="84"/>
      <c r="K21" s="84"/>
      <c r="L21" s="20"/>
      <c r="M21" s="20"/>
    </row>
    <row r="22" spans="1:13" ht="18">
      <c r="A22" s="214" t="s">
        <v>90</v>
      </c>
      <c r="B22" s="215"/>
      <c r="C22" s="83">
        <f>SUM(C20:C21)</f>
        <v>0</v>
      </c>
      <c r="D22" s="83">
        <f>SUM(D20:D21)</f>
        <v>0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20"/>
      <c r="M22" s="20"/>
    </row>
    <row r="23" spans="1:13" ht="16.5">
      <c r="A23" s="207" t="s">
        <v>91</v>
      </c>
      <c r="B23" s="208"/>
      <c r="C23" s="85">
        <f>C19+C22</f>
        <v>411.40000000000003</v>
      </c>
      <c r="D23" s="85">
        <f>D19+D22</f>
        <v>438.428</v>
      </c>
      <c r="E23" s="82">
        <f t="shared" si="0"/>
        <v>106.56976178901313</v>
      </c>
      <c r="F23" s="85">
        <f aca="true" t="shared" si="3" ref="F23:K23">F19+F22</f>
        <v>126.1</v>
      </c>
      <c r="G23" s="85">
        <f t="shared" si="3"/>
        <v>98.398</v>
      </c>
      <c r="H23" s="85">
        <f t="shared" si="3"/>
        <v>280.6</v>
      </c>
      <c r="I23" s="85">
        <f t="shared" si="3"/>
        <v>337.07</v>
      </c>
      <c r="J23" s="85">
        <f t="shared" si="3"/>
        <v>7.699999999999999</v>
      </c>
      <c r="K23" s="85">
        <f t="shared" si="3"/>
        <v>2.96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S16" sqref="S1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875" style="0" customWidth="1"/>
    <col min="4" max="4" width="9.37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4"/>
      <c r="E4" s="104"/>
      <c r="F4" s="102"/>
      <c r="G4" s="102"/>
      <c r="H4" s="105"/>
      <c r="I4" s="97" t="s">
        <v>46</v>
      </c>
      <c r="J4" s="102"/>
      <c r="K4" s="104"/>
      <c r="L4" s="102"/>
      <c r="M4" s="102"/>
      <c r="N4" s="105"/>
      <c r="O4" s="97" t="s">
        <v>47</v>
      </c>
      <c r="P4" s="102"/>
      <c r="Q4" s="104"/>
      <c r="R4" s="102"/>
      <c r="S4" s="102"/>
      <c r="T4" s="105"/>
    </row>
    <row r="5" spans="1:20" ht="15" customHeight="1">
      <c r="A5" s="79" t="s">
        <v>2</v>
      </c>
      <c r="B5" s="33"/>
      <c r="C5" s="25" t="s">
        <v>48</v>
      </c>
      <c r="D5" s="102"/>
      <c r="E5" s="149" t="s">
        <v>104</v>
      </c>
      <c r="F5" s="97" t="s">
        <v>49</v>
      </c>
      <c r="G5" s="101"/>
      <c r="H5" s="149" t="s">
        <v>104</v>
      </c>
      <c r="I5" s="152" t="s">
        <v>48</v>
      </c>
      <c r="J5" s="152"/>
      <c r="K5" s="149" t="s">
        <v>104</v>
      </c>
      <c r="L5" s="152" t="s">
        <v>49</v>
      </c>
      <c r="M5" s="152"/>
      <c r="N5" s="149" t="s">
        <v>104</v>
      </c>
      <c r="O5" s="102" t="s">
        <v>48</v>
      </c>
      <c r="P5" s="102"/>
      <c r="Q5" s="149" t="s">
        <v>85</v>
      </c>
      <c r="R5" s="153" t="s">
        <v>49</v>
      </c>
      <c r="S5" s="154"/>
      <c r="T5" s="149" t="s">
        <v>104</v>
      </c>
    </row>
    <row r="6" spans="1:20" ht="15">
      <c r="A6" s="79" t="s">
        <v>70</v>
      </c>
      <c r="B6" s="33"/>
      <c r="C6" s="147">
        <v>2011</v>
      </c>
      <c r="D6" s="147">
        <v>2012</v>
      </c>
      <c r="E6" s="150"/>
      <c r="F6" s="147">
        <v>2011</v>
      </c>
      <c r="G6" s="147">
        <v>2012</v>
      </c>
      <c r="H6" s="150"/>
      <c r="I6" s="147">
        <v>2011</v>
      </c>
      <c r="J6" s="147">
        <v>2012</v>
      </c>
      <c r="K6" s="150"/>
      <c r="L6" s="147">
        <v>2011</v>
      </c>
      <c r="M6" s="147">
        <v>2012</v>
      </c>
      <c r="N6" s="150"/>
      <c r="O6" s="147">
        <v>2011</v>
      </c>
      <c r="P6" s="147">
        <v>2012</v>
      </c>
      <c r="Q6" s="150"/>
      <c r="R6" s="147">
        <v>2011</v>
      </c>
      <c r="S6" s="147">
        <v>2012</v>
      </c>
      <c r="T6" s="150"/>
    </row>
    <row r="7" spans="1:20" ht="15">
      <c r="A7" s="80"/>
      <c r="B7" s="29"/>
      <c r="C7" s="148"/>
      <c r="D7" s="148"/>
      <c r="E7" s="151"/>
      <c r="F7" s="148"/>
      <c r="G7" s="148"/>
      <c r="H7" s="151"/>
      <c r="I7" s="148"/>
      <c r="J7" s="148"/>
      <c r="K7" s="151"/>
      <c r="L7" s="148"/>
      <c r="M7" s="148"/>
      <c r="N7" s="151"/>
      <c r="O7" s="148"/>
      <c r="P7" s="148"/>
      <c r="Q7" s="151"/>
      <c r="R7" s="148"/>
      <c r="S7" s="148"/>
      <c r="T7" s="151"/>
    </row>
    <row r="8" spans="1:20" ht="15">
      <c r="A8" s="2">
        <v>1</v>
      </c>
      <c r="B8" s="22" t="s">
        <v>55</v>
      </c>
      <c r="C8" s="124">
        <v>103</v>
      </c>
      <c r="D8" s="3">
        <v>95</v>
      </c>
      <c r="E8" s="36">
        <f aca="true" t="shared" si="0" ref="E8:E18">D8/C8*100</f>
        <v>92.23300970873787</v>
      </c>
      <c r="F8" s="3"/>
      <c r="G8" s="3"/>
      <c r="H8" s="36"/>
      <c r="I8" s="3">
        <v>22417</v>
      </c>
      <c r="J8" s="3">
        <v>16480</v>
      </c>
      <c r="K8" s="36">
        <f>J8*100/I8</f>
        <v>73.51563545523487</v>
      </c>
      <c r="L8" s="3"/>
      <c r="M8" s="3"/>
      <c r="N8" s="36"/>
      <c r="O8" s="36">
        <f aca="true" t="shared" si="1" ref="O8:O18">C8/I8*100000</f>
        <v>459.4727215952179</v>
      </c>
      <c r="P8" s="36">
        <f aca="true" t="shared" si="2" ref="P8:P17">D8/J8*100000</f>
        <v>576.4563106796116</v>
      </c>
      <c r="Q8" s="36">
        <f aca="true" t="shared" si="3" ref="Q8:Q18">P8/O8*100</f>
        <v>125.46039918936754</v>
      </c>
      <c r="R8" s="36"/>
      <c r="S8" s="36"/>
      <c r="T8" s="36"/>
    </row>
    <row r="9" spans="1:20" ht="15">
      <c r="A9" s="2">
        <v>2</v>
      </c>
      <c r="B9" s="22" t="s">
        <v>56</v>
      </c>
      <c r="C9" s="124">
        <v>49.81</v>
      </c>
      <c r="D9" s="3">
        <v>50.78</v>
      </c>
      <c r="E9" s="36">
        <f t="shared" si="0"/>
        <v>101.94740012045773</v>
      </c>
      <c r="F9" s="3"/>
      <c r="G9" s="3"/>
      <c r="H9" s="36"/>
      <c r="I9" s="3">
        <v>11846</v>
      </c>
      <c r="J9" s="3">
        <v>14531</v>
      </c>
      <c r="K9" s="36">
        <f aca="true" t="shared" si="4" ref="K9:K23">J9*100/I9</f>
        <v>122.66587877764647</v>
      </c>
      <c r="L9" s="3"/>
      <c r="M9" s="3"/>
      <c r="N9" s="36"/>
      <c r="O9" s="36">
        <f t="shared" si="1"/>
        <v>420.47948674658113</v>
      </c>
      <c r="P9" s="36">
        <f t="shared" si="2"/>
        <v>349.45977565205425</v>
      </c>
      <c r="Q9" s="36">
        <f t="shared" si="3"/>
        <v>83.10982739157267</v>
      </c>
      <c r="R9" s="36"/>
      <c r="S9" s="36"/>
      <c r="T9" s="36"/>
    </row>
    <row r="10" spans="1:20" ht="15">
      <c r="A10" s="2">
        <v>3</v>
      </c>
      <c r="B10" s="37" t="s">
        <v>57</v>
      </c>
      <c r="C10" s="125">
        <v>37</v>
      </c>
      <c r="D10" s="19">
        <v>32</v>
      </c>
      <c r="E10" s="36">
        <f t="shared" si="0"/>
        <v>86.48648648648648</v>
      </c>
      <c r="F10" s="19"/>
      <c r="G10" s="19"/>
      <c r="H10" s="36"/>
      <c r="I10" s="3">
        <v>5513</v>
      </c>
      <c r="J10" s="3">
        <v>4872</v>
      </c>
      <c r="K10" s="36">
        <f t="shared" si="4"/>
        <v>88.37293669508435</v>
      </c>
      <c r="L10" s="19"/>
      <c r="M10" s="19"/>
      <c r="N10" s="87"/>
      <c r="O10" s="36">
        <f t="shared" si="1"/>
        <v>671.1409395973154</v>
      </c>
      <c r="P10" s="36">
        <f t="shared" si="2"/>
        <v>656.8144499178982</v>
      </c>
      <c r="Q10" s="36">
        <f t="shared" si="3"/>
        <v>97.86535303776684</v>
      </c>
      <c r="R10" s="87"/>
      <c r="S10" s="87"/>
      <c r="T10" s="87"/>
    </row>
    <row r="11" spans="1:20" ht="15">
      <c r="A11" s="2">
        <v>4</v>
      </c>
      <c r="B11" s="22" t="s">
        <v>58</v>
      </c>
      <c r="C11" s="124">
        <v>218.4</v>
      </c>
      <c r="D11" s="3">
        <v>187.6</v>
      </c>
      <c r="E11" s="36">
        <f t="shared" si="0"/>
        <v>85.8974358974359</v>
      </c>
      <c r="F11" s="3">
        <v>102</v>
      </c>
      <c r="G11" s="3">
        <v>95</v>
      </c>
      <c r="H11" s="36">
        <f>G11/F11*100</f>
        <v>93.13725490196079</v>
      </c>
      <c r="I11" s="3">
        <v>57890</v>
      </c>
      <c r="J11" s="3">
        <v>50261</v>
      </c>
      <c r="K11" s="36">
        <f t="shared" si="4"/>
        <v>86.82155812748316</v>
      </c>
      <c r="L11" s="3">
        <v>23853</v>
      </c>
      <c r="M11" s="3">
        <v>23070</v>
      </c>
      <c r="N11" s="36">
        <f>M11/L11*100</f>
        <v>96.71739403848572</v>
      </c>
      <c r="O11" s="36">
        <f t="shared" si="1"/>
        <v>377.26723095526</v>
      </c>
      <c r="P11" s="36">
        <f t="shared" si="2"/>
        <v>373.25162650961977</v>
      </c>
      <c r="Q11" s="36">
        <f t="shared" si="3"/>
        <v>98.93560741136395</v>
      </c>
      <c r="R11" s="36">
        <f>F11/L11*100000</f>
        <v>427.619167400327</v>
      </c>
      <c r="S11" s="36">
        <f>G11/M11*100000</f>
        <v>411.79020372778496</v>
      </c>
      <c r="T11" s="36">
        <f>S11/R11*100</f>
        <v>96.29835028940053</v>
      </c>
    </row>
    <row r="12" spans="1:20" ht="15">
      <c r="A12" s="2">
        <v>5</v>
      </c>
      <c r="B12" s="22" t="s">
        <v>59</v>
      </c>
      <c r="C12" s="126">
        <v>74</v>
      </c>
      <c r="D12" s="88">
        <v>93</v>
      </c>
      <c r="E12" s="89">
        <f t="shared" si="0"/>
        <v>125.67567567567568</v>
      </c>
      <c r="F12" s="88">
        <v>69</v>
      </c>
      <c r="G12" s="88">
        <v>7.72</v>
      </c>
      <c r="H12" s="36">
        <f>G12/F12*100</f>
        <v>11.18840579710145</v>
      </c>
      <c r="I12" s="3">
        <v>15334</v>
      </c>
      <c r="J12" s="3">
        <v>20649</v>
      </c>
      <c r="K12" s="36">
        <f t="shared" si="4"/>
        <v>134.66153645493674</v>
      </c>
      <c r="L12" s="3">
        <v>19377</v>
      </c>
      <c r="M12" s="3">
        <v>8586</v>
      </c>
      <c r="N12" s="36">
        <f>M12/L12*100</f>
        <v>44.31026474686484</v>
      </c>
      <c r="O12" s="36">
        <f t="shared" si="1"/>
        <v>482.5877135776705</v>
      </c>
      <c r="P12" s="36">
        <f t="shared" si="2"/>
        <v>450.38500653784683</v>
      </c>
      <c r="Q12" s="36">
        <f t="shared" si="3"/>
        <v>93.32707689528843</v>
      </c>
      <c r="R12" s="36">
        <f>F12/L12*100000</f>
        <v>356.092274345874</v>
      </c>
      <c r="S12" s="36">
        <f>G12/M12*100000</f>
        <v>89.91381318425344</v>
      </c>
      <c r="T12" s="36">
        <f>S12/R12*100</f>
        <v>25.25014431987361</v>
      </c>
    </row>
    <row r="13" spans="1:20" ht="15">
      <c r="A13" s="2">
        <v>6</v>
      </c>
      <c r="B13" s="38" t="s">
        <v>73</v>
      </c>
      <c r="C13" s="126">
        <v>43.88</v>
      </c>
      <c r="D13" s="88">
        <v>108.54</v>
      </c>
      <c r="E13" s="89">
        <f t="shared" si="0"/>
        <v>247.35642661804923</v>
      </c>
      <c r="F13" s="88"/>
      <c r="G13" s="88"/>
      <c r="H13" s="89"/>
      <c r="I13" s="88">
        <v>13978</v>
      </c>
      <c r="J13" s="88">
        <v>17284</v>
      </c>
      <c r="K13" s="36">
        <f t="shared" si="4"/>
        <v>123.65145228215768</v>
      </c>
      <c r="L13" s="88"/>
      <c r="M13" s="88"/>
      <c r="N13" s="89"/>
      <c r="O13" s="36">
        <f t="shared" si="1"/>
        <v>313.9218772356561</v>
      </c>
      <c r="P13" s="36">
        <f t="shared" si="2"/>
        <v>627.9796343439019</v>
      </c>
      <c r="Q13" s="36">
        <f t="shared" si="3"/>
        <v>200.0432846139257</v>
      </c>
      <c r="R13" s="36"/>
      <c r="S13" s="36"/>
      <c r="T13" s="89"/>
    </row>
    <row r="14" spans="1:20" ht="15">
      <c r="A14" s="2">
        <v>7</v>
      </c>
      <c r="B14" s="38" t="s">
        <v>60</v>
      </c>
      <c r="C14" s="126">
        <v>30.74</v>
      </c>
      <c r="D14" s="88"/>
      <c r="E14" s="89">
        <f t="shared" si="0"/>
        <v>0</v>
      </c>
      <c r="F14" s="88"/>
      <c r="G14" s="88"/>
      <c r="H14" s="89"/>
      <c r="I14" s="88">
        <v>13562</v>
      </c>
      <c r="J14" s="88"/>
      <c r="K14" s="36">
        <f t="shared" si="4"/>
        <v>0</v>
      </c>
      <c r="L14" s="88"/>
      <c r="M14" s="88"/>
      <c r="N14" s="89"/>
      <c r="O14" s="36">
        <f t="shared" si="1"/>
        <v>226.66273411001328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87</v>
      </c>
      <c r="C15" s="126"/>
      <c r="D15" s="88">
        <v>74.51</v>
      </c>
      <c r="E15" s="89"/>
      <c r="F15" s="88"/>
      <c r="G15" s="88"/>
      <c r="H15" s="89"/>
      <c r="I15" s="88"/>
      <c r="J15" s="88">
        <v>18775</v>
      </c>
      <c r="K15" s="36"/>
      <c r="L15" s="88"/>
      <c r="M15" s="88"/>
      <c r="N15" s="89"/>
      <c r="O15" s="36"/>
      <c r="P15" s="36">
        <f t="shared" si="2"/>
        <v>396.8575233022637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72</v>
      </c>
      <c r="C16" s="127">
        <v>43</v>
      </c>
      <c r="D16" s="90">
        <v>89.57</v>
      </c>
      <c r="E16" s="91">
        <f t="shared" si="0"/>
        <v>208.30232558139534</v>
      </c>
      <c r="F16" s="90"/>
      <c r="G16" s="90"/>
      <c r="H16" s="91"/>
      <c r="I16" s="90">
        <v>11700</v>
      </c>
      <c r="J16" s="90">
        <v>18625</v>
      </c>
      <c r="K16" s="36">
        <f t="shared" si="4"/>
        <v>159.18803418803418</v>
      </c>
      <c r="L16" s="90"/>
      <c r="M16" s="90"/>
      <c r="N16" s="91"/>
      <c r="O16" s="36">
        <f t="shared" si="1"/>
        <v>367.52136752136755</v>
      </c>
      <c r="P16" s="36">
        <f t="shared" si="2"/>
        <v>480.9127516778523</v>
      </c>
      <c r="Q16" s="91">
        <f t="shared" si="3"/>
        <v>130.85300452629934</v>
      </c>
      <c r="R16" s="36"/>
      <c r="S16" s="36"/>
      <c r="T16" s="36"/>
    </row>
    <row r="17" spans="1:20" ht="15">
      <c r="A17" s="2">
        <v>10</v>
      </c>
      <c r="B17" s="38" t="s">
        <v>61</v>
      </c>
      <c r="C17" s="126">
        <v>26</v>
      </c>
      <c r="D17" s="88">
        <v>67</v>
      </c>
      <c r="E17" s="89">
        <f t="shared" si="0"/>
        <v>257.69230769230774</v>
      </c>
      <c r="F17" s="88"/>
      <c r="G17" s="88"/>
      <c r="H17" s="89"/>
      <c r="I17" s="88">
        <v>17073</v>
      </c>
      <c r="J17" s="88">
        <v>16551</v>
      </c>
      <c r="K17" s="36">
        <f t="shared" si="4"/>
        <v>96.94254085397996</v>
      </c>
      <c r="L17" s="88"/>
      <c r="M17" s="88"/>
      <c r="N17" s="89"/>
      <c r="O17" s="36">
        <f t="shared" si="1"/>
        <v>152.28723715808587</v>
      </c>
      <c r="P17" s="36">
        <f t="shared" si="2"/>
        <v>404.8093770769138</v>
      </c>
      <c r="Q17" s="89">
        <f t="shared" si="3"/>
        <v>265.819634416698</v>
      </c>
      <c r="R17" s="36"/>
      <c r="S17" s="36"/>
      <c r="T17" s="89"/>
    </row>
    <row r="18" spans="1:20" ht="15">
      <c r="A18" s="2">
        <v>11</v>
      </c>
      <c r="B18" s="38" t="s">
        <v>62</v>
      </c>
      <c r="C18" s="126">
        <v>25.6</v>
      </c>
      <c r="D18" s="88">
        <v>17.4</v>
      </c>
      <c r="E18" s="89">
        <f t="shared" si="0"/>
        <v>67.96874999999999</v>
      </c>
      <c r="F18" s="88"/>
      <c r="G18" s="88"/>
      <c r="H18" s="89"/>
      <c r="I18" s="88">
        <v>6374</v>
      </c>
      <c r="J18" s="88">
        <v>2334</v>
      </c>
      <c r="K18" s="36">
        <f t="shared" si="4"/>
        <v>36.617508628804515</v>
      </c>
      <c r="L18" s="88"/>
      <c r="M18" s="88"/>
      <c r="N18" s="89"/>
      <c r="O18" s="36">
        <f t="shared" si="1"/>
        <v>401.6316284907437</v>
      </c>
      <c r="P18" s="36">
        <f>D18/J18*100000</f>
        <v>745.5012853470437</v>
      </c>
      <c r="Q18" s="89">
        <f t="shared" si="3"/>
        <v>185.61817159383028</v>
      </c>
      <c r="R18" s="36"/>
      <c r="S18" s="36"/>
      <c r="T18" s="89"/>
    </row>
    <row r="19" spans="1:20" ht="15">
      <c r="A19" s="2">
        <v>12</v>
      </c>
      <c r="B19" s="81" t="s">
        <v>63</v>
      </c>
      <c r="C19" s="126"/>
      <c r="D19" s="88"/>
      <c r="E19" s="89"/>
      <c r="F19" s="88">
        <v>2853</v>
      </c>
      <c r="G19" s="88">
        <v>3553</v>
      </c>
      <c r="H19" s="89">
        <f>G19/F19*100</f>
        <v>124.53557658604977</v>
      </c>
      <c r="I19" s="3"/>
      <c r="J19" s="88"/>
      <c r="K19" s="36"/>
      <c r="L19" s="88">
        <v>740619</v>
      </c>
      <c r="M19" s="88">
        <v>871168</v>
      </c>
      <c r="N19" s="89">
        <f>M19/L19*100</f>
        <v>117.62701199942211</v>
      </c>
      <c r="O19" s="36"/>
      <c r="P19" s="36"/>
      <c r="Q19" s="89"/>
      <c r="R19" s="36">
        <f aca="true" t="shared" si="5" ref="R19:S21">F19/L19*100000</f>
        <v>385.21831062935195</v>
      </c>
      <c r="S19" s="36">
        <f t="shared" si="5"/>
        <v>407.8432632970908</v>
      </c>
      <c r="T19" s="89">
        <f>S19/R19*100</f>
        <v>105.87328069394606</v>
      </c>
    </row>
    <row r="20" spans="1:20" ht="43.5" customHeight="1">
      <c r="A20" s="137" t="s">
        <v>103</v>
      </c>
      <c r="B20" s="138"/>
      <c r="C20" s="128">
        <f>SUM(C8:C19)</f>
        <v>651.4300000000001</v>
      </c>
      <c r="D20" s="3">
        <f>SUM(D8:D19)</f>
        <v>815.4</v>
      </c>
      <c r="E20" s="36">
        <f>D20/C20*100</f>
        <v>125.17077813425846</v>
      </c>
      <c r="F20" s="36">
        <f>SUM(F11:F19)</f>
        <v>3024</v>
      </c>
      <c r="G20" s="3">
        <f>SUM(G11:G19)</f>
        <v>3655.72</v>
      </c>
      <c r="H20" s="36">
        <f>G20/F20*100</f>
        <v>120.89021164021163</v>
      </c>
      <c r="I20" s="3">
        <f>SUM(I8:I19)</f>
        <v>175687</v>
      </c>
      <c r="J20" s="3">
        <f>SUM(J8:J19)</f>
        <v>180362</v>
      </c>
      <c r="K20" s="36">
        <f t="shared" si="4"/>
        <v>102.66098231513999</v>
      </c>
      <c r="L20" s="3">
        <f>SUM(L11:L19)</f>
        <v>783849</v>
      </c>
      <c r="M20" s="3">
        <f>SUM(M11:M19)</f>
        <v>902824</v>
      </c>
      <c r="N20" s="36">
        <f>M20/L20*100</f>
        <v>115.17830602577791</v>
      </c>
      <c r="O20" s="36">
        <f aca="true" t="shared" si="6" ref="O20:P23">C20/I20*100000</f>
        <v>370.7900982998173</v>
      </c>
      <c r="P20" s="36">
        <f t="shared" si="6"/>
        <v>452.09079517858527</v>
      </c>
      <c r="Q20" s="36">
        <f>P20/O20*100</f>
        <v>121.92633979482079</v>
      </c>
      <c r="R20" s="36">
        <f t="shared" si="5"/>
        <v>385.7885893839247</v>
      </c>
      <c r="S20" s="36">
        <f t="shared" si="5"/>
        <v>404.9205603750011</v>
      </c>
      <c r="T20" s="36">
        <f>S20/R20*100</f>
        <v>104.95918529410855</v>
      </c>
    </row>
    <row r="21" spans="1:20" ht="15">
      <c r="A21" s="2">
        <v>13</v>
      </c>
      <c r="B21" s="32" t="s">
        <v>82</v>
      </c>
      <c r="C21" s="96"/>
      <c r="D21" s="88"/>
      <c r="E21" s="36"/>
      <c r="F21" s="88"/>
      <c r="G21" s="88">
        <v>23</v>
      </c>
      <c r="H21" s="36"/>
      <c r="I21" s="3"/>
      <c r="J21" s="88"/>
      <c r="K21" s="36"/>
      <c r="L21" s="88">
        <v>11050</v>
      </c>
      <c r="M21" s="88">
        <v>11735</v>
      </c>
      <c r="N21" s="89">
        <f>M21/L21*100</f>
        <v>106.19909502262443</v>
      </c>
      <c r="O21" s="36"/>
      <c r="P21" s="36"/>
      <c r="Q21" s="36"/>
      <c r="R21" s="36">
        <f t="shared" si="5"/>
        <v>0</v>
      </c>
      <c r="S21" s="36">
        <f t="shared" si="5"/>
        <v>195.994887089902</v>
      </c>
      <c r="T21" s="36"/>
    </row>
    <row r="22" spans="1:20" ht="18" customHeight="1">
      <c r="A22" s="139" t="s">
        <v>90</v>
      </c>
      <c r="B22" s="140"/>
      <c r="C22" s="88"/>
      <c r="D22" s="88"/>
      <c r="E22" s="36"/>
      <c r="F22" s="88">
        <f>SUM(F21)</f>
        <v>0</v>
      </c>
      <c r="G22" s="88">
        <f>SUM(G21)</f>
        <v>23</v>
      </c>
      <c r="H22" s="36"/>
      <c r="I22" s="3"/>
      <c r="J22" s="88"/>
      <c r="K22" s="36"/>
      <c r="L22" s="88">
        <f>SUM(L21)</f>
        <v>11050</v>
      </c>
      <c r="M22" s="88">
        <f>SUM(M21)</f>
        <v>11735</v>
      </c>
      <c r="N22" s="89">
        <f>M22/L22*100</f>
        <v>106.19909502262443</v>
      </c>
      <c r="O22" s="36"/>
      <c r="P22" s="36"/>
      <c r="Q22" s="36"/>
      <c r="R22" s="36">
        <f>F22/L22*100000</f>
        <v>0</v>
      </c>
      <c r="S22" s="36">
        <f>G22/M22*100000</f>
        <v>195.994887089902</v>
      </c>
      <c r="T22" s="36"/>
    </row>
    <row r="23" spans="1:20" ht="36.75" customHeight="1">
      <c r="A23" s="135" t="s">
        <v>91</v>
      </c>
      <c r="B23" s="136"/>
      <c r="C23" s="89">
        <f>C20+C22</f>
        <v>651.4300000000001</v>
      </c>
      <c r="D23" s="89">
        <f>D20+D22</f>
        <v>815.4</v>
      </c>
      <c r="E23" s="36">
        <f>D23/C23*100</f>
        <v>125.17077813425846</v>
      </c>
      <c r="F23" s="89">
        <f>F20+F22</f>
        <v>3024</v>
      </c>
      <c r="G23" s="89">
        <f>G20+G22</f>
        <v>3678.72</v>
      </c>
      <c r="H23" s="36">
        <f>G23/F23*100</f>
        <v>121.65079365079366</v>
      </c>
      <c r="I23" s="89">
        <f>I20+I22</f>
        <v>175687</v>
      </c>
      <c r="J23" s="89">
        <f>J20+J22</f>
        <v>180362</v>
      </c>
      <c r="K23" s="36">
        <f t="shared" si="4"/>
        <v>102.66098231513999</v>
      </c>
      <c r="L23" s="89">
        <f>L20+L22</f>
        <v>794899</v>
      </c>
      <c r="M23" s="89">
        <f>M20+M22</f>
        <v>914559</v>
      </c>
      <c r="N23" s="89"/>
      <c r="O23" s="36">
        <f t="shared" si="6"/>
        <v>370.7900982998173</v>
      </c>
      <c r="P23" s="36">
        <f t="shared" si="6"/>
        <v>452.09079517858527</v>
      </c>
      <c r="Q23" s="36">
        <f>P23/O23*100</f>
        <v>121.92633979482079</v>
      </c>
      <c r="R23" s="36">
        <f>F23/L23*100000</f>
        <v>380.4256893014081</v>
      </c>
      <c r="S23" s="36">
        <f>G23/M23*100000</f>
        <v>402.2397680193405</v>
      </c>
      <c r="T23" s="36">
        <f>S23/R23*100</f>
        <v>105.73412346521354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50" zoomScaleSheetLayoutView="75" zoomScalePageLayoutView="0" workbookViewId="0" topLeftCell="A1">
      <selection activeCell="K16" sqref="K16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117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59" t="s">
        <v>10</v>
      </c>
      <c r="G3" s="160"/>
      <c r="H3" s="161"/>
      <c r="I3" s="25" t="s">
        <v>6</v>
      </c>
      <c r="J3" s="21" t="s">
        <v>7</v>
      </c>
      <c r="K3" s="164" t="s">
        <v>68</v>
      </c>
      <c r="L3" s="165"/>
      <c r="M3" s="162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6" t="s">
        <v>1</v>
      </c>
      <c r="L4" s="166" t="s">
        <v>69</v>
      </c>
      <c r="M4" s="163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7"/>
      <c r="L5" s="167"/>
      <c r="M5" s="163"/>
    </row>
    <row r="6" spans="1:13" ht="15">
      <c r="A6" s="3">
        <v>1</v>
      </c>
      <c r="B6" s="22" t="s">
        <v>55</v>
      </c>
      <c r="C6" s="3"/>
      <c r="D6" s="3"/>
      <c r="E6" s="36"/>
      <c r="F6" s="3">
        <v>26</v>
      </c>
      <c r="G6" s="3">
        <v>14</v>
      </c>
      <c r="H6" s="89">
        <f aca="true" t="shared" si="0" ref="H6:H19">G6*100/F6</f>
        <v>53.84615384615385</v>
      </c>
      <c r="I6" s="123">
        <f>F6+(C6*0.2)+('численность 1'!M6*0.3)+'численность 1'!G6+(('численность 1'!C6-'численность 1'!G6)*0.6)</f>
        <v>314</v>
      </c>
      <c r="J6" s="123">
        <f>G6+(D6*0.2)+('численность 1'!N6*0.3)+'численность 1'!H6+(('численность 1'!D6-'численность 1'!H6)*0.6)</f>
        <v>266</v>
      </c>
      <c r="K6" s="3">
        <v>2100</v>
      </c>
      <c r="L6" s="3">
        <v>340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3">
        <f>F7+(C7*0.2)+('численность 1'!M7*0.3)+'численность 1'!G7+(('численность 1'!C7-'численность 1'!G7)*0.6)</f>
        <v>191</v>
      </c>
      <c r="J7" s="123">
        <f>G7+(D7*0.2)+('численность 1'!N7*0.3)+'численность 1'!H7+(('численность 1'!D7-'численность 1'!H7)*0.6)</f>
        <v>195.39999999999998</v>
      </c>
      <c r="K7" s="3">
        <v>4860</v>
      </c>
      <c r="L7" s="3">
        <v>718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3">
        <f>F8+(C8*0.2)+('численность 1'!M8*0.3)+'численность 1'!G8+(('численность 1'!C8-'численность 1'!G8)*0.6)</f>
        <v>100</v>
      </c>
      <c r="J8" s="123">
        <f>G8+(D8*0.2)+('численность 1'!N8*0.3)+'численность 1'!H8+(('численность 1'!D8-'численность 1'!H8)*0.6)</f>
        <v>95.8</v>
      </c>
      <c r="K8" s="3">
        <v>599</v>
      </c>
      <c r="L8" s="3">
        <v>81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23</v>
      </c>
      <c r="G9" s="3">
        <v>20</v>
      </c>
      <c r="H9" s="89">
        <f t="shared" si="0"/>
        <v>86.95652173913044</v>
      </c>
      <c r="I9" s="123">
        <f>F9+(C9*0.2)+('численность 1'!M9*0.3)+'численность 1'!G9+(('численность 1'!C9-'численность 1'!G9)*0.6)</f>
        <v>767.2</v>
      </c>
      <c r="J9" s="123">
        <f>G9+(D9*0.2)+('численность 1'!N9*0.3)+'численность 1'!H9+(('численность 1'!D9-'численность 1'!H9)*0.6)</f>
        <v>781.9</v>
      </c>
      <c r="K9" s="88">
        <v>2220</v>
      </c>
      <c r="L9" s="88">
        <v>913</v>
      </c>
      <c r="M9" s="77"/>
    </row>
    <row r="10" spans="1:13" ht="15">
      <c r="A10" s="3">
        <v>5</v>
      </c>
      <c r="B10" s="22" t="s">
        <v>59</v>
      </c>
      <c r="C10" s="86">
        <v>190</v>
      </c>
      <c r="D10" s="3">
        <v>133</v>
      </c>
      <c r="E10" s="89">
        <f>D10*100/C10</f>
        <v>70</v>
      </c>
      <c r="F10" s="3">
        <v>22</v>
      </c>
      <c r="G10" s="3">
        <v>17</v>
      </c>
      <c r="H10" s="89">
        <f t="shared" si="0"/>
        <v>77.27272727272727</v>
      </c>
      <c r="I10" s="123">
        <f>F10+(C10*0.2)+('численность 1'!M10*0.3)+'численность 1'!G10+(('численность 1'!C10-'численность 1'!G10)*0.6)</f>
        <v>595</v>
      </c>
      <c r="J10" s="123">
        <f>G10+(D10*0.2)+('численность 1'!N10*0.3)+'численность 1'!H10+(('численность 1'!D10-'численность 1'!H10)*0.6)</f>
        <v>412.9</v>
      </c>
      <c r="K10" s="3">
        <v>683</v>
      </c>
      <c r="L10" s="3">
        <v>585</v>
      </c>
      <c r="M10" s="77"/>
    </row>
    <row r="11" spans="1:13" ht="15">
      <c r="A11" s="3">
        <v>6</v>
      </c>
      <c r="B11" s="38" t="s">
        <v>73</v>
      </c>
      <c r="C11" s="88"/>
      <c r="D11" s="88"/>
      <c r="E11" s="89"/>
      <c r="F11" s="3">
        <v>8</v>
      </c>
      <c r="G11" s="3">
        <v>9</v>
      </c>
      <c r="H11" s="89">
        <f t="shared" si="0"/>
        <v>112.5</v>
      </c>
      <c r="I11" s="123">
        <f>F11+(C11*0.2)+('численность 1'!M11*0.3)+'численность 1'!G11+(('численность 1'!C11-'численность 1'!G11)*0.6)</f>
        <v>232.2</v>
      </c>
      <c r="J11" s="123">
        <f>G11+(D11*0.2)+('численность 1'!N11*0.3)+'численность 1'!H11+(('численность 1'!D11-'численность 1'!H11)*0.6)</f>
        <v>212.8</v>
      </c>
      <c r="K11" s="88">
        <v>7164</v>
      </c>
      <c r="L11" s="88">
        <v>678</v>
      </c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3">
        <f>F12+(C12*0.2)+('численность 1'!M12*0.3)+'численность 1'!G12+(('численность 1'!C12-'численность 1'!G12)*0.6)</f>
        <v>146.39999999999998</v>
      </c>
      <c r="J12" s="123">
        <f>G12+(D12*0.2)+('численность 1'!N12*0.3)+'численность 1'!H12+(('численность 1'!D12-'численность 1'!H12)*0.6)</f>
        <v>0</v>
      </c>
      <c r="K12" s="88"/>
      <c r="L12" s="88"/>
      <c r="M12" s="77"/>
    </row>
    <row r="13" spans="1:13" ht="15">
      <c r="A13" s="3">
        <v>8</v>
      </c>
      <c r="B13" s="32" t="s">
        <v>87</v>
      </c>
      <c r="C13" s="88"/>
      <c r="D13" s="88"/>
      <c r="E13" s="89"/>
      <c r="F13" s="88"/>
      <c r="G13" s="88">
        <v>3</v>
      </c>
      <c r="H13" s="89"/>
      <c r="I13" s="123">
        <f>F13+(C13*0.2)+('численность 1'!M13*0.3)+'численность 1'!G13+(('численность 1'!C13-'численность 1'!G13)*0.6)</f>
        <v>0</v>
      </c>
      <c r="J13" s="123">
        <f>G13+(D13*0.2)+('численность 1'!N13*0.3)+'численность 1'!H13+(('численность 1'!D13-'численность 1'!H13)*0.6)</f>
        <v>173</v>
      </c>
      <c r="K13" s="88">
        <v>910</v>
      </c>
      <c r="L13" s="120">
        <v>200</v>
      </c>
      <c r="M13" s="77"/>
    </row>
    <row r="14" spans="1:13" ht="15">
      <c r="A14" s="3">
        <v>9</v>
      </c>
      <c r="B14" s="32" t="s">
        <v>72</v>
      </c>
      <c r="C14" s="88">
        <v>170</v>
      </c>
      <c r="D14" s="88">
        <v>258</v>
      </c>
      <c r="E14" s="89">
        <f>D14*100/C14</f>
        <v>151.76470588235293</v>
      </c>
      <c r="F14" s="3">
        <v>5</v>
      </c>
      <c r="G14" s="3">
        <v>3</v>
      </c>
      <c r="H14" s="89">
        <f t="shared" si="0"/>
        <v>60</v>
      </c>
      <c r="I14" s="123">
        <f>F14+(C14*0.2)+('численность 1'!M14*0.3)+'численность 1'!G14+(('численность 1'!C14-'численность 1'!G14)*0.6)</f>
        <v>200.39999999999998</v>
      </c>
      <c r="J14" s="123">
        <f>G14+(D14*0.2)+('численность 1'!N14*0.3)+'численность 1'!H14+(('численность 1'!D14-'численность 1'!H14)*0.6)</f>
        <v>250.2</v>
      </c>
      <c r="K14" s="88">
        <v>5133</v>
      </c>
      <c r="L14" s="88">
        <v>1298</v>
      </c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3</v>
      </c>
      <c r="G15" s="3">
        <v>4</v>
      </c>
      <c r="H15" s="89">
        <f t="shared" si="0"/>
        <v>133.33333333333334</v>
      </c>
      <c r="I15" s="123">
        <f>F15+(C15*0.2)+('численность 1'!M15*0.3)+'численность 1'!G15+(('численность 1'!C15-'численность 1'!G15)*0.6)</f>
        <v>193.6</v>
      </c>
      <c r="J15" s="123">
        <f>G15+(D15*0.2)+('численность 1'!N15*0.3)+'численность 1'!H15+(('численность 1'!D15-'численность 1'!H15)*0.6)</f>
        <v>197.6</v>
      </c>
      <c r="K15" s="88">
        <v>3090</v>
      </c>
      <c r="L15" s="88">
        <v>580</v>
      </c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1</v>
      </c>
      <c r="G16" s="3">
        <v>1</v>
      </c>
      <c r="H16" s="89">
        <f t="shared" si="0"/>
        <v>100</v>
      </c>
      <c r="I16" s="123">
        <f>F16+(C16*0.2)+('численность 1'!M16*0.3)+'численность 1'!G16+(('численность 1'!C16-'численность 1'!G16)*0.6)</f>
        <v>77.19999999999999</v>
      </c>
      <c r="J16" s="123">
        <f>G16+(D16*0.2)+('численность 1'!N16*0.3)+'численность 1'!H16+(('численность 1'!D16-'численность 1'!H16)*0.6)</f>
        <v>44.8</v>
      </c>
      <c r="K16" s="88">
        <v>450</v>
      </c>
      <c r="L16" s="88">
        <v>160</v>
      </c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/>
      <c r="H17" s="89">
        <f t="shared" si="0"/>
        <v>0</v>
      </c>
      <c r="I17" s="123">
        <f>F17+(C17*0.2)+('численность 1'!M17*0.3)+'численность 1'!G17+(('численность 1'!C17-'численность 1'!G17)*0.6)</f>
        <v>2763.1</v>
      </c>
      <c r="J17" s="123">
        <f>G17+(D17*0.2)+('численность 1'!N17*0.3)+'численность 1'!H17+(('численность 1'!D17-'численность 1'!H17)*0.6)</f>
        <v>2923.2</v>
      </c>
      <c r="K17" s="88">
        <v>1450</v>
      </c>
      <c r="L17" s="88">
        <v>1450</v>
      </c>
      <c r="M17" s="77"/>
    </row>
    <row r="18" spans="1:13" ht="15">
      <c r="A18" s="3">
        <v>13</v>
      </c>
      <c r="B18" s="32" t="s">
        <v>71</v>
      </c>
      <c r="C18" s="88"/>
      <c r="D18" s="88"/>
      <c r="E18" s="89"/>
      <c r="F18" s="3">
        <v>118</v>
      </c>
      <c r="G18" s="3">
        <v>154</v>
      </c>
      <c r="H18" s="89">
        <f t="shared" si="0"/>
        <v>130.5084745762712</v>
      </c>
      <c r="I18" s="123">
        <f>F18+(C18*0.2)+('численность 1'!M18*0.3)+'численность 1'!G18+(('численность 1'!C18-'численность 1'!G18)*0.6)</f>
        <v>118</v>
      </c>
      <c r="J18" s="123">
        <f>G18+(D18*0.2)+('численность 1'!N18*0.3)+'численность 1'!H18+(('численность 1'!D18-'численность 1'!H18)*0.6)</f>
        <v>154</v>
      </c>
      <c r="K18" s="88">
        <v>4310</v>
      </c>
      <c r="L18" s="88">
        <v>740</v>
      </c>
      <c r="M18" s="77"/>
    </row>
    <row r="19" spans="1:13" ht="60" customHeight="1">
      <c r="A19" s="155" t="s">
        <v>103</v>
      </c>
      <c r="B19" s="156"/>
      <c r="C19" s="88">
        <f>SUM(C10:C18)</f>
        <v>360</v>
      </c>
      <c r="D19" s="88">
        <f>SUM(D10:D18)</f>
        <v>391</v>
      </c>
      <c r="E19" s="89">
        <f>D19*100/C19</f>
        <v>108.61111111111111</v>
      </c>
      <c r="F19" s="3">
        <f>SUM(F6:F18)</f>
        <v>216</v>
      </c>
      <c r="G19" s="3">
        <f>SUM(G6:G18)</f>
        <v>230</v>
      </c>
      <c r="H19" s="89">
        <f t="shared" si="0"/>
        <v>106.48148148148148</v>
      </c>
      <c r="I19" s="123">
        <f>SUM(I6:I18)</f>
        <v>5698.1</v>
      </c>
      <c r="J19" s="123">
        <f>SUM(J6:J18)</f>
        <v>5707.6</v>
      </c>
      <c r="K19" s="88">
        <f>SUM(K6:K18)</f>
        <v>32969</v>
      </c>
      <c r="L19" s="88">
        <f>SUM(L6:L18)</f>
        <v>7743</v>
      </c>
      <c r="M19" s="77"/>
    </row>
    <row r="20" spans="1:13" ht="15">
      <c r="A20" s="3">
        <v>1</v>
      </c>
      <c r="B20" s="32" t="s">
        <v>82</v>
      </c>
      <c r="C20" s="88"/>
      <c r="D20" s="88"/>
      <c r="E20" s="89"/>
      <c r="F20" s="3"/>
      <c r="G20" s="3"/>
      <c r="H20" s="89"/>
      <c r="I20" s="123">
        <f>F20+(C20*0.2)+('численность 1'!M20*0.3)+'численность 1'!G20+(('численность 1'!C20-'численность 1'!G20)*0.6)</f>
        <v>31.5</v>
      </c>
      <c r="J20" s="123">
        <f>G20+(D20*0.2)+('численность 1'!N20*0.3)+'численность 1'!H20+(('численность 1'!D20-'численность 1'!H20)*0.6)</f>
        <v>30.599999999999998</v>
      </c>
      <c r="K20" s="120">
        <v>3</v>
      </c>
      <c r="L20" s="88">
        <v>3</v>
      </c>
      <c r="M20" s="77"/>
    </row>
    <row r="21" spans="1:13" ht="15">
      <c r="A21" s="3">
        <v>2</v>
      </c>
      <c r="B21" s="32" t="s">
        <v>88</v>
      </c>
      <c r="C21" s="3"/>
      <c r="D21" s="3">
        <v>57</v>
      </c>
      <c r="E21" s="36"/>
      <c r="F21" s="3"/>
      <c r="G21" s="3">
        <v>7</v>
      </c>
      <c r="H21" s="89"/>
      <c r="I21" s="123">
        <f>F21+(C21*0.2)+('численность 1'!M21*0.3)+'численность 1'!G21+(('численность 1'!C21-'численность 1'!G21)*0.6)</f>
        <v>0</v>
      </c>
      <c r="J21" s="123">
        <f>G21+(D21*0.2)+('численность 1'!N21*0.3)+'численность 1'!H21+(('численность 1'!D21-'численность 1'!H21)*0.6)</f>
        <v>18.4</v>
      </c>
      <c r="K21" s="3">
        <v>150</v>
      </c>
      <c r="L21" s="3">
        <v>10</v>
      </c>
      <c r="M21" s="77"/>
    </row>
    <row r="22" spans="1:12" ht="25.5" customHeight="1">
      <c r="A22" s="155" t="s">
        <v>90</v>
      </c>
      <c r="B22" s="156"/>
      <c r="C22" s="88">
        <f>SUM(C21)</f>
        <v>0</v>
      </c>
      <c r="D22" s="88">
        <f>SUM(D21)</f>
        <v>57</v>
      </c>
      <c r="E22" s="36"/>
      <c r="F22" s="88">
        <f>SUM(F20:F21)</f>
        <v>0</v>
      </c>
      <c r="G22" s="88">
        <f>SUM(G20:G21)</f>
        <v>7</v>
      </c>
      <c r="H22" s="89"/>
      <c r="I22" s="123">
        <f>SUM(I20:I21)</f>
        <v>31.5</v>
      </c>
      <c r="J22" s="123">
        <f>SUM(J20:J21)</f>
        <v>49</v>
      </c>
      <c r="K22" s="88">
        <f>SUM(K20:K21)</f>
        <v>153</v>
      </c>
      <c r="L22" s="88">
        <f>SUM(L20:L21)</f>
        <v>13</v>
      </c>
    </row>
    <row r="23" spans="1:12" ht="41.25" customHeight="1">
      <c r="A23" s="157" t="s">
        <v>91</v>
      </c>
      <c r="B23" s="158"/>
      <c r="C23" s="88">
        <f>C19+C22</f>
        <v>360</v>
      </c>
      <c r="D23" s="88">
        <f>D19+D22</f>
        <v>448</v>
      </c>
      <c r="E23" s="36">
        <f>D23/C23*100</f>
        <v>124.44444444444444</v>
      </c>
      <c r="F23" s="88">
        <f>F19+F22</f>
        <v>216</v>
      </c>
      <c r="G23" s="88">
        <f>G19+G22</f>
        <v>237</v>
      </c>
      <c r="H23" s="89">
        <f>G23*100/F23</f>
        <v>109.72222222222223</v>
      </c>
      <c r="I23" s="120">
        <f>I19+I22</f>
        <v>5729.6</v>
      </c>
      <c r="J23" s="120">
        <f>J19+J22</f>
        <v>5756.6</v>
      </c>
      <c r="K23" s="88">
        <f>K19+K22</f>
        <v>33122</v>
      </c>
      <c r="L23" s="88">
        <f>L19+L22</f>
        <v>7756</v>
      </c>
    </row>
  </sheetData>
  <sheetProtection/>
  <mergeCells count="8">
    <mergeCell ref="A22:B22"/>
    <mergeCell ref="A23:B23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L8" sqref="L8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7" t="s">
        <v>3</v>
      </c>
      <c r="C3" s="142" t="s">
        <v>75</v>
      </c>
      <c r="D3" s="171"/>
      <c r="E3" s="172"/>
      <c r="F3" s="149" t="s">
        <v>74</v>
      </c>
      <c r="G3" s="142" t="s">
        <v>8</v>
      </c>
      <c r="H3" s="171"/>
      <c r="I3" s="172"/>
      <c r="J3" s="173" t="s">
        <v>67</v>
      </c>
      <c r="K3" s="174"/>
      <c r="L3" s="175"/>
      <c r="M3" s="142" t="s">
        <v>9</v>
      </c>
      <c r="N3" s="171"/>
      <c r="O3" s="171"/>
      <c r="P3" s="171"/>
      <c r="Q3" s="171"/>
      <c r="R3" s="171"/>
      <c r="S3" s="171"/>
      <c r="T3" s="171"/>
      <c r="U3" s="172"/>
    </row>
    <row r="4" spans="1:21" s="20" customFormat="1" ht="23.25" customHeight="1">
      <c r="A4" s="33"/>
      <c r="B4" s="170"/>
      <c r="C4" s="147">
        <v>2011</v>
      </c>
      <c r="D4" s="147">
        <v>2012</v>
      </c>
      <c r="E4" s="100" t="s">
        <v>4</v>
      </c>
      <c r="F4" s="150"/>
      <c r="G4" s="147">
        <v>2011</v>
      </c>
      <c r="H4" s="147">
        <v>2012</v>
      </c>
      <c r="I4" s="100" t="s">
        <v>4</v>
      </c>
      <c r="J4" s="147">
        <v>2011</v>
      </c>
      <c r="K4" s="147">
        <v>2012</v>
      </c>
      <c r="L4" s="100" t="s">
        <v>4</v>
      </c>
      <c r="M4" s="147">
        <v>2011</v>
      </c>
      <c r="N4" s="147">
        <v>2012</v>
      </c>
      <c r="O4" s="100" t="s">
        <v>4</v>
      </c>
      <c r="P4" s="97" t="s">
        <v>5</v>
      </c>
      <c r="Q4" s="101" t="s">
        <v>66</v>
      </c>
      <c r="R4" s="149" t="s">
        <v>102</v>
      </c>
      <c r="S4" s="97" t="s">
        <v>50</v>
      </c>
      <c r="T4" s="102"/>
      <c r="U4" s="149" t="s">
        <v>102</v>
      </c>
    </row>
    <row r="5" spans="1:21" s="20" customFormat="1" ht="23.25" customHeight="1">
      <c r="A5" s="29"/>
      <c r="B5" s="148"/>
      <c r="C5" s="169"/>
      <c r="D5" s="169"/>
      <c r="E5" s="103">
        <v>2011</v>
      </c>
      <c r="F5" s="151"/>
      <c r="G5" s="169"/>
      <c r="H5" s="169"/>
      <c r="I5" s="103">
        <v>2011</v>
      </c>
      <c r="J5" s="169"/>
      <c r="K5" s="169"/>
      <c r="L5" s="103">
        <v>2011</v>
      </c>
      <c r="M5" s="169"/>
      <c r="N5" s="169"/>
      <c r="O5" s="103">
        <v>2011</v>
      </c>
      <c r="P5" s="98">
        <v>2011</v>
      </c>
      <c r="Q5" s="98">
        <v>2012</v>
      </c>
      <c r="R5" s="168"/>
      <c r="S5" s="98">
        <v>2011</v>
      </c>
      <c r="T5" s="98">
        <v>2012</v>
      </c>
      <c r="U5" s="168"/>
    </row>
    <row r="6" spans="1:34" s="20" customFormat="1" ht="24.75" customHeight="1">
      <c r="A6" s="3">
        <v>1</v>
      </c>
      <c r="B6" s="22" t="s">
        <v>55</v>
      </c>
      <c r="C6" s="3">
        <v>360</v>
      </c>
      <c r="D6" s="3">
        <v>300</v>
      </c>
      <c r="E6" s="36">
        <f aca="true" t="shared" si="0" ref="E6:E16">D6*100/C6</f>
        <v>83.33333333333333</v>
      </c>
      <c r="F6" s="3">
        <v>2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0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240</v>
      </c>
      <c r="D7" s="3">
        <v>249</v>
      </c>
      <c r="E7" s="36">
        <f t="shared" si="0"/>
        <v>103.75</v>
      </c>
      <c r="F7" s="3">
        <v>16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0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125</v>
      </c>
      <c r="D8" s="3">
        <v>118</v>
      </c>
      <c r="E8" s="36">
        <f t="shared" si="0"/>
        <v>94.4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9"/>
      <c r="P8" s="66"/>
      <c r="Q8" s="3"/>
      <c r="R8" s="36"/>
      <c r="S8" s="110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776</v>
      </c>
      <c r="D9" s="3">
        <v>818</v>
      </c>
      <c r="E9" s="36">
        <f t="shared" si="0"/>
        <v>105.41237113402062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518</v>
      </c>
      <c r="N9" s="3">
        <v>493</v>
      </c>
      <c r="O9" s="36">
        <f>N9*100/M9</f>
        <v>95.17374517374517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489</v>
      </c>
      <c r="D10" s="3">
        <v>364</v>
      </c>
      <c r="E10" s="36">
        <f t="shared" si="0"/>
        <v>74.43762781186093</v>
      </c>
      <c r="F10" s="120"/>
      <c r="G10" s="3">
        <v>280</v>
      </c>
      <c r="H10" s="3">
        <v>225</v>
      </c>
      <c r="I10" s="36">
        <f t="shared" si="1"/>
        <v>80.35714285714286</v>
      </c>
      <c r="J10" s="3">
        <v>280</v>
      </c>
      <c r="K10" s="3">
        <v>250</v>
      </c>
      <c r="L10" s="36">
        <f t="shared" si="2"/>
        <v>89.28571428571429</v>
      </c>
      <c r="M10" s="3">
        <v>432</v>
      </c>
      <c r="N10" s="3">
        <v>203</v>
      </c>
      <c r="O10" s="36">
        <f>N10*100/M10</f>
        <v>46.99074074074074</v>
      </c>
      <c r="P10" s="3">
        <v>80</v>
      </c>
      <c r="Q10" s="3">
        <v>80</v>
      </c>
      <c r="R10" s="36">
        <f>Q10*100/P10</f>
        <v>100</v>
      </c>
      <c r="S10" s="3">
        <v>22</v>
      </c>
      <c r="T10" s="3"/>
      <c r="U10" s="36">
        <f>T10*100/S10</f>
        <v>0</v>
      </c>
      <c r="AH10" s="86"/>
    </row>
    <row r="11" spans="1:34" s="20" customFormat="1" ht="24.75" customHeight="1">
      <c r="A11" s="3">
        <v>6</v>
      </c>
      <c r="B11" s="38" t="s">
        <v>73</v>
      </c>
      <c r="C11" s="3">
        <v>317</v>
      </c>
      <c r="D11" s="3">
        <v>283</v>
      </c>
      <c r="E11" s="36">
        <f t="shared" si="0"/>
        <v>89.27444794952682</v>
      </c>
      <c r="F11" s="120">
        <v>26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199</v>
      </c>
      <c r="D12" s="3"/>
      <c r="E12" s="36"/>
      <c r="F12" s="3"/>
      <c r="G12" s="3">
        <v>60</v>
      </c>
      <c r="H12" s="3"/>
      <c r="I12" s="36"/>
      <c r="J12" s="3">
        <v>60</v>
      </c>
      <c r="K12" s="3"/>
      <c r="L12" s="36"/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87</v>
      </c>
      <c r="C13" s="3"/>
      <c r="D13" s="3">
        <v>240</v>
      </c>
      <c r="E13" s="36"/>
      <c r="F13" s="3">
        <v>5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72</v>
      </c>
      <c r="C14" s="3">
        <v>217</v>
      </c>
      <c r="D14" s="3">
        <v>274</v>
      </c>
      <c r="E14" s="36">
        <f t="shared" si="0"/>
        <v>126.26728110599079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251</v>
      </c>
      <c r="D15" s="3">
        <v>256</v>
      </c>
      <c r="E15" s="36">
        <f t="shared" si="0"/>
        <v>101.99203187250995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99</v>
      </c>
      <c r="D16" s="3">
        <v>45</v>
      </c>
      <c r="E16" s="36">
        <f t="shared" si="0"/>
        <v>45.45454545454545</v>
      </c>
      <c r="F16" s="3">
        <v>1</v>
      </c>
      <c r="G16" s="3">
        <v>42</v>
      </c>
      <c r="H16" s="3">
        <v>42</v>
      </c>
      <c r="I16" s="36">
        <f t="shared" si="1"/>
        <v>100</v>
      </c>
      <c r="J16" s="3">
        <v>42</v>
      </c>
      <c r="K16" s="3">
        <v>42</v>
      </c>
      <c r="L16" s="36">
        <f t="shared" si="2"/>
        <v>100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9207</v>
      </c>
      <c r="N17" s="3">
        <v>9744</v>
      </c>
      <c r="O17" s="36">
        <f>N17*100/M17</f>
        <v>105.83251873574454</v>
      </c>
      <c r="P17" s="3">
        <v>240</v>
      </c>
      <c r="Q17" s="3">
        <v>240</v>
      </c>
      <c r="R17" s="36">
        <f>Q17*100/P17</f>
        <v>100</v>
      </c>
      <c r="S17" s="3">
        <v>508</v>
      </c>
      <c r="T17" s="3">
        <v>405</v>
      </c>
      <c r="U17" s="36">
        <f>T17*100/S17</f>
        <v>79.7244094488189</v>
      </c>
      <c r="AH17" s="86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55" t="s">
        <v>103</v>
      </c>
      <c r="B19" s="156"/>
      <c r="C19" s="3">
        <f>SUM(C6:C18)</f>
        <v>3073</v>
      </c>
      <c r="D19" s="3">
        <f>SUM(D6:D18)</f>
        <v>2947</v>
      </c>
      <c r="E19" s="36">
        <f>D19*100/C19</f>
        <v>95.8997722095672</v>
      </c>
      <c r="F19" s="3">
        <f>SUM(F6:F18)</f>
        <v>138</v>
      </c>
      <c r="G19" s="3">
        <f>SUM(G6:G18)</f>
        <v>1298</v>
      </c>
      <c r="H19" s="3">
        <f>SUM(H6:H18)</f>
        <v>1248</v>
      </c>
      <c r="I19" s="36">
        <f>H19*100/G19</f>
        <v>96.14791987673344</v>
      </c>
      <c r="J19" s="3">
        <f>SUM(J6:J18)</f>
        <v>1298</v>
      </c>
      <c r="K19" s="3">
        <f>SUM(K6:K18)</f>
        <v>1273</v>
      </c>
      <c r="L19" s="36">
        <f t="shared" si="2"/>
        <v>98.07395993836671</v>
      </c>
      <c r="M19" s="3">
        <f>SUM(M9:M18)</f>
        <v>10157</v>
      </c>
      <c r="N19" s="3">
        <f>SUM(N9:N18)</f>
        <v>10440</v>
      </c>
      <c r="O19" s="36">
        <f>N19*100/M19</f>
        <v>102.78625578418824</v>
      </c>
      <c r="P19" s="3">
        <f>SUM(P9:P18)</f>
        <v>340</v>
      </c>
      <c r="Q19" s="3">
        <f>SUM(Q9:Q18)</f>
        <v>348</v>
      </c>
      <c r="R19" s="36">
        <f>Q19*100/P19</f>
        <v>102.3529411764706</v>
      </c>
      <c r="S19" s="3">
        <f>SUM(S9:S18)</f>
        <v>555</v>
      </c>
      <c r="T19" s="36">
        <f>SUM(T9:T18)</f>
        <v>444</v>
      </c>
      <c r="U19" s="36">
        <f>T19*100/S19</f>
        <v>80</v>
      </c>
    </row>
    <row r="20" spans="1:34" s="20" customFormat="1" ht="24.75" customHeight="1">
      <c r="A20" s="3">
        <v>1</v>
      </c>
      <c r="B20" s="32" t="s">
        <v>82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105</v>
      </c>
      <c r="N20" s="3">
        <v>102</v>
      </c>
      <c r="O20" s="36">
        <f>N20*100/M20</f>
        <v>97.14285714285714</v>
      </c>
      <c r="P20" s="3">
        <v>10</v>
      </c>
      <c r="Q20" s="3">
        <v>10</v>
      </c>
      <c r="R20" s="36">
        <f>Q20*100/P20</f>
        <v>100</v>
      </c>
      <c r="S20" s="3">
        <v>2</v>
      </c>
      <c r="T20" s="3"/>
      <c r="U20" s="36">
        <f>T20*100/S20</f>
        <v>0</v>
      </c>
      <c r="AH20" s="86"/>
    </row>
    <row r="21" spans="1:34" s="20" customFormat="1" ht="24.75" customHeight="1">
      <c r="A21" s="3">
        <v>2</v>
      </c>
      <c r="B21" s="32" t="s">
        <v>88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155" t="s">
        <v>90</v>
      </c>
      <c r="B22" s="156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105</v>
      </c>
      <c r="N22" s="3">
        <f>SUM(N20:N21)</f>
        <v>102</v>
      </c>
      <c r="O22" s="36">
        <f>N22*100/M22</f>
        <v>97.14285714285714</v>
      </c>
      <c r="P22" s="3">
        <f>SUM(P20:P21)</f>
        <v>10</v>
      </c>
      <c r="Q22" s="3">
        <f>SUM(Q20:Q21)</f>
        <v>10</v>
      </c>
      <c r="R22" s="36">
        <f>Q22*100/P22</f>
        <v>100</v>
      </c>
      <c r="S22" s="3">
        <f>SUM(S20:S21)</f>
        <v>2</v>
      </c>
      <c r="T22" s="3">
        <f>SUM(T20:T21)</f>
        <v>0</v>
      </c>
      <c r="U22" s="36">
        <f>T22*100/S22</f>
        <v>0</v>
      </c>
      <c r="AH22" s="86"/>
    </row>
    <row r="23" spans="1:34" s="20" customFormat="1" ht="36" customHeight="1">
      <c r="A23" s="157" t="s">
        <v>91</v>
      </c>
      <c r="B23" s="158"/>
      <c r="C23" s="3">
        <f>C19+C22</f>
        <v>3073</v>
      </c>
      <c r="D23" s="3">
        <f>D19+D22</f>
        <v>2947</v>
      </c>
      <c r="E23" s="36">
        <f>D23*100/C23</f>
        <v>95.8997722095672</v>
      </c>
      <c r="F23" s="3">
        <f>F19+F22</f>
        <v>138</v>
      </c>
      <c r="G23" s="3">
        <f>G19+G22</f>
        <v>1298</v>
      </c>
      <c r="H23" s="3">
        <f>H19+H22</f>
        <v>1248</v>
      </c>
      <c r="I23" s="36">
        <f>H23*100/G23</f>
        <v>96.14791987673344</v>
      </c>
      <c r="J23" s="3">
        <f>J19+J22</f>
        <v>1298</v>
      </c>
      <c r="K23" s="3">
        <f>K19+K22</f>
        <v>1273</v>
      </c>
      <c r="L23" s="36">
        <f t="shared" si="2"/>
        <v>98.07395993836671</v>
      </c>
      <c r="M23" s="3">
        <f>M19+M22</f>
        <v>10262</v>
      </c>
      <c r="N23" s="3">
        <f>N19+N22</f>
        <v>10542</v>
      </c>
      <c r="O23" s="36">
        <f>N23*100/M23</f>
        <v>102.72851296043656</v>
      </c>
      <c r="P23" s="3">
        <f>P19+P22</f>
        <v>350</v>
      </c>
      <c r="Q23" s="3">
        <f>Q19+Q22</f>
        <v>358</v>
      </c>
      <c r="R23" s="36">
        <f>Q23*100/P23</f>
        <v>102.28571428571429</v>
      </c>
      <c r="S23" s="3">
        <f>S19+S22</f>
        <v>557</v>
      </c>
      <c r="T23" s="3">
        <f>T19+T22</f>
        <v>444</v>
      </c>
      <c r="U23" s="36">
        <f>T23*100/S23</f>
        <v>79.71274685816876</v>
      </c>
      <c r="AH23" s="86"/>
    </row>
  </sheetData>
  <sheetProtection/>
  <mergeCells count="19">
    <mergeCell ref="F3:F5"/>
    <mergeCell ref="C3:E3"/>
    <mergeCell ref="A19:B19"/>
    <mergeCell ref="J3:L3"/>
    <mergeCell ref="J4:J5"/>
    <mergeCell ref="K4:K5"/>
    <mergeCell ref="M3:U3"/>
    <mergeCell ref="N4:N5"/>
    <mergeCell ref="R4:R5"/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view="pageBreakPreview" zoomScale="75" zoomScaleNormal="75" zoomScaleSheetLayoutView="75" zoomScalePageLayoutView="0" workbookViewId="0" topLeftCell="A1">
      <selection activeCell="P12" sqref="P12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110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9" t="s">
        <v>106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2.75">
      <c r="A4" s="147" t="s">
        <v>2</v>
      </c>
      <c r="B4" s="149" t="s">
        <v>3</v>
      </c>
      <c r="C4" s="153" t="s">
        <v>79</v>
      </c>
      <c r="D4" s="182"/>
      <c r="E4" s="178"/>
      <c r="F4" s="176" t="s">
        <v>64</v>
      </c>
      <c r="G4" s="190"/>
      <c r="H4" s="176" t="s">
        <v>78</v>
      </c>
      <c r="I4" s="177"/>
      <c r="J4" s="178"/>
      <c r="K4" s="176" t="s">
        <v>76</v>
      </c>
      <c r="L4" s="190"/>
      <c r="M4" s="176" t="s">
        <v>77</v>
      </c>
      <c r="N4" s="190"/>
    </row>
    <row r="5" spans="1:14" ht="31.5" customHeight="1">
      <c r="A5" s="170"/>
      <c r="B5" s="150"/>
      <c r="C5" s="183"/>
      <c r="D5" s="184"/>
      <c r="E5" s="185"/>
      <c r="F5" s="179"/>
      <c r="G5" s="191"/>
      <c r="H5" s="179"/>
      <c r="I5" s="180"/>
      <c r="J5" s="181"/>
      <c r="K5" s="179"/>
      <c r="L5" s="191"/>
      <c r="M5" s="179"/>
      <c r="N5" s="191"/>
    </row>
    <row r="6" spans="1:14" ht="30">
      <c r="A6" s="148"/>
      <c r="B6" s="151"/>
      <c r="C6" s="3">
        <v>2011</v>
      </c>
      <c r="D6" s="19">
        <v>2012</v>
      </c>
      <c r="E6" s="95" t="s">
        <v>109</v>
      </c>
      <c r="F6" s="3">
        <v>2011</v>
      </c>
      <c r="G6" s="19">
        <v>2012</v>
      </c>
      <c r="H6" s="3">
        <v>2011</v>
      </c>
      <c r="I6" s="19">
        <v>2012</v>
      </c>
      <c r="J6" s="95" t="s">
        <v>109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254</v>
      </c>
      <c r="D7" s="31">
        <v>378</v>
      </c>
      <c r="E7" s="31">
        <f aca="true" t="shared" si="0" ref="E7:E13">D7-C7</f>
        <v>124</v>
      </c>
      <c r="F7" s="31">
        <v>146</v>
      </c>
      <c r="G7" s="31">
        <v>150</v>
      </c>
      <c r="H7" s="75">
        <f>F7*100/20</f>
        <v>730</v>
      </c>
      <c r="I7" s="75">
        <f>G7*100/28</f>
        <v>535.7142857142857</v>
      </c>
      <c r="J7" s="74">
        <f aca="true" t="shared" si="1" ref="J7:J13">I7-H7</f>
        <v>-194.28571428571433</v>
      </c>
      <c r="K7" s="31">
        <v>46</v>
      </c>
      <c r="L7" s="31">
        <v>17</v>
      </c>
      <c r="M7" s="93">
        <f aca="true" t="shared" si="2" ref="M7:M13">G7/L7</f>
        <v>8.823529411764707</v>
      </c>
      <c r="N7" s="93">
        <f aca="true" t="shared" si="3" ref="N7:N13">(D7-G7)/(K7-L7)</f>
        <v>7.862068965517241</v>
      </c>
    </row>
    <row r="8" spans="1:15" ht="16.5" customHeight="1">
      <c r="A8" s="31">
        <v>2</v>
      </c>
      <c r="B8" s="31" t="s">
        <v>59</v>
      </c>
      <c r="C8" s="31">
        <v>144</v>
      </c>
      <c r="D8" s="31">
        <v>104</v>
      </c>
      <c r="E8" s="31">
        <f t="shared" si="0"/>
        <v>-40</v>
      </c>
      <c r="F8" s="31">
        <v>132</v>
      </c>
      <c r="G8" s="31">
        <v>86</v>
      </c>
      <c r="H8" s="75">
        <f>F8*100/80</f>
        <v>165</v>
      </c>
      <c r="I8" s="75">
        <f>G8*100/80</f>
        <v>107.5</v>
      </c>
      <c r="J8" s="74">
        <f t="shared" si="1"/>
        <v>-57.5</v>
      </c>
      <c r="K8" s="32">
        <v>16</v>
      </c>
      <c r="L8" s="32">
        <v>13</v>
      </c>
      <c r="M8" s="93">
        <f t="shared" si="2"/>
        <v>6.615384615384615</v>
      </c>
      <c r="N8" s="93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3707</v>
      </c>
      <c r="D9" s="31">
        <v>3803</v>
      </c>
      <c r="E9" s="31">
        <f t="shared" si="0"/>
        <v>96</v>
      </c>
      <c r="F9" s="31">
        <v>2292</v>
      </c>
      <c r="G9" s="31">
        <v>2314</v>
      </c>
      <c r="H9" s="75">
        <f>F9*100/226</f>
        <v>1014.1592920353983</v>
      </c>
      <c r="I9" s="75">
        <f>G9*100/240</f>
        <v>964.1666666666666</v>
      </c>
      <c r="J9" s="74">
        <f t="shared" si="1"/>
        <v>-49.99262536873164</v>
      </c>
      <c r="K9" s="32">
        <v>434</v>
      </c>
      <c r="L9" s="32">
        <v>230</v>
      </c>
      <c r="M9" s="117">
        <f t="shared" si="2"/>
        <v>10.060869565217391</v>
      </c>
      <c r="N9" s="117">
        <f t="shared" si="3"/>
        <v>7.299019607843137</v>
      </c>
    </row>
    <row r="10" spans="1:14" ht="42.75" customHeight="1">
      <c r="A10" s="187" t="s">
        <v>101</v>
      </c>
      <c r="B10" s="188"/>
      <c r="C10" s="31">
        <f>SUM(C7:C9)</f>
        <v>4105</v>
      </c>
      <c r="D10" s="31">
        <f>SUM(D7:D9)</f>
        <v>4285</v>
      </c>
      <c r="E10" s="31">
        <f t="shared" si="0"/>
        <v>180</v>
      </c>
      <c r="F10" s="31">
        <f>SUM(F7:F9)</f>
        <v>2570</v>
      </c>
      <c r="G10" s="31">
        <f>SUM(G7:G9)</f>
        <v>2550</v>
      </c>
      <c r="H10" s="75">
        <f>F10*100/326</f>
        <v>788.3435582822086</v>
      </c>
      <c r="I10" s="75">
        <f>G10*100/348</f>
        <v>732.7586206896551</v>
      </c>
      <c r="J10" s="74">
        <f t="shared" si="1"/>
        <v>-55.5849375925535</v>
      </c>
      <c r="K10" s="74">
        <f>SUM(K7:K9)</f>
        <v>496</v>
      </c>
      <c r="L10" s="74">
        <f>SUM(L7:L9)</f>
        <v>260</v>
      </c>
      <c r="M10" s="93">
        <f t="shared" si="2"/>
        <v>9.807692307692308</v>
      </c>
      <c r="N10" s="93">
        <f t="shared" si="3"/>
        <v>7.351694915254237</v>
      </c>
    </row>
    <row r="11" spans="1:14" ht="15">
      <c r="A11" s="31">
        <v>1</v>
      </c>
      <c r="B11" s="32" t="s">
        <v>82</v>
      </c>
      <c r="C11" s="31">
        <v>15</v>
      </c>
      <c r="D11" s="31">
        <v>8</v>
      </c>
      <c r="E11" s="31">
        <f t="shared" si="0"/>
        <v>-7</v>
      </c>
      <c r="F11" s="2">
        <v>15</v>
      </c>
      <c r="G11" s="2">
        <v>8</v>
      </c>
      <c r="H11" s="75">
        <f>F11*100/11</f>
        <v>136.36363636363637</v>
      </c>
      <c r="I11" s="75">
        <f>G11*100/10</f>
        <v>80</v>
      </c>
      <c r="J11" s="74">
        <f t="shared" si="1"/>
        <v>-56.363636363636374</v>
      </c>
      <c r="K11" s="74">
        <v>1</v>
      </c>
      <c r="L11" s="2">
        <v>1</v>
      </c>
      <c r="M11" s="93">
        <f t="shared" si="2"/>
        <v>8</v>
      </c>
      <c r="N11" s="93"/>
    </row>
    <row r="12" spans="1:14" ht="25.5" customHeight="1">
      <c r="A12" s="155" t="s">
        <v>90</v>
      </c>
      <c r="B12" s="156"/>
      <c r="C12" s="31">
        <f>SUM(C11)</f>
        <v>15</v>
      </c>
      <c r="D12" s="31">
        <f>SUM(D11)</f>
        <v>8</v>
      </c>
      <c r="E12" s="31">
        <f t="shared" si="0"/>
        <v>-7</v>
      </c>
      <c r="F12" s="31">
        <f>SUM(F11)</f>
        <v>15</v>
      </c>
      <c r="G12" s="31">
        <f>SUM(G11)</f>
        <v>8</v>
      </c>
      <c r="H12" s="75">
        <f>F12*100/11</f>
        <v>136.36363636363637</v>
      </c>
      <c r="I12" s="75">
        <f>G12*100/10</f>
        <v>80</v>
      </c>
      <c r="J12" s="74">
        <f t="shared" si="1"/>
        <v>-56.363636363636374</v>
      </c>
      <c r="K12" s="31">
        <f>SUM(K11)</f>
        <v>1</v>
      </c>
      <c r="L12" s="31">
        <f>SUM(L11)</f>
        <v>1</v>
      </c>
      <c r="M12" s="93">
        <f t="shared" si="2"/>
        <v>8</v>
      </c>
      <c r="N12" s="93"/>
    </row>
    <row r="13" spans="1:14" ht="28.5" customHeight="1">
      <c r="A13" s="186" t="s">
        <v>91</v>
      </c>
      <c r="B13" s="186"/>
      <c r="C13" s="31">
        <f>C10+C12</f>
        <v>4120</v>
      </c>
      <c r="D13" s="31">
        <f>SUM(D10:D11)</f>
        <v>4293</v>
      </c>
      <c r="E13" s="31">
        <f t="shared" si="0"/>
        <v>173</v>
      </c>
      <c r="F13" s="31">
        <f>F10+F12</f>
        <v>2585</v>
      </c>
      <c r="G13" s="31">
        <f>SUM(G10:G11)</f>
        <v>2558</v>
      </c>
      <c r="H13" s="75">
        <f>F13*100/337</f>
        <v>767.0623145400593</v>
      </c>
      <c r="I13" s="75">
        <f>G13*100/358</f>
        <v>714.5251396648044</v>
      </c>
      <c r="J13" s="74">
        <f t="shared" si="1"/>
        <v>-52.53717487525489</v>
      </c>
      <c r="K13" s="31">
        <f>K10+K12</f>
        <v>497</v>
      </c>
      <c r="L13" s="31">
        <f>SUM(L10:L11)</f>
        <v>261</v>
      </c>
      <c r="M13" s="93">
        <f t="shared" si="2"/>
        <v>9.800766283524904</v>
      </c>
      <c r="N13" s="93">
        <f t="shared" si="3"/>
        <v>7.351694915254237</v>
      </c>
    </row>
    <row r="14" spans="2:17" ht="12.7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5">
      <c r="B15" s="72"/>
      <c r="C15" s="112"/>
      <c r="D15" s="112"/>
      <c r="E15" s="112"/>
      <c r="F15" s="112"/>
      <c r="G15" s="112"/>
      <c r="H15" s="113"/>
      <c r="I15" s="114"/>
      <c r="J15" s="113"/>
      <c r="K15" s="112"/>
      <c r="L15" s="112"/>
      <c r="M15" s="115"/>
      <c r="N15" s="115"/>
      <c r="O15" s="72"/>
      <c r="P15" s="72"/>
      <c r="Q15" s="72"/>
    </row>
    <row r="16" spans="2:17" ht="15">
      <c r="B16" s="72"/>
      <c r="C16" s="112"/>
      <c r="D16" s="112"/>
      <c r="E16" s="112"/>
      <c r="F16" s="112"/>
      <c r="G16" s="112"/>
      <c r="H16" s="114"/>
      <c r="I16" s="114"/>
      <c r="J16" s="113"/>
      <c r="K16" s="116"/>
      <c r="L16" s="116"/>
      <c r="M16" s="115"/>
      <c r="N16" s="115"/>
      <c r="O16" s="72"/>
      <c r="P16" s="72"/>
      <c r="Q16" s="72"/>
    </row>
    <row r="17" spans="2:17" ht="15">
      <c r="B17" s="72"/>
      <c r="C17" s="112"/>
      <c r="D17" s="112"/>
      <c r="E17" s="112"/>
      <c r="F17" s="112"/>
      <c r="G17" s="112"/>
      <c r="H17" s="113"/>
      <c r="I17" s="114"/>
      <c r="J17" s="113"/>
      <c r="K17" s="116"/>
      <c r="L17" s="116"/>
      <c r="M17" s="115"/>
      <c r="N17" s="115"/>
      <c r="O17" s="72"/>
      <c r="P17" s="72"/>
      <c r="Q17" s="72"/>
    </row>
    <row r="18" spans="2:17" ht="15">
      <c r="B18" s="72"/>
      <c r="C18" s="112"/>
      <c r="D18" s="112"/>
      <c r="E18" s="112"/>
      <c r="F18" s="112"/>
      <c r="G18" s="112"/>
      <c r="H18" s="113"/>
      <c r="I18" s="114"/>
      <c r="J18" s="113"/>
      <c r="K18" s="116"/>
      <c r="L18" s="116"/>
      <c r="M18" s="115"/>
      <c r="N18" s="115"/>
      <c r="O18" s="72"/>
      <c r="P18" s="72"/>
      <c r="Q18" s="72"/>
    </row>
    <row r="19" spans="2:17" ht="15">
      <c r="B19" s="72"/>
      <c r="C19" s="112"/>
      <c r="D19" s="112"/>
      <c r="E19" s="112"/>
      <c r="F19" s="112"/>
      <c r="G19" s="112"/>
      <c r="H19" s="113"/>
      <c r="I19" s="114"/>
      <c r="J19" s="113"/>
      <c r="K19" s="116"/>
      <c r="L19" s="116"/>
      <c r="M19" s="115"/>
      <c r="N19" s="115"/>
      <c r="O19" s="72"/>
      <c r="P19" s="72"/>
      <c r="Q19" s="72"/>
    </row>
    <row r="20" spans="2:17" ht="15">
      <c r="B20" s="72"/>
      <c r="C20" s="112"/>
      <c r="D20" s="112"/>
      <c r="E20" s="112"/>
      <c r="F20" s="112"/>
      <c r="G20" s="112"/>
      <c r="H20" s="113"/>
      <c r="I20" s="114"/>
      <c r="J20" s="113"/>
      <c r="K20" s="114"/>
      <c r="L20" s="114"/>
      <c r="M20" s="115"/>
      <c r="N20" s="115"/>
      <c r="O20" s="72"/>
      <c r="P20" s="72"/>
      <c r="Q20" s="72"/>
    </row>
    <row r="21" spans="2:17" ht="15">
      <c r="B21" s="72"/>
      <c r="C21" s="112"/>
      <c r="D21" s="112"/>
      <c r="E21" s="112"/>
      <c r="F21" s="112"/>
      <c r="G21" s="112"/>
      <c r="H21" s="113"/>
      <c r="I21" s="114"/>
      <c r="J21" s="113"/>
      <c r="K21" s="116"/>
      <c r="L21" s="116"/>
      <c r="M21" s="115"/>
      <c r="N21" s="115"/>
      <c r="O21" s="72"/>
      <c r="P21" s="72"/>
      <c r="Q21" s="72"/>
    </row>
    <row r="22" spans="2:17" ht="15">
      <c r="B22" s="72"/>
      <c r="C22" s="112"/>
      <c r="D22" s="112"/>
      <c r="E22" s="112"/>
      <c r="F22" s="112"/>
      <c r="G22" s="112"/>
      <c r="H22" s="114"/>
      <c r="I22" s="114"/>
      <c r="J22" s="113"/>
      <c r="K22" s="116"/>
      <c r="L22" s="116"/>
      <c r="M22" s="115"/>
      <c r="N22" s="115"/>
      <c r="O22" s="72"/>
      <c r="P22" s="72"/>
      <c r="Q22" s="72"/>
    </row>
    <row r="23" spans="2:17" ht="12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</sheetData>
  <sheetProtection/>
  <mergeCells count="11">
    <mergeCell ref="A3:N3"/>
    <mergeCell ref="F4:G5"/>
    <mergeCell ref="K4:L5"/>
    <mergeCell ref="M4:N5"/>
    <mergeCell ref="B4:B6"/>
    <mergeCell ref="A4:A6"/>
    <mergeCell ref="H4:J5"/>
    <mergeCell ref="C4:E5"/>
    <mergeCell ref="A12:B12"/>
    <mergeCell ref="A13:B13"/>
    <mergeCell ref="A10:B10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N15" sqref="N15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30" t="s">
        <v>115</v>
      </c>
      <c r="D1" s="130"/>
      <c r="E1" s="130"/>
      <c r="F1" s="130"/>
      <c r="G1" s="130"/>
      <c r="H1" s="130"/>
      <c r="I1" s="130"/>
      <c r="J1" s="130"/>
      <c r="K1" s="130"/>
      <c r="L1" s="20"/>
      <c r="M1" s="20"/>
      <c r="N1" s="20"/>
    </row>
    <row r="2" spans="1:14" ht="15">
      <c r="A2" s="147" t="s">
        <v>2</v>
      </c>
      <c r="B2" s="147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0"/>
      <c r="B3" s="170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8"/>
      <c r="B4" s="148"/>
      <c r="C4" s="29"/>
      <c r="D4" s="29"/>
      <c r="E4" s="45" t="s">
        <v>105</v>
      </c>
      <c r="F4" s="29"/>
      <c r="G4" s="29"/>
      <c r="H4" s="45" t="s">
        <v>107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75</v>
      </c>
      <c r="D5" s="12">
        <v>91</v>
      </c>
      <c r="E5" s="16">
        <f aca="true" t="shared" si="0" ref="E5:E15">D5-C5</f>
        <v>16</v>
      </c>
      <c r="F5" s="12">
        <v>6</v>
      </c>
      <c r="G5" s="12">
        <v>16</v>
      </c>
      <c r="H5" s="16">
        <f aca="true" t="shared" si="1" ref="H5:H15">G5-F5</f>
        <v>10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47</v>
      </c>
      <c r="D6" s="12">
        <v>47</v>
      </c>
      <c r="E6" s="16">
        <f t="shared" si="0"/>
        <v>0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23</v>
      </c>
      <c r="D7" s="12">
        <v>25</v>
      </c>
      <c r="E7" s="16">
        <f t="shared" si="0"/>
        <v>2</v>
      </c>
      <c r="F7" s="12">
        <v>2</v>
      </c>
      <c r="G7" s="12"/>
      <c r="H7" s="16">
        <f t="shared" si="1"/>
        <v>-2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110</v>
      </c>
      <c r="D8" s="12">
        <v>205</v>
      </c>
      <c r="E8" s="16">
        <f t="shared" si="0"/>
        <v>95</v>
      </c>
      <c r="F8" s="12"/>
      <c r="G8" s="12"/>
      <c r="H8" s="16">
        <f t="shared" si="1"/>
        <v>0</v>
      </c>
      <c r="I8" s="16">
        <v>43</v>
      </c>
      <c r="J8" s="16">
        <v>43</v>
      </c>
      <c r="K8" s="12">
        <f>J8-I8</f>
        <v>0</v>
      </c>
      <c r="L8" s="12">
        <v>18</v>
      </c>
      <c r="M8" s="12">
        <v>29</v>
      </c>
      <c r="N8" s="12">
        <f>M8-L8</f>
        <v>11</v>
      </c>
    </row>
    <row r="9" spans="1:14" ht="16.5" customHeight="1">
      <c r="A9" s="31">
        <v>5</v>
      </c>
      <c r="B9" s="31" t="s">
        <v>59</v>
      </c>
      <c r="C9" s="12">
        <v>90</v>
      </c>
      <c r="D9" s="12">
        <v>68</v>
      </c>
      <c r="E9" s="16">
        <f t="shared" si="0"/>
        <v>-22</v>
      </c>
      <c r="F9" s="12"/>
      <c r="G9" s="12"/>
      <c r="H9" s="16">
        <f t="shared" si="1"/>
        <v>0</v>
      </c>
      <c r="I9" s="12">
        <v>53</v>
      </c>
      <c r="J9" s="12">
        <v>52</v>
      </c>
      <c r="K9" s="12">
        <f>J9-I9</f>
        <v>-1</v>
      </c>
      <c r="L9" s="12">
        <v>3</v>
      </c>
      <c r="M9" s="16">
        <v>12</v>
      </c>
      <c r="N9" s="12">
        <f>M9-L9</f>
        <v>9</v>
      </c>
    </row>
    <row r="10" spans="1:14" ht="16.5" customHeight="1">
      <c r="A10" s="31">
        <v>6</v>
      </c>
      <c r="B10" s="32" t="s">
        <v>73</v>
      </c>
      <c r="C10" s="12">
        <v>21</v>
      </c>
      <c r="D10" s="12">
        <v>26</v>
      </c>
      <c r="E10" s="16">
        <f t="shared" si="0"/>
        <v>5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32</v>
      </c>
      <c r="D11" s="12"/>
      <c r="E11" s="16">
        <f t="shared" si="0"/>
        <v>-32</v>
      </c>
      <c r="F11" s="12">
        <v>2</v>
      </c>
      <c r="G11" s="12"/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52</v>
      </c>
      <c r="E12" s="16">
        <f t="shared" si="0"/>
        <v>52</v>
      </c>
      <c r="F12" s="12"/>
      <c r="G12" s="12">
        <v>7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44</v>
      </c>
      <c r="D13" s="12">
        <v>89</v>
      </c>
      <c r="E13" s="16">
        <f t="shared" si="0"/>
        <v>45</v>
      </c>
      <c r="F13" s="12"/>
      <c r="G13" s="12">
        <v>30</v>
      </c>
      <c r="H13" s="16">
        <f t="shared" si="1"/>
        <v>30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40</v>
      </c>
      <c r="D14" s="12">
        <v>24</v>
      </c>
      <c r="E14" s="16">
        <f t="shared" si="0"/>
        <v>-16</v>
      </c>
      <c r="F14" s="12">
        <v>10</v>
      </c>
      <c r="G14" s="12"/>
      <c r="H14" s="16">
        <f t="shared" si="1"/>
        <v>-10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23</v>
      </c>
      <c r="D15" s="12">
        <v>13</v>
      </c>
      <c r="E15" s="16">
        <f t="shared" si="0"/>
        <v>-10</v>
      </c>
      <c r="F15" s="12"/>
      <c r="G15" s="12"/>
      <c r="H15" s="16">
        <f t="shared" si="1"/>
        <v>0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879</v>
      </c>
      <c r="J16" s="12">
        <v>731</v>
      </c>
      <c r="K16" s="12">
        <f>J16-I16</f>
        <v>-148</v>
      </c>
      <c r="L16" s="12">
        <v>407</v>
      </c>
      <c r="M16" s="12">
        <v>294</v>
      </c>
      <c r="N16" s="12">
        <f>M16-L16</f>
        <v>-113</v>
      </c>
    </row>
    <row r="17" spans="1:14" ht="60.75" customHeight="1">
      <c r="A17" s="155" t="s">
        <v>100</v>
      </c>
      <c r="B17" s="156"/>
      <c r="C17" s="12">
        <f>SUM(C5:C15)</f>
        <v>505</v>
      </c>
      <c r="D17" s="12">
        <f>SUM(D5:D16)</f>
        <v>640</v>
      </c>
      <c r="E17" s="12">
        <f>D17-C17</f>
        <v>135</v>
      </c>
      <c r="F17" s="12">
        <f>SUM(F5:F16)</f>
        <v>29</v>
      </c>
      <c r="G17" s="12">
        <f>SUM(G5:G16)</f>
        <v>54</v>
      </c>
      <c r="H17" s="12">
        <f>G17-F17</f>
        <v>25</v>
      </c>
      <c r="I17" s="12">
        <f>SUM(I8:I16)</f>
        <v>975</v>
      </c>
      <c r="J17" s="12">
        <f>SUM(J8:J16)</f>
        <v>826</v>
      </c>
      <c r="K17" s="12">
        <f>J17-I17</f>
        <v>-149</v>
      </c>
      <c r="L17" s="12">
        <f>SUM(L8:L16)</f>
        <v>428</v>
      </c>
      <c r="M17" s="12">
        <f>SUM(M8:M16)</f>
        <v>335</v>
      </c>
      <c r="N17" s="12">
        <f>M17-L17</f>
        <v>-93</v>
      </c>
    </row>
    <row r="18" spans="1:14" ht="16.5" customHeight="1">
      <c r="A18" s="31">
        <v>1</v>
      </c>
      <c r="B18" s="32" t="s">
        <v>82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/>
      <c r="J18" s="12"/>
      <c r="K18" s="12">
        <f>J18-I18</f>
        <v>0</v>
      </c>
      <c r="L18" s="12"/>
      <c r="M18" s="12"/>
      <c r="N18" s="12">
        <f>M18-L18</f>
        <v>0</v>
      </c>
    </row>
    <row r="19" spans="1:14" ht="18.75" customHeight="1">
      <c r="A19" s="155" t="s">
        <v>90</v>
      </c>
      <c r="B19" s="156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/>
      <c r="J19" s="12"/>
      <c r="K19" s="12">
        <f>J19-I19</f>
        <v>0</v>
      </c>
      <c r="L19" s="12"/>
      <c r="M19" s="12"/>
      <c r="N19" s="12">
        <f>M19-L19</f>
        <v>0</v>
      </c>
    </row>
    <row r="20" spans="1:14" ht="39" customHeight="1">
      <c r="A20" s="157" t="s">
        <v>91</v>
      </c>
      <c r="B20" s="158"/>
      <c r="C20" s="12">
        <f>C17+C19</f>
        <v>505</v>
      </c>
      <c r="D20" s="12">
        <f>D17+D19</f>
        <v>640</v>
      </c>
      <c r="E20" s="12">
        <f>D20-C20</f>
        <v>135</v>
      </c>
      <c r="F20" s="12">
        <f>F17+F19</f>
        <v>29</v>
      </c>
      <c r="G20" s="12">
        <f>G17+G19</f>
        <v>54</v>
      </c>
      <c r="H20" s="12">
        <f>G20-F20</f>
        <v>25</v>
      </c>
      <c r="I20" s="12">
        <f>I17+I19</f>
        <v>975</v>
      </c>
      <c r="J20" s="12">
        <f>J17+J19</f>
        <v>826</v>
      </c>
      <c r="K20" s="12">
        <f>J20-I20</f>
        <v>-149</v>
      </c>
      <c r="L20" s="12">
        <f>L17+L19</f>
        <v>428</v>
      </c>
      <c r="M20" s="12">
        <f>M17+M19</f>
        <v>335</v>
      </c>
      <c r="N20" s="12">
        <f>M20-L20</f>
        <v>-93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M17" sqref="M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2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2" t="s">
        <v>2</v>
      </c>
      <c r="B3" s="152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5"/>
      <c r="B4" s="195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5"/>
      <c r="B5" s="195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85</v>
      </c>
      <c r="D6" s="36">
        <v>43</v>
      </c>
      <c r="E6" s="36">
        <f aca="true" t="shared" si="0" ref="E6:E17">D6*100/C6</f>
        <v>50.588235294117645</v>
      </c>
      <c r="F6" s="36">
        <v>73</v>
      </c>
      <c r="G6" s="36">
        <v>40</v>
      </c>
      <c r="H6" s="36">
        <f aca="true" t="shared" si="1" ref="H6:H17">G6-F6</f>
        <v>-33</v>
      </c>
      <c r="I6" s="36">
        <f>F6*100/180</f>
        <v>40.55555555555556</v>
      </c>
      <c r="J6" s="36">
        <f>G6*100/180</f>
        <v>22.22222222222222</v>
      </c>
      <c r="K6" s="36">
        <f aca="true" t="shared" si="2" ref="K6:K17">J6-I6</f>
        <v>-18.333333333333336</v>
      </c>
      <c r="L6" s="36">
        <f>(C6-F6)*100/180</f>
        <v>6.666666666666667</v>
      </c>
      <c r="M6" s="36">
        <f>(D6-G6)*100/180</f>
        <v>1.6666666666666667</v>
      </c>
      <c r="N6" s="36">
        <f>M6-L6</f>
        <v>-5</v>
      </c>
    </row>
    <row r="7" spans="1:14" ht="16.5" customHeight="1">
      <c r="A7" s="31">
        <v>2</v>
      </c>
      <c r="B7" s="31" t="s">
        <v>56</v>
      </c>
      <c r="C7" s="36">
        <v>73</v>
      </c>
      <c r="D7" s="36">
        <v>66</v>
      </c>
      <c r="E7" s="36">
        <f t="shared" si="0"/>
        <v>90.41095890410959</v>
      </c>
      <c r="F7" s="36">
        <v>64</v>
      </c>
      <c r="G7" s="36">
        <v>66</v>
      </c>
      <c r="H7" s="36">
        <f t="shared" si="1"/>
        <v>2</v>
      </c>
      <c r="I7" s="36">
        <f>F7*100/105</f>
        <v>60.95238095238095</v>
      </c>
      <c r="J7" s="36">
        <f>G7*100/105</f>
        <v>62.857142857142854</v>
      </c>
      <c r="K7" s="36">
        <f>J7-I7</f>
        <v>1.904761904761905</v>
      </c>
      <c r="L7" s="36">
        <f>(C7-F7)*100/105</f>
        <v>8.571428571428571</v>
      </c>
      <c r="M7" s="36">
        <f>(D7-G7)*100/105</f>
        <v>0</v>
      </c>
      <c r="N7" s="36">
        <f>M7-L7</f>
        <v>-8.571428571428571</v>
      </c>
    </row>
    <row r="8" spans="1:14" ht="16.5" customHeight="1">
      <c r="A8" s="31">
        <v>3</v>
      </c>
      <c r="B8" s="31" t="s">
        <v>57</v>
      </c>
      <c r="C8" s="36">
        <v>28</v>
      </c>
      <c r="D8" s="36">
        <v>26</v>
      </c>
      <c r="E8" s="36">
        <f t="shared" si="0"/>
        <v>92.85714285714286</v>
      </c>
      <c r="F8" s="36">
        <v>28</v>
      </c>
      <c r="G8" s="36">
        <v>26</v>
      </c>
      <c r="H8" s="36">
        <f t="shared" si="1"/>
        <v>-2</v>
      </c>
      <c r="I8" s="36">
        <f>F8*100/60</f>
        <v>46.666666666666664</v>
      </c>
      <c r="J8" s="36">
        <f>G8*100/60</f>
        <v>43.333333333333336</v>
      </c>
      <c r="K8" s="36">
        <f>J8-I8</f>
        <v>-3.3333333333333286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78</v>
      </c>
      <c r="D9" s="36">
        <v>85</v>
      </c>
      <c r="E9" s="36">
        <f t="shared" si="0"/>
        <v>108.97435897435898</v>
      </c>
      <c r="F9" s="36">
        <v>66</v>
      </c>
      <c r="G9" s="36">
        <v>65</v>
      </c>
      <c r="H9" s="36">
        <f t="shared" si="1"/>
        <v>-1</v>
      </c>
      <c r="I9" s="36">
        <f>F9*100/308</f>
        <v>21.428571428571427</v>
      </c>
      <c r="J9" s="36">
        <f>G9*100/308</f>
        <v>21.103896103896105</v>
      </c>
      <c r="K9" s="36">
        <f t="shared" si="2"/>
        <v>-0.32467532467532223</v>
      </c>
      <c r="L9" s="36">
        <f>(C9-F9)*100/308</f>
        <v>3.896103896103896</v>
      </c>
      <c r="M9" s="36">
        <f>(D9-G9)*100/308</f>
        <v>6.4935064935064934</v>
      </c>
      <c r="N9" s="36">
        <f aca="true" t="shared" si="3" ref="N9:N17">M9-L9</f>
        <v>2.5974025974025974</v>
      </c>
    </row>
    <row r="10" spans="1:14" ht="16.5" customHeight="1">
      <c r="A10" s="31">
        <v>5</v>
      </c>
      <c r="B10" s="31" t="s">
        <v>59</v>
      </c>
      <c r="C10" s="36">
        <v>45</v>
      </c>
      <c r="D10" s="36">
        <v>81</v>
      </c>
      <c r="E10" s="36">
        <f t="shared" si="0"/>
        <v>180</v>
      </c>
      <c r="F10" s="36">
        <v>43</v>
      </c>
      <c r="G10" s="36">
        <v>67</v>
      </c>
      <c r="H10" s="36">
        <f t="shared" si="1"/>
        <v>24</v>
      </c>
      <c r="I10" s="36">
        <f>F10*100/280</f>
        <v>15.357142857142858</v>
      </c>
      <c r="J10" s="36">
        <f>G10*100/280</f>
        <v>23.928571428571427</v>
      </c>
      <c r="K10" s="36">
        <f t="shared" si="2"/>
        <v>8.57142857142857</v>
      </c>
      <c r="L10" s="36">
        <f>(C10-F10)*100/280</f>
        <v>0.7142857142857143</v>
      </c>
      <c r="M10" s="36">
        <f>(D10-G10)*100/280</f>
        <v>5</v>
      </c>
      <c r="N10" s="36">
        <f t="shared" si="3"/>
        <v>4.285714285714286</v>
      </c>
    </row>
    <row r="11" spans="1:14" ht="16.5" customHeight="1">
      <c r="A11" s="31">
        <v>6</v>
      </c>
      <c r="B11" s="32" t="s">
        <v>73</v>
      </c>
      <c r="C11" s="89">
        <v>51</v>
      </c>
      <c r="D11" s="89">
        <v>48</v>
      </c>
      <c r="E11" s="36">
        <f t="shared" si="0"/>
        <v>94.11764705882354</v>
      </c>
      <c r="F11" s="89">
        <v>45</v>
      </c>
      <c r="G11" s="89">
        <v>38</v>
      </c>
      <c r="H11" s="36">
        <f t="shared" si="1"/>
        <v>-7</v>
      </c>
      <c r="I11" s="89">
        <f>F11*100/85</f>
        <v>52.94117647058823</v>
      </c>
      <c r="J11" s="89">
        <f>G11*100/85</f>
        <v>44.705882352941174</v>
      </c>
      <c r="K11" s="36">
        <f t="shared" si="2"/>
        <v>-8.235294117647058</v>
      </c>
      <c r="L11" s="36">
        <f>(C11-F11)*100/85</f>
        <v>7.0588235294117645</v>
      </c>
      <c r="M11" s="36">
        <f>(D11-G11)*100/85</f>
        <v>11.764705882352942</v>
      </c>
      <c r="N11" s="89">
        <f t="shared" si="3"/>
        <v>4.7058823529411775</v>
      </c>
    </row>
    <row r="12" spans="1:14" ht="16.5" customHeight="1">
      <c r="A12" s="31">
        <v>7</v>
      </c>
      <c r="B12" s="32" t="s">
        <v>60</v>
      </c>
      <c r="C12" s="89">
        <v>55</v>
      </c>
      <c r="D12" s="89"/>
      <c r="E12" s="36">
        <f t="shared" si="0"/>
        <v>0</v>
      </c>
      <c r="F12" s="89">
        <v>42</v>
      </c>
      <c r="G12" s="89"/>
      <c r="H12" s="36">
        <f t="shared" si="1"/>
        <v>-42</v>
      </c>
      <c r="I12" s="89">
        <f>F12*100/60</f>
        <v>70</v>
      </c>
      <c r="J12" s="89">
        <f>G12*100/60</f>
        <v>0</v>
      </c>
      <c r="K12" s="36">
        <f t="shared" si="2"/>
        <v>-70</v>
      </c>
      <c r="L12" s="36">
        <f>(C12-F12)*100/60</f>
        <v>21.666666666666668</v>
      </c>
      <c r="M12" s="36">
        <f>(D12-G12)*100/60</f>
        <v>0</v>
      </c>
      <c r="N12" s="89">
        <f t="shared" si="3"/>
        <v>-21.666666666666668</v>
      </c>
    </row>
    <row r="13" spans="1:14" ht="16.5" customHeight="1">
      <c r="A13" s="31">
        <v>8</v>
      </c>
      <c r="B13" s="32" t="s">
        <v>87</v>
      </c>
      <c r="C13" s="118"/>
      <c r="D13" s="89">
        <v>72</v>
      </c>
      <c r="E13" s="36">
        <f>D13*100/C14</f>
        <v>118.0327868852459</v>
      </c>
      <c r="F13" s="89"/>
      <c r="G13" s="89">
        <v>63</v>
      </c>
      <c r="H13" s="36">
        <f t="shared" si="1"/>
        <v>63</v>
      </c>
      <c r="I13" s="89"/>
      <c r="J13" s="89">
        <f>G13*100/5</f>
        <v>1260</v>
      </c>
      <c r="K13" s="36"/>
      <c r="L13" s="36"/>
      <c r="M13" s="36">
        <f>(D13-G13)*100/5</f>
        <v>180</v>
      </c>
      <c r="N13" s="89"/>
    </row>
    <row r="14" spans="1:14" ht="16.5" customHeight="1">
      <c r="A14" s="31">
        <v>9</v>
      </c>
      <c r="B14" s="32" t="s">
        <v>72</v>
      </c>
      <c r="C14" s="89">
        <v>61</v>
      </c>
      <c r="D14" s="89">
        <v>41</v>
      </c>
      <c r="E14" s="36">
        <f>D14*100/C15</f>
        <v>117.14285714285714</v>
      </c>
      <c r="F14" s="89">
        <v>57</v>
      </c>
      <c r="G14" s="89">
        <v>38</v>
      </c>
      <c r="H14" s="36">
        <f t="shared" si="1"/>
        <v>-19</v>
      </c>
      <c r="I14" s="89">
        <f>F14*100/78</f>
        <v>73.07692307692308</v>
      </c>
      <c r="J14" s="89">
        <f>G14*100/78</f>
        <v>48.717948717948715</v>
      </c>
      <c r="K14" s="36">
        <f t="shared" si="2"/>
        <v>-24.358974358974365</v>
      </c>
      <c r="L14" s="36">
        <f>(C14-F14)*100/78</f>
        <v>5.128205128205129</v>
      </c>
      <c r="M14" s="36">
        <f>(D14-G14)*100/78</f>
        <v>3.8461538461538463</v>
      </c>
      <c r="N14" s="89">
        <f t="shared" si="3"/>
        <v>-1.2820512820512824</v>
      </c>
    </row>
    <row r="15" spans="1:14" ht="16.5" customHeight="1">
      <c r="A15" s="31">
        <v>10</v>
      </c>
      <c r="B15" s="32" t="s">
        <v>61</v>
      </c>
      <c r="C15" s="89">
        <v>35</v>
      </c>
      <c r="D15" s="89">
        <v>60</v>
      </c>
      <c r="E15" s="36">
        <f>D15*100/C16</f>
        <v>222.22222222222223</v>
      </c>
      <c r="F15" s="89">
        <v>32</v>
      </c>
      <c r="G15" s="89">
        <v>54</v>
      </c>
      <c r="H15" s="36">
        <f t="shared" si="1"/>
        <v>22</v>
      </c>
      <c r="I15" s="89">
        <f>F15*100/100</f>
        <v>32</v>
      </c>
      <c r="J15" s="89">
        <f>G15*100/100</f>
        <v>54</v>
      </c>
      <c r="K15" s="36">
        <f t="shared" si="2"/>
        <v>22</v>
      </c>
      <c r="L15" s="36">
        <f>(C15-F15)*100/100</f>
        <v>3</v>
      </c>
      <c r="M15" s="36">
        <f>(D15-G15)*100/100</f>
        <v>6</v>
      </c>
      <c r="N15" s="89">
        <f t="shared" si="3"/>
        <v>3</v>
      </c>
    </row>
    <row r="16" spans="1:14" ht="16.5" customHeight="1">
      <c r="A16" s="31">
        <v>11</v>
      </c>
      <c r="B16" s="32" t="s">
        <v>62</v>
      </c>
      <c r="C16" s="89">
        <v>27</v>
      </c>
      <c r="D16" s="89">
        <v>27</v>
      </c>
      <c r="E16" s="36">
        <f>D16*100/C17</f>
        <v>5.018587360594796</v>
      </c>
      <c r="F16" s="89">
        <v>27</v>
      </c>
      <c r="G16" s="89">
        <v>27</v>
      </c>
      <c r="H16" s="36">
        <f t="shared" si="1"/>
        <v>0</v>
      </c>
      <c r="I16" s="89">
        <f>F16*100/42</f>
        <v>64.28571428571429</v>
      </c>
      <c r="J16" s="89">
        <f>G16*100/42</f>
        <v>64.28571428571429</v>
      </c>
      <c r="K16" s="36">
        <f t="shared" si="2"/>
        <v>0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93" t="s">
        <v>96</v>
      </c>
      <c r="B17" s="194"/>
      <c r="C17" s="36">
        <f>SUM(C6:C16)</f>
        <v>538</v>
      </c>
      <c r="D17" s="3">
        <f>SUM(D6:D16)</f>
        <v>549</v>
      </c>
      <c r="E17" s="36">
        <f t="shared" si="0"/>
        <v>102.04460966542752</v>
      </c>
      <c r="F17" s="3">
        <f>SUM(F6:F16)</f>
        <v>477</v>
      </c>
      <c r="G17" s="3">
        <f>SUM(G6:G16)</f>
        <v>484</v>
      </c>
      <c r="H17" s="36">
        <f t="shared" si="1"/>
        <v>7</v>
      </c>
      <c r="I17" s="36">
        <f>F17*100/1298</f>
        <v>36.74884437596302</v>
      </c>
      <c r="J17" s="36">
        <f>G17*100/1303</f>
        <v>37.14504988488105</v>
      </c>
      <c r="K17" s="36">
        <f t="shared" si="2"/>
        <v>0.39620550891802964</v>
      </c>
      <c r="L17" s="36">
        <f>(C17-F17)*100/1298</f>
        <v>4.699537750385208</v>
      </c>
      <c r="M17" s="36">
        <f>(D17-G17)*100/1303</f>
        <v>4.98848810437452</v>
      </c>
      <c r="N17" s="36">
        <f t="shared" si="3"/>
        <v>0.28895035398931235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E17" sqref="E17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6" t="s">
        <v>108</v>
      </c>
      <c r="B1" s="196"/>
      <c r="C1" s="196"/>
      <c r="D1" s="196"/>
      <c r="E1" s="196"/>
      <c r="F1" s="196"/>
      <c r="G1" s="76"/>
      <c r="H1" s="76"/>
      <c r="I1" s="76"/>
    </row>
    <row r="2" spans="1:9" ht="15.75">
      <c r="A2" s="197" t="s">
        <v>113</v>
      </c>
      <c r="B2" s="197"/>
      <c r="C2" s="197"/>
      <c r="D2" s="197"/>
      <c r="E2" s="197"/>
      <c r="F2" s="197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71.2</v>
      </c>
      <c r="D5" s="36">
        <f>(молоко!D7*1000)/1875</f>
        <v>58.026666666666664</v>
      </c>
      <c r="E5" s="36">
        <f>(мясо!C6*1000)/1875</f>
        <v>9.546666666666667</v>
      </c>
      <c r="F5" s="36">
        <f>(мясо!D6*1000)/1875</f>
        <v>6.666666666666667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92.61576971214018</v>
      </c>
      <c r="D6" s="36">
        <f>(молоко!D8*1000)/799</f>
        <v>83.86608260325407</v>
      </c>
      <c r="E6" s="36">
        <f>(мясо!C7*1000)/799</f>
        <v>7.6345431789737175</v>
      </c>
      <c r="F6" s="36">
        <f>(мясо!D7*1000)/799</f>
        <v>3.254067584480601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33.58024691358025</v>
      </c>
      <c r="D7" s="36">
        <f>(молоко!D9*1000)/2025</f>
        <v>30.617283950617285</v>
      </c>
      <c r="E7" s="36">
        <f>(мясо!C8*1000)/2025</f>
        <v>1.4814814814814814</v>
      </c>
      <c r="F7" s="36">
        <f>(мясо!D8*1000)/2025</f>
        <v>1.4814814814814814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98.78934624697337</v>
      </c>
      <c r="D8" s="36">
        <f>(молоко!D10*1000)/2478</f>
        <v>122.96206618240517</v>
      </c>
      <c r="E8" s="36">
        <f>(мясо!C9*1000)/2478</f>
        <v>27.037933817594833</v>
      </c>
      <c r="F8" s="36">
        <f>(мясо!D9*1000)/2478</f>
        <v>8.071025020177563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62.58692628650904</v>
      </c>
      <c r="D9" s="36">
        <f>(молоко!D11*1000)/2157</f>
        <v>40.24107556791841</v>
      </c>
      <c r="E9" s="36">
        <f>(мясо!C10*1000)/2157</f>
        <v>9.921186833565137</v>
      </c>
      <c r="F9" s="36">
        <f>(мясо!D10*1000)/2157</f>
        <v>14.079740380157626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139.46449359720606</v>
      </c>
      <c r="D10" s="36">
        <f>(молоко!D12*1000)/859</f>
        <v>140.046565774156</v>
      </c>
      <c r="E10" s="36">
        <f>(мясо!C11*1000)/859</f>
        <v>11.29220023282887</v>
      </c>
      <c r="F10" s="36">
        <f>(мясо!D11*1000)/859</f>
        <v>5.529685681024447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53.98110661268556</v>
      </c>
      <c r="D11" s="36">
        <f>(молоко!D13*1000)/1482</f>
        <v>0</v>
      </c>
      <c r="E11" s="36">
        <f>(мясо!C12*1000)/1482</f>
        <v>0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137.04735376044567</v>
      </c>
      <c r="D13" s="36">
        <f>(молоко!D15*1000)/1077</f>
        <v>125.03249767873723</v>
      </c>
      <c r="E13" s="36">
        <f>(мясо!C14*1000)/1077</f>
        <v>5.8495821727019495</v>
      </c>
      <c r="F13" s="36">
        <f>(мясо!D14*1000)/1077</f>
        <v>4.633240482822655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79.4280442804428</v>
      </c>
      <c r="D14" s="36">
        <f>(молоко!D16*1000)/1084</f>
        <v>74.35424354243543</v>
      </c>
      <c r="E14" s="36">
        <f>(мясо!C15*1000)/1084</f>
        <v>4.612546125461255</v>
      </c>
      <c r="F14" s="36">
        <f>(мясо!D15*1000)/1084</f>
        <v>10.51660516605166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70.62314540059347</v>
      </c>
      <c r="D15" s="36">
        <f>(молоко!D17*1000)/674</f>
        <v>61.21661721068249</v>
      </c>
      <c r="E15" s="36">
        <f>(мясо!C16*1000)/674</f>
        <v>6.528189910979228</v>
      </c>
      <c r="F15" s="36">
        <f>(мясо!D16*1000)/674</f>
        <v>4.599406528189911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273.6520854526958</v>
      </c>
      <c r="F16" s="36">
        <f>(мясо!D17*1000)/983</f>
        <v>336.7243133265514</v>
      </c>
      <c r="H16" s="76"/>
      <c r="I16" s="76"/>
    </row>
    <row r="17" spans="1:6" ht="63.75" customHeight="1">
      <c r="A17" s="193" t="s">
        <v>96</v>
      </c>
      <c r="B17" s="194"/>
      <c r="C17" s="36">
        <f>(молоко!C18*1000)/22877</f>
        <v>49.674345412422944</v>
      </c>
      <c r="D17" s="36">
        <f>(молоко!D18*1000)/22877</f>
        <v>48.56156838746338</v>
      </c>
      <c r="E17" s="36">
        <f>(мясо!C23*1000)/22877</f>
        <v>17.983127158281246</v>
      </c>
      <c r="F17" s="36">
        <f>(мясо!D23*1000)/22877</f>
        <v>19.164575774795647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H18" sqref="H18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112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7" t="s">
        <v>2</v>
      </c>
      <c r="B3" s="200" t="s">
        <v>3</v>
      </c>
      <c r="C3" s="201" t="s">
        <v>92</v>
      </c>
      <c r="D3" s="202"/>
      <c r="E3" s="203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0"/>
      <c r="B4" s="170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48"/>
      <c r="B5" s="148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204" t="s">
        <v>93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6.5" customHeight="1">
      <c r="A7" s="31">
        <v>1</v>
      </c>
      <c r="B7" s="66" t="s">
        <v>55</v>
      </c>
      <c r="C7" s="12">
        <v>133.5</v>
      </c>
      <c r="D7" s="12">
        <v>108.8</v>
      </c>
      <c r="E7" s="13">
        <f aca="true" t="shared" si="0" ref="E7:E17">D7/C7*100</f>
        <v>81.49812734082397</v>
      </c>
      <c r="F7" s="12">
        <v>91.1</v>
      </c>
      <c r="G7" s="13">
        <f aca="true" t="shared" si="1" ref="G7:G17">F7/D7*100</f>
        <v>83.73161764705883</v>
      </c>
      <c r="H7" s="17">
        <f>C7/'численность 1'!J6*1000</f>
        <v>741.6666666666667</v>
      </c>
      <c r="I7" s="17">
        <f>D7/'численность 1'!K6*1000</f>
        <v>604.4444444444445</v>
      </c>
      <c r="J7" s="13">
        <f aca="true" t="shared" si="2" ref="J7:J20">I7/H7*100</f>
        <v>81.49812734082397</v>
      </c>
      <c r="K7" s="12"/>
    </row>
    <row r="8" spans="1:11" ht="16.5" customHeight="1">
      <c r="A8" s="31">
        <v>2</v>
      </c>
      <c r="B8" s="66" t="s">
        <v>56</v>
      </c>
      <c r="C8" s="12">
        <v>74</v>
      </c>
      <c r="D8" s="12">
        <v>67.009</v>
      </c>
      <c r="E8" s="13">
        <f t="shared" si="0"/>
        <v>90.5527027027027</v>
      </c>
      <c r="F8" s="12">
        <v>52.512</v>
      </c>
      <c r="G8" s="13">
        <f t="shared" si="1"/>
        <v>78.36559268158008</v>
      </c>
      <c r="H8" s="17">
        <f>C8/'численность 1'!J7*1000</f>
        <v>704.7619047619048</v>
      </c>
      <c r="I8" s="13">
        <f>D8/'численность 1'!K7*1000</f>
        <v>638.1809523809524</v>
      </c>
      <c r="J8" s="13">
        <f t="shared" si="2"/>
        <v>90.55270270270269</v>
      </c>
      <c r="K8" s="12"/>
    </row>
    <row r="9" spans="1:11" ht="16.5" customHeight="1">
      <c r="A9" s="31">
        <v>3</v>
      </c>
      <c r="B9" s="66" t="s">
        <v>57</v>
      </c>
      <c r="C9" s="12">
        <v>68</v>
      </c>
      <c r="D9" s="12">
        <v>62</v>
      </c>
      <c r="E9" s="13">
        <f t="shared" si="0"/>
        <v>91.17647058823529</v>
      </c>
      <c r="F9" s="12">
        <v>43</v>
      </c>
      <c r="G9" s="13">
        <f t="shared" si="1"/>
        <v>69.35483870967742</v>
      </c>
      <c r="H9" s="17">
        <f>C9/'численность 1'!J8*1000</f>
        <v>1133.3333333333333</v>
      </c>
      <c r="I9" s="13">
        <f>D9/'численность 1'!K8*1000</f>
        <v>1033.3333333333335</v>
      </c>
      <c r="J9" s="13">
        <f t="shared" si="2"/>
        <v>91.17647058823532</v>
      </c>
      <c r="K9" s="12"/>
    </row>
    <row r="10" spans="1:11" ht="16.5" customHeight="1">
      <c r="A10" s="31">
        <v>4</v>
      </c>
      <c r="B10" s="66" t="s">
        <v>58</v>
      </c>
      <c r="C10" s="12">
        <v>244.8</v>
      </c>
      <c r="D10" s="12">
        <v>304.7</v>
      </c>
      <c r="E10" s="13">
        <f t="shared" si="0"/>
        <v>124.46895424836599</v>
      </c>
      <c r="F10" s="12">
        <v>281</v>
      </c>
      <c r="G10" s="13">
        <f t="shared" si="1"/>
        <v>92.22185756481785</v>
      </c>
      <c r="H10" s="17">
        <f>C10/'численность 1'!J9*1000</f>
        <v>794.8051948051949</v>
      </c>
      <c r="I10" s="13">
        <f>D10/'численность 1'!K9*1000</f>
        <v>989.2857142857142</v>
      </c>
      <c r="J10" s="13">
        <f t="shared" si="2"/>
        <v>124.46895424836599</v>
      </c>
      <c r="K10" s="12"/>
    </row>
    <row r="11" spans="1:11" ht="16.5" customHeight="1">
      <c r="A11" s="31">
        <v>5</v>
      </c>
      <c r="B11" s="67" t="s">
        <v>59</v>
      </c>
      <c r="C11" s="12">
        <v>135</v>
      </c>
      <c r="D11" s="12">
        <v>86.8</v>
      </c>
      <c r="E11" s="13">
        <f t="shared" si="0"/>
        <v>64.29629629629629</v>
      </c>
      <c r="F11" s="12">
        <v>58.6</v>
      </c>
      <c r="G11" s="13">
        <f t="shared" si="1"/>
        <v>67.51152073732719</v>
      </c>
      <c r="H11" s="17">
        <f>C11/'численность 1'!J10*1000</f>
        <v>482.14285714285717</v>
      </c>
      <c r="I11" s="131">
        <f>D11/'численность 1'!K10*1000</f>
        <v>347.2</v>
      </c>
      <c r="J11" s="13">
        <f t="shared" si="2"/>
        <v>72.01185185185184</v>
      </c>
      <c r="K11" s="12"/>
    </row>
    <row r="12" spans="1:11" ht="16.5" customHeight="1">
      <c r="A12" s="31">
        <v>6</v>
      </c>
      <c r="B12" s="67" t="s">
        <v>73</v>
      </c>
      <c r="C12" s="16">
        <v>119.8</v>
      </c>
      <c r="D12" s="16">
        <v>120.3</v>
      </c>
      <c r="E12" s="13">
        <f t="shared" si="0"/>
        <v>100.41736227045075</v>
      </c>
      <c r="F12" s="16">
        <v>92.8</v>
      </c>
      <c r="G12" s="17">
        <f t="shared" si="1"/>
        <v>77.1404821280133</v>
      </c>
      <c r="H12" s="17">
        <f>C12/'численность 1'!J11*1000</f>
        <v>1409.4117647058824</v>
      </c>
      <c r="I12" s="13">
        <f>D12/'численность 1'!K11*1000</f>
        <v>1415.2941176470588</v>
      </c>
      <c r="J12" s="13">
        <f t="shared" si="2"/>
        <v>100.41736227045075</v>
      </c>
      <c r="K12" s="132">
        <v>107.4</v>
      </c>
    </row>
    <row r="13" spans="1:11" ht="16.5" customHeight="1">
      <c r="A13" s="31">
        <v>7</v>
      </c>
      <c r="B13" s="67" t="s">
        <v>60</v>
      </c>
      <c r="C13" s="16">
        <v>80</v>
      </c>
      <c r="D13" s="16"/>
      <c r="E13" s="13"/>
      <c r="F13" s="16"/>
      <c r="G13" s="17"/>
      <c r="H13" s="17">
        <f>C13/'численность 1'!J12*1000</f>
        <v>1333.3333333333333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/>
      <c r="D14" s="16">
        <v>104.814</v>
      </c>
      <c r="E14" s="13"/>
      <c r="F14" s="16">
        <v>74.433</v>
      </c>
      <c r="G14" s="17">
        <f t="shared" si="1"/>
        <v>71.01436830957698</v>
      </c>
      <c r="H14" s="17"/>
      <c r="I14" s="17">
        <f>D14/'численность 1'!K13*1000</f>
        <v>1612.5230769230768</v>
      </c>
      <c r="J14" s="13"/>
      <c r="K14" s="16"/>
    </row>
    <row r="15" spans="1:11" ht="16.5" customHeight="1">
      <c r="A15" s="31">
        <v>9</v>
      </c>
      <c r="B15" s="67" t="s">
        <v>72</v>
      </c>
      <c r="C15" s="16">
        <v>147.6</v>
      </c>
      <c r="D15" s="16">
        <v>134.66</v>
      </c>
      <c r="E15" s="17">
        <f t="shared" si="0"/>
        <v>91.2330623306233</v>
      </c>
      <c r="F15" s="16"/>
      <c r="G15" s="17">
        <f t="shared" si="1"/>
        <v>0</v>
      </c>
      <c r="H15" s="17">
        <f>C15/'численность 1'!J14*1000</f>
        <v>1892.3076923076922</v>
      </c>
      <c r="I15" s="17">
        <f>D15/'численность 1'!K14*1000</f>
        <v>1726.4102564102564</v>
      </c>
      <c r="J15" s="13">
        <f t="shared" si="2"/>
        <v>91.23306233062331</v>
      </c>
      <c r="K15" s="16"/>
    </row>
    <row r="16" spans="1:11" ht="16.5" customHeight="1">
      <c r="A16" s="31">
        <v>10</v>
      </c>
      <c r="B16" s="67" t="s">
        <v>61</v>
      </c>
      <c r="C16" s="16">
        <v>86.1</v>
      </c>
      <c r="D16" s="16">
        <v>80.6</v>
      </c>
      <c r="E16" s="13">
        <f t="shared" si="0"/>
        <v>93.61207897793264</v>
      </c>
      <c r="F16" s="16">
        <v>61.4</v>
      </c>
      <c r="G16" s="17">
        <f t="shared" si="1"/>
        <v>76.1786600496278</v>
      </c>
      <c r="H16" s="17">
        <f>C16/'численность 1'!J15*1000</f>
        <v>861</v>
      </c>
      <c r="I16" s="13">
        <f>D16/'численность 1'!K15*1000</f>
        <v>805.9999999999999</v>
      </c>
      <c r="J16" s="13">
        <f t="shared" si="2"/>
        <v>93.61207897793263</v>
      </c>
      <c r="K16" s="16"/>
    </row>
    <row r="17" spans="1:11" ht="16.5" customHeight="1">
      <c r="A17" s="31">
        <v>11</v>
      </c>
      <c r="B17" s="67" t="s">
        <v>62</v>
      </c>
      <c r="C17" s="16">
        <v>47.6</v>
      </c>
      <c r="D17" s="16">
        <v>41.26</v>
      </c>
      <c r="E17" s="13">
        <f t="shared" si="0"/>
        <v>86.68067226890756</v>
      </c>
      <c r="F17" s="16">
        <v>32.8</v>
      </c>
      <c r="G17" s="17">
        <f t="shared" si="1"/>
        <v>79.49587978671838</v>
      </c>
      <c r="H17" s="17">
        <f>C17/'численность 1'!J16*1000</f>
        <v>1133.3333333333333</v>
      </c>
      <c r="I17" s="13">
        <f>D17/'численность 1'!K16*1000</f>
        <v>982.3809523809524</v>
      </c>
      <c r="J17" s="13">
        <f t="shared" si="2"/>
        <v>86.68067226890757</v>
      </c>
      <c r="K17" s="16"/>
    </row>
    <row r="18" spans="1:11" ht="57" customHeight="1">
      <c r="A18" s="155" t="s">
        <v>103</v>
      </c>
      <c r="B18" s="156"/>
      <c r="C18" s="16">
        <f>SUM(C7:C17)</f>
        <v>1136.3999999999999</v>
      </c>
      <c r="D18" s="68">
        <f>SUM(D7:D17)</f>
        <v>1110.9429999999998</v>
      </c>
      <c r="E18" s="13">
        <f>D18/C18*100</f>
        <v>97.75985568461807</v>
      </c>
      <c r="F18" s="68">
        <f>SUM(F7:F17)</f>
        <v>787.6449999999999</v>
      </c>
      <c r="G18" s="13">
        <f>F18/D18*100</f>
        <v>70.89877698495782</v>
      </c>
      <c r="H18" s="13">
        <f>C18/'численность 1'!J19*1000</f>
        <v>875.5007704160246</v>
      </c>
      <c r="I18" s="13">
        <f>D18/'численность 1'!K19*1000</f>
        <v>872.6967792615866</v>
      </c>
      <c r="J18" s="13">
        <f t="shared" si="2"/>
        <v>99.67972716310626</v>
      </c>
      <c r="K18" s="68">
        <f>SUM(K7:K17)</f>
        <v>107.4</v>
      </c>
    </row>
    <row r="19" spans="1:11" ht="18">
      <c r="A19" s="204" t="s">
        <v>94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6"/>
    </row>
    <row r="20" spans="1:11" ht="17.25" customHeight="1">
      <c r="A20" s="121">
        <v>1</v>
      </c>
      <c r="B20" s="67" t="s">
        <v>72</v>
      </c>
      <c r="C20" s="121">
        <v>3.2</v>
      </c>
      <c r="D20" s="121">
        <v>16.637</v>
      </c>
      <c r="E20" s="13">
        <f>D20/C20*100</f>
        <v>519.90625</v>
      </c>
      <c r="F20" s="121">
        <v>2.2</v>
      </c>
      <c r="G20" s="13">
        <f>F20/D20*100</f>
        <v>13.223537897457474</v>
      </c>
      <c r="H20" s="121">
        <f>C20*1000/50</f>
        <v>64</v>
      </c>
      <c r="I20" s="129">
        <f>D20*1000/82</f>
        <v>202.890243902439</v>
      </c>
      <c r="J20" s="13">
        <f t="shared" si="2"/>
        <v>317.01600609756093</v>
      </c>
      <c r="K20" s="121"/>
    </row>
    <row r="21" spans="1:11" ht="37.5" customHeight="1">
      <c r="A21" s="198" t="s">
        <v>91</v>
      </c>
      <c r="B21" s="199"/>
      <c r="C21" s="121">
        <f>C18+C20</f>
        <v>1139.6</v>
      </c>
      <c r="D21" s="121">
        <f>D18+D20</f>
        <v>1127.5799999999997</v>
      </c>
      <c r="E21" s="13">
        <f>D21/C21*100</f>
        <v>98.94524394524392</v>
      </c>
      <c r="F21" s="121">
        <f>F18+F20</f>
        <v>789.8449999999999</v>
      </c>
      <c r="G21" s="13">
        <f>F21/D21*100</f>
        <v>70.04780148636905</v>
      </c>
      <c r="H21" s="122" t="s">
        <v>95</v>
      </c>
      <c r="I21" s="122" t="s">
        <v>95</v>
      </c>
      <c r="J21" s="122" t="s">
        <v>95</v>
      </c>
      <c r="K21" s="121">
        <f>K18+K20</f>
        <v>107.4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2012-01-16T06:31:14Z</cp:lastPrinted>
  <dcterms:created xsi:type="dcterms:W3CDTF">2002-11-05T10:10:22Z</dcterms:created>
  <dcterms:modified xsi:type="dcterms:W3CDTF">2012-06-06T04:33:24Z</dcterms:modified>
  <cp:category/>
  <cp:version/>
  <cp:contentType/>
  <cp:contentStatus/>
</cp:coreProperties>
</file>