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'молоко'!$A$1:$K$24</definedName>
    <definedName name="_xlnm.Print_Area" localSheetId="9">'мясо'!$A$1:$K$27</definedName>
    <definedName name="_xlnm.Print_Area" localSheetId="7">'на 100 га'!$A$1:$F$17</definedName>
    <definedName name="_xlnm.Print_Area" localSheetId="0">'пало1'!$A$1:$V$27</definedName>
    <definedName name="_xlnm.Print_Area" localSheetId="1">'привес'!$A$1:$T$24</definedName>
    <definedName name="_xlnm.Print_Area" localSheetId="4">'приплод 2'!$A$1:$N$13</definedName>
    <definedName name="_xlnm.Print_Area" localSheetId="3">'численность 1'!$A$1:$U$27</definedName>
    <definedName name="_xlnm.Print_Area" localSheetId="2">'численность 2'!$A$1:$M$27</definedName>
  </definedNames>
  <calcPr fullCalcOnLoad="1"/>
</workbook>
</file>

<file path=xl/sharedStrings.xml><?xml version="1.0" encoding="utf-8"?>
<sst xmlns="http://schemas.openxmlformats.org/spreadsheetml/2006/main" count="327" uniqueCount="127">
  <si>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</si>
  <si>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</si>
  <si>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</si>
  <si>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</si>
  <si>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</si>
  <si>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</si>
  <si>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</si>
  <si>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</si>
  <si>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</si>
  <si>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</si>
  <si>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</si>
  <si>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</si>
  <si>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</si>
  <si>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</si>
  <si>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</si>
  <si>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</si>
  <si>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</si>
  <si>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</si>
  <si>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</si>
  <si>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</si>
  <si>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</si>
  <si>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</si>
  <si>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</si>
  <si>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</si>
  <si>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</si>
  <si>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</si>
  <si>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</si>
  <si>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</si>
  <si>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</si>
  <si>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</si>
  <si>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</si>
  <si>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</si>
  <si>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</si>
  <si>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</si>
  <si>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</si>
  <si>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</si>
  <si>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</si>
  <si>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</si>
  <si>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</si>
  <si>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</si>
  <si>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</si>
  <si>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</si>
  <si>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</si>
  <si>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</si>
  <si>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</si>
  <si>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</si>
  <si>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</si>
  <si>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</si>
  <si>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</si>
  <si>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</si>
  <si>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</si>
  <si>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</si>
  <si>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</si>
  <si>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</si>
  <si>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</si>
  <si>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</si>
  <si>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</si>
  <si>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</si>
  <si>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</si>
  <si>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</si>
  <si>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</si>
  <si>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</si>
  <si>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</si>
  <si>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</si>
  <si>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</si>
  <si>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</si>
  <si>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</si>
  <si>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</si>
  <si>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</si>
  <si>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</si>
  <si>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</si>
  <si>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</si>
  <si>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</si>
  <si>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</si>
  <si>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</si>
  <si>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</si>
  <si>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</si>
  <si>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</si>
  <si>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</si>
  <si>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</si>
  <si>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</si>
  <si>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</si>
  <si>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</si>
  <si>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</si>
  <si>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</si>
  <si>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</si>
  <si>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</si>
  <si>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</si>
  <si>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</si>
  <si>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</si>
  <si>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</si>
  <si>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</si>
  <si>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</si>
  <si>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</si>
  <si>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</si>
  <si>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</si>
  <si>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</si>
  <si>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</si>
  <si>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</si>
  <si>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</si>
  <si>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</si>
  <si>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</si>
  <si>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</si>
  <si>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</si>
  <si>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</si>
  <si>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</si>
  <si>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</si>
  <si>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</si>
  <si>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</si>
  <si>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</si>
  <si>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>КФХ Николаев Н.С.</t>
  </si>
  <si>
    <t>Итого по К(Ф)(Х</t>
  </si>
  <si>
    <t>К(Ф)Х Николаев Н.С.</t>
  </si>
  <si>
    <t>КФХ Акимов И.К.</t>
  </si>
  <si>
    <t>ЗАО "Агрофирма "Климовская"</t>
  </si>
  <si>
    <t>маточное поголовье овец и коз на отчетную дату</t>
  </si>
  <si>
    <t>Пало, погибло, куплено и продано  сельскохозяйственных животных за 2012 год по Ибресинскому.р-ну</t>
  </si>
  <si>
    <t>Показатели получения привесов за 2012 год по Ибресинскому району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</si>
  <si>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1.01.2013 г., (голов)</t>
    </r>
  </si>
  <si>
    <t xml:space="preserve"> Численность скота по Ибресинскому району на 1.01.2013 г., (голов)</t>
  </si>
  <si>
    <t>Поступление приплода (поросят) за 2012 год по Ибресинкому  району</t>
  </si>
  <si>
    <t>Случено и осеменено за 2012 год по Ибресинскому району</t>
  </si>
  <si>
    <t>Поступление приплода (телят) за 2012 год по Ибресинскому  району</t>
  </si>
  <si>
    <t xml:space="preserve">по Ибресинскому району за 2012 год </t>
  </si>
  <si>
    <t>Производство молока за  2012 год по Ибресинскому району</t>
  </si>
  <si>
    <t xml:space="preserve">   Производство мяса за 2012 год по Ибресинскому району </t>
  </si>
  <si>
    <t>КФХ Михайлов В.А.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</si>
</sst>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26" sqref="W26:X26"/>
    </sheetView>
  </sheetViews>
  <sheetFormatPr defaultColWidth="9.00390625" defaultRowHeight="12.75"/>
  <cols>
    <col min="1" max="1" width="4.00390625" style="69" customWidth="1"/>
    <col min="2" max="2" width="34.375" style="69" customWidth="1"/>
    <col min="3" max="4" width="8.75390625" style="69" customWidth="1"/>
    <col min="5" max="5" width="8.875" style="69" customWidth="1"/>
    <col min="6" max="7" width="8.75390625" style="69" customWidth="1"/>
    <col min="8" max="8" width="8.875" style="69" customWidth="1"/>
    <col min="9" max="14" width="8.75390625" style="69" customWidth="1"/>
    <col min="15" max="15" width="8.875" style="69" customWidth="1"/>
    <col min="16" max="18" width="8.75390625" style="69" customWidth="1"/>
    <col min="19" max="19" width="8.875" style="69" customWidth="1"/>
    <col min="20" max="20" width="8.75390625" style="69" customWidth="1"/>
    <col min="21" max="21" width="8.875" style="69" customWidth="1"/>
    <col min="22" max="22" width="8.75390625" style="69" customWidth="1"/>
    <col min="23" max="16384" width="9.125" style="69" customWidth="1"/>
  </cols>
  <sheetData>
    <row r="1" spans="3:18" ht="15.75">
      <c r="C1" s="144" t="s">
        <v>116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3:10" ht="15">
      <c r="C2" s="70"/>
      <c r="D2" s="70"/>
      <c r="E2" s="70"/>
      <c r="F2" s="70"/>
      <c r="G2" s="70"/>
      <c r="H2" s="70"/>
      <c r="I2" s="70"/>
      <c r="J2" s="70"/>
    </row>
    <row r="3" spans="1:22" s="19" customFormat="1" ht="18.75" customHeight="1">
      <c r="A3" s="33" t="s">
        <v>2</v>
      </c>
      <c r="B3" s="22" t="s">
        <v>3</v>
      </c>
      <c r="C3" s="145" t="s">
        <v>38</v>
      </c>
      <c r="D3" s="146"/>
      <c r="E3" s="147"/>
      <c r="F3" s="145" t="s">
        <v>52</v>
      </c>
      <c r="G3" s="146"/>
      <c r="H3" s="147"/>
      <c r="I3" s="95"/>
      <c r="J3" s="100" t="s">
        <v>40</v>
      </c>
      <c r="K3" s="100"/>
      <c r="L3" s="100"/>
      <c r="M3" s="102"/>
      <c r="N3" s="102"/>
      <c r="O3" s="102"/>
      <c r="P3" s="102"/>
      <c r="Q3" s="95"/>
      <c r="R3" s="100" t="s">
        <v>41</v>
      </c>
      <c r="S3" s="100"/>
      <c r="T3" s="99"/>
      <c r="U3" s="102"/>
      <c r="V3" s="102"/>
    </row>
    <row r="4" spans="1:22" s="19" customFormat="1" ht="18.75" customHeight="1">
      <c r="A4" s="38"/>
      <c r="B4" s="32"/>
      <c r="C4" s="148">
        <v>2011</v>
      </c>
      <c r="D4" s="148">
        <v>2012</v>
      </c>
      <c r="E4" s="104" t="s">
        <v>39</v>
      </c>
      <c r="F4" s="148">
        <v>2011</v>
      </c>
      <c r="G4" s="148">
        <v>2012</v>
      </c>
      <c r="H4" s="104" t="s">
        <v>39</v>
      </c>
      <c r="I4" s="150" t="s">
        <v>86</v>
      </c>
      <c r="J4" s="151"/>
      <c r="K4" s="150" t="s">
        <v>84</v>
      </c>
      <c r="L4" s="151"/>
      <c r="M4" s="150" t="s">
        <v>80</v>
      </c>
      <c r="N4" s="151"/>
      <c r="O4" s="150" t="s">
        <v>81</v>
      </c>
      <c r="P4" s="151"/>
      <c r="Q4" s="150" t="s">
        <v>83</v>
      </c>
      <c r="R4" s="151"/>
      <c r="S4" s="150" t="s">
        <v>84</v>
      </c>
      <c r="T4" s="151"/>
      <c r="U4" s="150" t="s">
        <v>81</v>
      </c>
      <c r="V4" s="151"/>
    </row>
    <row r="5" spans="1:22" s="19" customFormat="1" ht="18.75" customHeight="1">
      <c r="A5" s="29"/>
      <c r="B5" s="28"/>
      <c r="C5" s="149"/>
      <c r="D5" s="149"/>
      <c r="E5" s="105" t="s">
        <v>105</v>
      </c>
      <c r="F5" s="149"/>
      <c r="G5" s="149"/>
      <c r="H5" s="105" t="s">
        <v>105</v>
      </c>
      <c r="I5" s="106">
        <v>2011</v>
      </c>
      <c r="J5" s="107">
        <v>2012</v>
      </c>
      <c r="K5" s="106">
        <v>2011</v>
      </c>
      <c r="L5" s="107">
        <v>2012</v>
      </c>
      <c r="M5" s="106">
        <v>2011</v>
      </c>
      <c r="N5" s="107">
        <v>2012</v>
      </c>
      <c r="O5" s="106">
        <v>2011</v>
      </c>
      <c r="P5" s="107">
        <v>2012</v>
      </c>
      <c r="Q5" s="106">
        <v>2011</v>
      </c>
      <c r="R5" s="107">
        <v>2012</v>
      </c>
      <c r="S5" s="106">
        <v>2011</v>
      </c>
      <c r="T5" s="107">
        <v>2012</v>
      </c>
      <c r="U5" s="106">
        <v>2011</v>
      </c>
      <c r="V5" s="107">
        <v>2012</v>
      </c>
    </row>
    <row r="6" spans="1:22" s="19" customFormat="1" ht="15" customHeight="1">
      <c r="A6" s="30">
        <v>1</v>
      </c>
      <c r="B6" s="30" t="s">
        <v>55</v>
      </c>
      <c r="C6" s="3">
        <v>1</v>
      </c>
      <c r="D6" s="3"/>
      <c r="E6" s="11">
        <f aca="true" t="shared" si="0" ref="E6:E26">D6-C6</f>
        <v>-1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19" customFormat="1" ht="13.5" customHeight="1">
      <c r="A7" s="30">
        <v>2</v>
      </c>
      <c r="B7" s="30" t="s">
        <v>56</v>
      </c>
      <c r="C7" s="3">
        <v>10</v>
      </c>
      <c r="D7" s="3">
        <v>4</v>
      </c>
      <c r="E7" s="11">
        <f t="shared" si="0"/>
        <v>-6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42</v>
      </c>
      <c r="R7" s="3">
        <v>42</v>
      </c>
      <c r="S7" s="3"/>
      <c r="T7" s="3"/>
      <c r="U7" s="3"/>
      <c r="V7" s="3"/>
    </row>
    <row r="8" spans="1:22" s="19" customFormat="1" ht="13.5" customHeight="1">
      <c r="A8" s="30">
        <v>3</v>
      </c>
      <c r="B8" s="30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17</v>
      </c>
      <c r="R8" s="3">
        <v>20</v>
      </c>
      <c r="S8" s="3"/>
      <c r="T8" s="3"/>
      <c r="U8" s="3"/>
      <c r="V8" s="3"/>
    </row>
    <row r="9" spans="1:22" s="19" customFormat="1" ht="12.75" customHeight="1">
      <c r="A9" s="30">
        <v>4</v>
      </c>
      <c r="B9" s="21" t="s">
        <v>58</v>
      </c>
      <c r="C9" s="3">
        <v>7</v>
      </c>
      <c r="D9" s="3">
        <v>5</v>
      </c>
      <c r="E9" s="11">
        <f t="shared" si="0"/>
        <v>-2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>
        <v>366</v>
      </c>
      <c r="T9" s="3">
        <v>535</v>
      </c>
      <c r="U9" s="3"/>
      <c r="V9" s="3"/>
    </row>
    <row r="10" spans="1:22" s="19" customFormat="1" ht="13.5" customHeight="1">
      <c r="A10" s="30">
        <v>5</v>
      </c>
      <c r="B10" s="90" t="s">
        <v>59</v>
      </c>
      <c r="C10" s="3"/>
      <c r="D10" s="3">
        <v>4</v>
      </c>
      <c r="E10" s="11">
        <f t="shared" si="0"/>
        <v>4</v>
      </c>
      <c r="F10" s="3">
        <v>37</v>
      </c>
      <c r="G10" s="3">
        <v>6</v>
      </c>
      <c r="H10" s="3">
        <f>G10-F10</f>
        <v>-31</v>
      </c>
      <c r="I10" s="3"/>
      <c r="J10" s="3"/>
      <c r="K10" s="3"/>
      <c r="L10" s="3"/>
      <c r="M10" s="3"/>
      <c r="N10" s="3"/>
      <c r="O10" s="3"/>
      <c r="P10" s="3"/>
      <c r="Q10" s="3"/>
      <c r="R10" s="3">
        <v>3</v>
      </c>
      <c r="S10" s="3">
        <v>283</v>
      </c>
      <c r="T10" s="3">
        <v>97</v>
      </c>
      <c r="U10" s="3"/>
      <c r="V10" s="3"/>
    </row>
    <row r="11" spans="1:22" s="19" customFormat="1" ht="12.75" customHeight="1">
      <c r="A11" s="30">
        <v>6</v>
      </c>
      <c r="B11" s="31" t="s">
        <v>73</v>
      </c>
      <c r="C11" s="3">
        <v>1</v>
      </c>
      <c r="D11" s="3">
        <v>2</v>
      </c>
      <c r="E11" s="11">
        <f t="shared" si="0"/>
        <v>1</v>
      </c>
      <c r="F11" s="3"/>
      <c r="G11" s="3"/>
      <c r="H11" s="3"/>
      <c r="I11" s="86"/>
      <c r="J11" s="86"/>
      <c r="K11" s="86"/>
      <c r="L11" s="86"/>
      <c r="M11" s="86"/>
      <c r="N11" s="86"/>
      <c r="O11" s="86"/>
      <c r="P11" s="86"/>
      <c r="Q11" s="86"/>
      <c r="R11" s="86">
        <v>26</v>
      </c>
      <c r="S11" s="86"/>
      <c r="T11" s="86"/>
      <c r="U11" s="86"/>
      <c r="V11" s="86"/>
    </row>
    <row r="12" spans="1:22" s="19" customFormat="1" ht="12.75" customHeight="1">
      <c r="A12" s="30">
        <v>7</v>
      </c>
      <c r="B12" s="30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148</v>
      </c>
      <c r="R12" s="3"/>
      <c r="S12" s="3"/>
      <c r="T12" s="3"/>
      <c r="U12" s="3"/>
      <c r="V12" s="3"/>
    </row>
    <row r="13" spans="1:22" s="19" customFormat="1" ht="12.75" customHeight="1">
      <c r="A13" s="30">
        <v>8</v>
      </c>
      <c r="B13" s="31" t="s">
        <v>87</v>
      </c>
      <c r="C13" s="3"/>
      <c r="D13" s="3"/>
      <c r="E13" s="11">
        <f t="shared" si="0"/>
        <v>0</v>
      </c>
      <c r="F13" s="3"/>
      <c r="G13" s="3"/>
      <c r="H13" s="3"/>
      <c r="I13" s="3">
        <v>148</v>
      </c>
      <c r="J13" s="3"/>
      <c r="K13" s="3"/>
      <c r="L13" s="3"/>
      <c r="M13" s="3"/>
      <c r="N13" s="3"/>
      <c r="O13" s="3"/>
      <c r="P13" s="3"/>
      <c r="Q13" s="3"/>
      <c r="R13" s="3">
        <v>3</v>
      </c>
      <c r="S13" s="3"/>
      <c r="T13" s="3"/>
      <c r="U13" s="3"/>
      <c r="V13" s="3"/>
    </row>
    <row r="14" spans="1:22" s="19" customFormat="1" ht="13.5" customHeight="1">
      <c r="A14" s="30">
        <v>9</v>
      </c>
      <c r="B14" s="31" t="s">
        <v>72</v>
      </c>
      <c r="C14" s="3">
        <v>1</v>
      </c>
      <c r="D14" s="3"/>
      <c r="E14" s="11">
        <f t="shared" si="0"/>
        <v>-1</v>
      </c>
      <c r="F14" s="3"/>
      <c r="G14" s="3"/>
      <c r="H14" s="3"/>
      <c r="I14" s="3">
        <v>30</v>
      </c>
      <c r="J14" s="3">
        <v>1</v>
      </c>
      <c r="K14" s="3"/>
      <c r="L14" s="3"/>
      <c r="M14" s="3"/>
      <c r="N14" s="3"/>
      <c r="O14" s="3"/>
      <c r="P14" s="3"/>
      <c r="Q14" s="3">
        <v>18</v>
      </c>
      <c r="R14" s="3">
        <v>1</v>
      </c>
      <c r="S14" s="3"/>
      <c r="T14" s="3"/>
      <c r="U14" s="3"/>
      <c r="V14" s="3">
        <v>64</v>
      </c>
    </row>
    <row r="15" spans="1:22" s="19" customFormat="1" ht="12.75" customHeight="1">
      <c r="A15" s="30">
        <v>10</v>
      </c>
      <c r="B15" s="30" t="s">
        <v>61</v>
      </c>
      <c r="C15" s="3">
        <v>1</v>
      </c>
      <c r="D15" s="3"/>
      <c r="E15" s="11">
        <f t="shared" si="0"/>
        <v>-1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19" customFormat="1" ht="12.75" customHeight="1">
      <c r="A16" s="30">
        <v>11</v>
      </c>
      <c r="B16" s="30" t="s">
        <v>62</v>
      </c>
      <c r="C16" s="3">
        <v>1</v>
      </c>
      <c r="D16" s="3"/>
      <c r="E16" s="11">
        <f t="shared" si="0"/>
        <v>-1</v>
      </c>
      <c r="F16" s="3"/>
      <c r="G16" s="3"/>
      <c r="H16" s="3"/>
      <c r="I16" s="3">
        <v>2</v>
      </c>
      <c r="J16" s="3">
        <v>2</v>
      </c>
      <c r="K16" s="3"/>
      <c r="L16" s="3"/>
      <c r="M16" s="3"/>
      <c r="N16" s="3"/>
      <c r="O16" s="3"/>
      <c r="P16" s="3"/>
      <c r="Q16" s="3"/>
      <c r="R16" s="3">
        <v>6</v>
      </c>
      <c r="S16" s="3"/>
      <c r="T16" s="3"/>
      <c r="U16" s="3"/>
      <c r="V16" s="3"/>
    </row>
    <row r="17" spans="1:22" s="19" customFormat="1" ht="12.75" customHeight="1">
      <c r="A17" s="30">
        <v>12</v>
      </c>
      <c r="B17" s="30" t="s">
        <v>63</v>
      </c>
      <c r="C17" s="3"/>
      <c r="D17" s="3"/>
      <c r="E17" s="11"/>
      <c r="F17" s="3">
        <v>875</v>
      </c>
      <c r="G17" s="3">
        <v>625</v>
      </c>
      <c r="H17" s="3">
        <f>G17-F17</f>
        <v>-250</v>
      </c>
      <c r="I17" s="3"/>
      <c r="J17" s="3"/>
      <c r="K17" s="3">
        <v>13</v>
      </c>
      <c r="L17" s="3">
        <v>8</v>
      </c>
      <c r="M17" s="3"/>
      <c r="N17" s="3"/>
      <c r="O17" s="3"/>
      <c r="P17" s="3"/>
      <c r="Q17" s="3"/>
      <c r="R17" s="3"/>
      <c r="S17" s="3">
        <v>1557</v>
      </c>
      <c r="T17" s="3">
        <v>2080</v>
      </c>
      <c r="U17" s="3"/>
      <c r="V17" s="3"/>
    </row>
    <row r="18" spans="1:22" s="19" customFormat="1" ht="12.75" customHeight="1">
      <c r="A18" s="30">
        <v>13</v>
      </c>
      <c r="B18" s="31" t="s">
        <v>71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>
        <v>5</v>
      </c>
      <c r="N18" s="3"/>
      <c r="O18" s="3"/>
      <c r="P18" s="3"/>
      <c r="Q18" s="3"/>
      <c r="R18" s="3"/>
      <c r="S18" s="3"/>
      <c r="T18" s="3"/>
      <c r="U18" s="3"/>
      <c r="V18" s="3"/>
    </row>
    <row r="19" spans="1:22" s="19" customFormat="1" ht="12.75" customHeight="1">
      <c r="A19" s="30">
        <v>14</v>
      </c>
      <c r="B19" s="31" t="s">
        <v>114</v>
      </c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19" customFormat="1" ht="44.25" customHeight="1">
      <c r="A20" s="154" t="s">
        <v>103</v>
      </c>
      <c r="B20" s="155"/>
      <c r="C20" s="3">
        <f>SUM(C6:C18)</f>
        <v>22</v>
      </c>
      <c r="D20" s="3">
        <f>SUM(D6:D18)</f>
        <v>15</v>
      </c>
      <c r="E20" s="11">
        <f t="shared" si="0"/>
        <v>-7</v>
      </c>
      <c r="F20" s="3">
        <f>SUM(F10:F18)</f>
        <v>912</v>
      </c>
      <c r="G20" s="3">
        <f>SUM(G10:G18)</f>
        <v>631</v>
      </c>
      <c r="H20" s="3">
        <f>G20-F20</f>
        <v>-281</v>
      </c>
      <c r="I20" s="3">
        <f>SUM(I6:I18)</f>
        <v>180</v>
      </c>
      <c r="J20" s="3">
        <f aca="true" t="shared" si="1" ref="J20:T20">SUM(J6:J18)</f>
        <v>4</v>
      </c>
      <c r="K20" s="3">
        <f t="shared" si="1"/>
        <v>15</v>
      </c>
      <c r="L20" s="3">
        <f t="shared" si="1"/>
        <v>8</v>
      </c>
      <c r="M20" s="3">
        <f t="shared" si="1"/>
        <v>5</v>
      </c>
      <c r="N20" s="3">
        <f t="shared" si="1"/>
        <v>0</v>
      </c>
      <c r="O20" s="3">
        <f t="shared" si="1"/>
        <v>0</v>
      </c>
      <c r="P20" s="3">
        <f t="shared" si="1"/>
        <v>0</v>
      </c>
      <c r="Q20" s="3">
        <f t="shared" si="1"/>
        <v>225</v>
      </c>
      <c r="R20" s="3">
        <f t="shared" si="1"/>
        <v>101</v>
      </c>
      <c r="S20" s="3">
        <f t="shared" si="1"/>
        <v>2206</v>
      </c>
      <c r="T20" s="3">
        <f t="shared" si="1"/>
        <v>2712</v>
      </c>
      <c r="U20" s="3">
        <f>SUM(U6:U18)</f>
        <v>0</v>
      </c>
      <c r="V20" s="3">
        <f>SUM(V6:V18)</f>
        <v>64</v>
      </c>
    </row>
    <row r="21" spans="1:22" s="19" customFormat="1" ht="14.25" customHeight="1">
      <c r="A21" s="133">
        <v>1</v>
      </c>
      <c r="B21" s="31" t="s">
        <v>110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19" customFormat="1" ht="12.75" customHeight="1">
      <c r="A22" s="30">
        <v>2</v>
      </c>
      <c r="B22" s="31" t="s">
        <v>113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86"/>
      <c r="N22" s="3"/>
      <c r="O22" s="3"/>
      <c r="P22" s="3">
        <v>69</v>
      </c>
      <c r="Q22" s="3"/>
      <c r="R22" s="3"/>
      <c r="S22" s="131"/>
      <c r="T22" s="3">
        <v>38</v>
      </c>
      <c r="U22" s="3"/>
      <c r="V22" s="3"/>
    </row>
    <row r="23" spans="1:22" s="19" customFormat="1" ht="12.75" customHeight="1">
      <c r="A23" s="30">
        <v>3</v>
      </c>
      <c r="B23" s="31" t="s">
        <v>82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86"/>
      <c r="N23" s="3"/>
      <c r="O23" s="3"/>
      <c r="P23" s="3"/>
      <c r="Q23" s="3"/>
      <c r="R23" s="3"/>
      <c r="S23" s="131"/>
      <c r="T23" s="3"/>
      <c r="U23" s="3"/>
      <c r="V23" s="3"/>
    </row>
    <row r="24" spans="1:22" s="19" customFormat="1" ht="12.75" customHeight="1">
      <c r="A24" s="30">
        <v>4</v>
      </c>
      <c r="B24" s="31" t="s">
        <v>88</v>
      </c>
      <c r="C24" s="3"/>
      <c r="D24" s="3"/>
      <c r="E24" s="11"/>
      <c r="F24" s="3"/>
      <c r="G24" s="3"/>
      <c r="H24" s="3"/>
      <c r="I24" s="3"/>
      <c r="J24" s="3"/>
      <c r="K24" s="3"/>
      <c r="L24" s="3"/>
      <c r="M24" s="86"/>
      <c r="N24" s="3"/>
      <c r="O24" s="3"/>
      <c r="P24" s="3"/>
      <c r="Q24" s="3"/>
      <c r="R24" s="3"/>
      <c r="S24" s="131"/>
      <c r="T24" s="3"/>
      <c r="U24" s="3"/>
      <c r="V24" s="3">
        <v>3</v>
      </c>
    </row>
    <row r="25" spans="1:22" s="19" customFormat="1" ht="12.75" customHeight="1">
      <c r="A25" s="30">
        <v>5</v>
      </c>
      <c r="B25" s="31" t="s">
        <v>126</v>
      </c>
      <c r="C25" s="3"/>
      <c r="D25" s="3"/>
      <c r="E25" s="11"/>
      <c r="F25" s="3"/>
      <c r="G25" s="3"/>
      <c r="H25" s="3"/>
      <c r="I25" s="3"/>
      <c r="J25" s="3">
        <v>2</v>
      </c>
      <c r="K25" s="3"/>
      <c r="L25" s="3"/>
      <c r="M25" s="86"/>
      <c r="N25" s="3"/>
      <c r="O25" s="3"/>
      <c r="P25" s="3"/>
      <c r="Q25" s="3"/>
      <c r="R25" s="3"/>
      <c r="S25" s="131"/>
      <c r="T25" s="3"/>
      <c r="U25" s="3"/>
      <c r="V25" s="3"/>
    </row>
    <row r="26" spans="1:22" s="19" customFormat="1" ht="30" customHeight="1">
      <c r="A26" s="156" t="s">
        <v>90</v>
      </c>
      <c r="B26" s="157"/>
      <c r="C26" s="3">
        <f>SUM(C22:C24)</f>
        <v>0</v>
      </c>
      <c r="D26" s="3">
        <f>SUM(D22:D24)</f>
        <v>0</v>
      </c>
      <c r="E26" s="11">
        <f t="shared" si="0"/>
        <v>0</v>
      </c>
      <c r="F26" s="3">
        <f aca="true" t="shared" si="2" ref="F26:T26">SUM(F22:F24)</f>
        <v>0</v>
      </c>
      <c r="G26" s="3">
        <f t="shared" si="2"/>
        <v>0</v>
      </c>
      <c r="H26" s="3">
        <f>G26-F26</f>
        <v>0</v>
      </c>
      <c r="I26" s="3">
        <f t="shared" si="2"/>
        <v>0</v>
      </c>
      <c r="J26" s="3">
        <f>SUM(J21:J25)</f>
        <v>2</v>
      </c>
      <c r="K26" s="3">
        <f t="shared" si="2"/>
        <v>0</v>
      </c>
      <c r="L26" s="3">
        <f t="shared" si="2"/>
        <v>0</v>
      </c>
      <c r="M26" s="3">
        <f t="shared" si="2"/>
        <v>0</v>
      </c>
      <c r="N26" s="3">
        <f t="shared" si="2"/>
        <v>0</v>
      </c>
      <c r="O26" s="3">
        <f t="shared" si="2"/>
        <v>0</v>
      </c>
      <c r="P26" s="3">
        <f t="shared" si="2"/>
        <v>69</v>
      </c>
      <c r="Q26" s="3">
        <f t="shared" si="2"/>
        <v>0</v>
      </c>
      <c r="R26" s="3">
        <f t="shared" si="2"/>
        <v>0</v>
      </c>
      <c r="S26" s="3">
        <f t="shared" si="2"/>
        <v>0</v>
      </c>
      <c r="T26" s="3">
        <f t="shared" si="2"/>
        <v>38</v>
      </c>
      <c r="U26" s="3">
        <f>SUM(U22:U24)</f>
        <v>0</v>
      </c>
      <c r="V26" s="3">
        <f>SUM(V22:V24)</f>
        <v>3</v>
      </c>
    </row>
    <row r="27" spans="1:22" s="19" customFormat="1" ht="37.5" customHeight="1">
      <c r="A27" s="152" t="s">
        <v>91</v>
      </c>
      <c r="B27" s="153"/>
      <c r="C27" s="3">
        <f>C26+C20</f>
        <v>22</v>
      </c>
      <c r="D27" s="3">
        <f>D26+D20</f>
        <v>15</v>
      </c>
      <c r="E27" s="11">
        <f>D27-C27</f>
        <v>-7</v>
      </c>
      <c r="F27" s="3">
        <f>F26+F20</f>
        <v>912</v>
      </c>
      <c r="G27" s="3">
        <f>G26+G20</f>
        <v>631</v>
      </c>
      <c r="H27" s="3">
        <f>G27-F27</f>
        <v>-281</v>
      </c>
      <c r="I27" s="3">
        <f aca="true" t="shared" si="3" ref="I27:T27">I26+I20</f>
        <v>180</v>
      </c>
      <c r="J27" s="3">
        <f t="shared" si="3"/>
        <v>6</v>
      </c>
      <c r="K27" s="3">
        <f t="shared" si="3"/>
        <v>15</v>
      </c>
      <c r="L27" s="3">
        <f t="shared" si="3"/>
        <v>8</v>
      </c>
      <c r="M27" s="3">
        <f t="shared" si="3"/>
        <v>5</v>
      </c>
      <c r="N27" s="3">
        <f t="shared" si="3"/>
        <v>0</v>
      </c>
      <c r="O27" s="3">
        <f t="shared" si="3"/>
        <v>0</v>
      </c>
      <c r="P27" s="3">
        <f t="shared" si="3"/>
        <v>69</v>
      </c>
      <c r="Q27" s="3">
        <f t="shared" si="3"/>
        <v>225</v>
      </c>
      <c r="R27" s="3">
        <f t="shared" si="3"/>
        <v>101</v>
      </c>
      <c r="S27" s="3">
        <f t="shared" si="3"/>
        <v>2206</v>
      </c>
      <c r="T27" s="3">
        <f t="shared" si="3"/>
        <v>2750</v>
      </c>
      <c r="U27" s="3">
        <f>U26+U20</f>
        <v>0</v>
      </c>
      <c r="V27" s="3">
        <f>V26+V20</f>
        <v>67</v>
      </c>
    </row>
    <row r="28" ht="14.25">
      <c r="B28" s="72"/>
    </row>
  </sheetData>
  <sheetProtection/>
  <mergeCells count="17">
    <mergeCell ref="U4:V4"/>
    <mergeCell ref="Q4:R4"/>
    <mergeCell ref="S4:T4"/>
    <mergeCell ref="I4:J4"/>
    <mergeCell ref="K4:L4"/>
    <mergeCell ref="A27:B27"/>
    <mergeCell ref="A20:B20"/>
    <mergeCell ref="A26:B26"/>
    <mergeCell ref="C1:R1"/>
    <mergeCell ref="F3:H3"/>
    <mergeCell ref="C3:E3"/>
    <mergeCell ref="C4:C5"/>
    <mergeCell ref="D4:D5"/>
    <mergeCell ref="F4:F5"/>
    <mergeCell ref="G4:G5"/>
    <mergeCell ref="M4:N4"/>
    <mergeCell ref="O4:P4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75" zoomScaleNormal="65" zoomScaleSheetLayoutView="75" zoomScalePageLayoutView="0" workbookViewId="0" topLeftCell="A1">
      <selection activeCell="M19" sqref="M19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19"/>
      <c r="B1" s="19"/>
      <c r="C1" s="92" t="s">
        <v>125</v>
      </c>
      <c r="D1" s="92"/>
      <c r="E1" s="92"/>
      <c r="F1" s="92"/>
      <c r="G1" s="19"/>
      <c r="H1" s="19"/>
      <c r="I1" s="19"/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222" t="s">
        <v>2</v>
      </c>
      <c r="B3" s="222" t="s">
        <v>3</v>
      </c>
      <c r="C3" s="23" t="s">
        <v>19</v>
      </c>
      <c r="D3" s="24"/>
      <c r="E3" s="26"/>
      <c r="F3" s="23"/>
      <c r="G3" s="24"/>
      <c r="H3" s="24" t="s">
        <v>20</v>
      </c>
      <c r="I3" s="24"/>
      <c r="J3" s="24"/>
      <c r="K3" s="26"/>
      <c r="L3" s="19"/>
      <c r="M3" s="19"/>
    </row>
    <row r="4" spans="1:13" ht="15">
      <c r="A4" s="223"/>
      <c r="B4" s="223"/>
      <c r="C4" s="17">
        <v>2011</v>
      </c>
      <c r="D4" s="18">
        <v>2012</v>
      </c>
      <c r="E4" s="18" t="s">
        <v>97</v>
      </c>
      <c r="F4" s="23" t="s">
        <v>23</v>
      </c>
      <c r="G4" s="26"/>
      <c r="H4" s="23" t="s">
        <v>21</v>
      </c>
      <c r="I4" s="26"/>
      <c r="J4" s="23" t="s">
        <v>22</v>
      </c>
      <c r="K4" s="26"/>
      <c r="L4" s="19"/>
      <c r="M4" s="19"/>
    </row>
    <row r="5" spans="1:13" ht="15">
      <c r="A5" s="224"/>
      <c r="B5" s="224"/>
      <c r="C5" s="39"/>
      <c r="D5" s="11"/>
      <c r="E5" s="11" t="s">
        <v>98</v>
      </c>
      <c r="F5" s="17">
        <v>2011</v>
      </c>
      <c r="G5" s="18">
        <v>2012</v>
      </c>
      <c r="H5" s="17">
        <v>2011</v>
      </c>
      <c r="I5" s="18">
        <v>2012</v>
      </c>
      <c r="J5" s="17">
        <v>2011</v>
      </c>
      <c r="K5" s="3">
        <v>2012</v>
      </c>
      <c r="L5" s="19"/>
      <c r="M5" s="19"/>
    </row>
    <row r="6" spans="1:13" ht="16.5">
      <c r="A6" s="30">
        <v>1</v>
      </c>
      <c r="B6" s="30" t="s">
        <v>55</v>
      </c>
      <c r="C6" s="81">
        <v>39.7</v>
      </c>
      <c r="D6" s="81">
        <v>37.6</v>
      </c>
      <c r="E6" s="80">
        <f aca="true" t="shared" si="0" ref="E6:E27">D6*100/C6</f>
        <v>94.71032745591938</v>
      </c>
      <c r="F6" s="81">
        <v>34.8</v>
      </c>
      <c r="G6" s="81">
        <v>35.1</v>
      </c>
      <c r="H6" s="81"/>
      <c r="I6" s="81"/>
      <c r="J6" s="81">
        <v>4.9</v>
      </c>
      <c r="K6" s="81">
        <v>2.5</v>
      </c>
      <c r="L6" s="19"/>
      <c r="M6" s="19"/>
    </row>
    <row r="7" spans="1:13" ht="16.5">
      <c r="A7" s="30">
        <v>2</v>
      </c>
      <c r="B7" s="30" t="s">
        <v>56</v>
      </c>
      <c r="C7" s="81">
        <v>17.6</v>
      </c>
      <c r="D7" s="81">
        <v>10.067</v>
      </c>
      <c r="E7" s="80">
        <f t="shared" si="0"/>
        <v>57.19886363636363</v>
      </c>
      <c r="F7" s="81">
        <v>17.5</v>
      </c>
      <c r="G7" s="81">
        <v>9.947</v>
      </c>
      <c r="H7" s="81"/>
      <c r="I7" s="81"/>
      <c r="J7" s="81">
        <v>0.1</v>
      </c>
      <c r="K7" s="81">
        <v>0.12</v>
      </c>
      <c r="L7" s="19"/>
      <c r="M7" s="19"/>
    </row>
    <row r="8" spans="1:13" ht="16.5">
      <c r="A8" s="30">
        <v>3</v>
      </c>
      <c r="B8" s="30" t="s">
        <v>57</v>
      </c>
      <c r="C8" s="81">
        <v>10.42</v>
      </c>
      <c r="D8" s="81">
        <v>9.8</v>
      </c>
      <c r="E8" s="80">
        <f t="shared" si="0"/>
        <v>94.04990403071018</v>
      </c>
      <c r="F8" s="81">
        <v>9.92</v>
      </c>
      <c r="G8" s="81">
        <v>9.8</v>
      </c>
      <c r="H8" s="81"/>
      <c r="I8" s="81"/>
      <c r="J8" s="81">
        <v>0.5</v>
      </c>
      <c r="K8" s="81"/>
      <c r="L8" s="19"/>
      <c r="M8" s="19"/>
    </row>
    <row r="9" spans="1:13" ht="16.5">
      <c r="A9" s="30">
        <v>4</v>
      </c>
      <c r="B9" s="40" t="s">
        <v>58</v>
      </c>
      <c r="C9" s="81">
        <v>123.6</v>
      </c>
      <c r="D9" s="81">
        <v>74.3</v>
      </c>
      <c r="E9" s="80">
        <f t="shared" si="0"/>
        <v>60.113268608414245</v>
      </c>
      <c r="F9" s="81">
        <v>91.1</v>
      </c>
      <c r="G9" s="81">
        <v>57.6</v>
      </c>
      <c r="H9" s="81">
        <v>29.2</v>
      </c>
      <c r="I9" s="81">
        <v>15.5</v>
      </c>
      <c r="J9" s="81">
        <v>3.3</v>
      </c>
      <c r="K9" s="81">
        <v>1.2</v>
      </c>
      <c r="L9" s="19"/>
      <c r="M9" s="19"/>
    </row>
    <row r="10" spans="1:13" ht="16.5">
      <c r="A10" s="30">
        <v>5</v>
      </c>
      <c r="B10" s="30" t="s">
        <v>59</v>
      </c>
      <c r="C10" s="81">
        <v>73</v>
      </c>
      <c r="D10" s="81">
        <v>70.9</v>
      </c>
      <c r="E10" s="80">
        <f t="shared" si="0"/>
        <v>97.12328767123289</v>
      </c>
      <c r="F10" s="81">
        <v>47</v>
      </c>
      <c r="G10" s="81">
        <v>49.2</v>
      </c>
      <c r="H10" s="81">
        <v>19</v>
      </c>
      <c r="I10" s="81">
        <v>11.3</v>
      </c>
      <c r="J10" s="81">
        <v>7</v>
      </c>
      <c r="K10" s="81">
        <v>10.4</v>
      </c>
      <c r="L10" s="19"/>
      <c r="M10" s="19"/>
    </row>
    <row r="11" spans="1:13" ht="16.5">
      <c r="A11" s="30">
        <v>6</v>
      </c>
      <c r="B11" s="31" t="s">
        <v>73</v>
      </c>
      <c r="C11" s="81">
        <v>29.4</v>
      </c>
      <c r="D11" s="116">
        <v>25.004</v>
      </c>
      <c r="E11" s="80">
        <f t="shared" si="0"/>
        <v>85.04761904761905</v>
      </c>
      <c r="F11" s="82">
        <v>28.3</v>
      </c>
      <c r="G11" s="82">
        <v>23.625</v>
      </c>
      <c r="H11" s="82"/>
      <c r="I11" s="82"/>
      <c r="J11" s="82">
        <v>1.1</v>
      </c>
      <c r="K11" s="82">
        <v>1.379</v>
      </c>
      <c r="L11" s="19"/>
      <c r="M11" s="19"/>
    </row>
    <row r="12" spans="1:13" ht="16.5">
      <c r="A12" s="30">
        <v>7</v>
      </c>
      <c r="B12" s="31" t="s">
        <v>60</v>
      </c>
      <c r="C12" s="81">
        <v>1</v>
      </c>
      <c r="D12" s="81"/>
      <c r="E12" s="80">
        <f t="shared" si="0"/>
        <v>0</v>
      </c>
      <c r="F12" s="82">
        <v>1</v>
      </c>
      <c r="G12" s="82"/>
      <c r="H12" s="82"/>
      <c r="I12" s="82"/>
      <c r="J12" s="82"/>
      <c r="K12" s="82"/>
      <c r="L12" s="19"/>
      <c r="M12" s="19"/>
    </row>
    <row r="13" spans="1:13" ht="16.5">
      <c r="A13" s="30">
        <v>8</v>
      </c>
      <c r="B13" s="31" t="s">
        <v>87</v>
      </c>
      <c r="C13" s="81">
        <v>4.2</v>
      </c>
      <c r="D13" s="81">
        <v>20.309</v>
      </c>
      <c r="E13" s="80">
        <f t="shared" si="0"/>
        <v>483.54761904761904</v>
      </c>
      <c r="F13" s="82">
        <v>4.2</v>
      </c>
      <c r="G13" s="82">
        <v>20.309</v>
      </c>
      <c r="H13" s="82"/>
      <c r="I13" s="82"/>
      <c r="J13" s="82"/>
      <c r="K13" s="82"/>
      <c r="L13" s="19"/>
      <c r="M13" s="19"/>
    </row>
    <row r="14" spans="1:13" ht="16.5">
      <c r="A14" s="30">
        <v>9</v>
      </c>
      <c r="B14" s="31" t="s">
        <v>72</v>
      </c>
      <c r="C14" s="81">
        <v>19.13</v>
      </c>
      <c r="D14" s="81">
        <v>20.36</v>
      </c>
      <c r="E14" s="80">
        <f t="shared" si="0"/>
        <v>106.42969158389964</v>
      </c>
      <c r="F14" s="82">
        <v>17.28</v>
      </c>
      <c r="G14" s="82">
        <v>18.06</v>
      </c>
      <c r="H14" s="82"/>
      <c r="I14" s="82"/>
      <c r="J14" s="82">
        <v>1.85</v>
      </c>
      <c r="K14" s="82">
        <v>2.3</v>
      </c>
      <c r="L14" s="19"/>
      <c r="M14" s="19"/>
    </row>
    <row r="15" spans="1:13" ht="16.5">
      <c r="A15" s="30">
        <v>10</v>
      </c>
      <c r="B15" s="31" t="s">
        <v>61</v>
      </c>
      <c r="C15" s="81">
        <v>16.2</v>
      </c>
      <c r="D15" s="81">
        <v>25.6</v>
      </c>
      <c r="E15" s="80">
        <f t="shared" si="0"/>
        <v>158.0246913580247</v>
      </c>
      <c r="F15" s="82">
        <v>16.2</v>
      </c>
      <c r="G15" s="82">
        <v>25.3</v>
      </c>
      <c r="H15" s="82"/>
      <c r="I15" s="82"/>
      <c r="J15" s="82"/>
      <c r="K15" s="82">
        <v>0.3</v>
      </c>
      <c r="L15" s="19"/>
      <c r="M15" s="19"/>
    </row>
    <row r="16" spans="1:13" ht="16.5">
      <c r="A16" s="30">
        <v>11</v>
      </c>
      <c r="B16" s="31" t="s">
        <v>62</v>
      </c>
      <c r="C16" s="81">
        <v>15.1</v>
      </c>
      <c r="D16" s="81">
        <v>4.9</v>
      </c>
      <c r="E16" s="80">
        <f t="shared" si="0"/>
        <v>32.450331125827816</v>
      </c>
      <c r="F16" s="82">
        <v>14.7</v>
      </c>
      <c r="G16" s="82">
        <v>4.9</v>
      </c>
      <c r="H16" s="82"/>
      <c r="I16" s="82"/>
      <c r="J16" s="82">
        <v>0.4</v>
      </c>
      <c r="K16" s="82"/>
      <c r="L16" s="19"/>
      <c r="M16" s="19"/>
    </row>
    <row r="17" spans="1:13" ht="16.5">
      <c r="A17" s="30">
        <v>12</v>
      </c>
      <c r="B17" s="31" t="s">
        <v>63</v>
      </c>
      <c r="C17" s="81">
        <v>907</v>
      </c>
      <c r="D17" s="81">
        <v>1115</v>
      </c>
      <c r="E17" s="80">
        <f t="shared" si="0"/>
        <v>122.93274531422271</v>
      </c>
      <c r="F17" s="82"/>
      <c r="G17" s="82"/>
      <c r="H17" s="82">
        <v>907</v>
      </c>
      <c r="I17" s="82">
        <v>1115</v>
      </c>
      <c r="J17" s="82"/>
      <c r="K17" s="82"/>
      <c r="L17" s="19"/>
      <c r="M17" s="19"/>
    </row>
    <row r="18" spans="1:13" ht="16.5">
      <c r="A18" s="30">
        <v>13</v>
      </c>
      <c r="B18" s="31" t="s">
        <v>71</v>
      </c>
      <c r="C18" s="81">
        <v>3.2</v>
      </c>
      <c r="D18" s="81">
        <v>11.6</v>
      </c>
      <c r="E18" s="80">
        <f t="shared" si="0"/>
        <v>362.5</v>
      </c>
      <c r="F18" s="82"/>
      <c r="G18" s="82"/>
      <c r="H18" s="82"/>
      <c r="I18" s="82"/>
      <c r="J18" s="82">
        <v>3.2</v>
      </c>
      <c r="K18" s="82">
        <v>11.6</v>
      </c>
      <c r="L18" s="19"/>
      <c r="M18" s="19"/>
    </row>
    <row r="19" spans="1:13" ht="16.5">
      <c r="A19" s="30">
        <v>14</v>
      </c>
      <c r="B19" s="31" t="s">
        <v>114</v>
      </c>
      <c r="C19" s="81"/>
      <c r="D19" s="81">
        <v>1.4</v>
      </c>
      <c r="E19" s="80"/>
      <c r="F19" s="82"/>
      <c r="G19" s="82"/>
      <c r="H19" s="82"/>
      <c r="I19" s="82"/>
      <c r="J19" s="82"/>
      <c r="K19" s="82">
        <v>1.4</v>
      </c>
      <c r="L19" s="19"/>
      <c r="M19" s="19"/>
    </row>
    <row r="20" spans="1:13" ht="46.5" customHeight="1">
      <c r="A20" s="225" t="s">
        <v>89</v>
      </c>
      <c r="B20" s="226"/>
      <c r="C20" s="81">
        <f>SUM(C6:C18)</f>
        <v>1259.55</v>
      </c>
      <c r="D20" s="81">
        <f>SUM(D6:D19)</f>
        <v>1426.84</v>
      </c>
      <c r="E20" s="80">
        <f t="shared" si="0"/>
        <v>113.28172760112739</v>
      </c>
      <c r="F20" s="82">
        <f>SUM(F6:F18)</f>
        <v>282</v>
      </c>
      <c r="G20" s="82">
        <f>SUM(G6:G18)</f>
        <v>253.841</v>
      </c>
      <c r="H20" s="82">
        <f>SUM(H6:H18)</f>
        <v>955.2</v>
      </c>
      <c r="I20" s="82">
        <f>SUM(I6:I18)</f>
        <v>1141.8</v>
      </c>
      <c r="J20" s="82">
        <f>SUM(J6:J18)</f>
        <v>22.35</v>
      </c>
      <c r="K20" s="82">
        <f>SUM(K6:K19)</f>
        <v>31.198999999999998</v>
      </c>
      <c r="L20" s="19"/>
      <c r="M20" s="19"/>
    </row>
    <row r="21" spans="1:13" ht="16.5">
      <c r="A21" s="30">
        <v>1</v>
      </c>
      <c r="B21" s="31" t="s">
        <v>110</v>
      </c>
      <c r="C21" s="2"/>
      <c r="D21" s="81">
        <v>0.6</v>
      </c>
      <c r="E21" s="80"/>
      <c r="F21" s="2"/>
      <c r="G21" s="81">
        <v>0.4</v>
      </c>
      <c r="H21" s="2"/>
      <c r="I21" s="2"/>
      <c r="J21" s="82"/>
      <c r="K21" s="82">
        <v>0.2</v>
      </c>
      <c r="L21" s="19"/>
      <c r="M21" s="19"/>
    </row>
    <row r="22" spans="1:13" ht="16.5">
      <c r="A22" s="30">
        <v>2</v>
      </c>
      <c r="B22" s="31" t="s">
        <v>113</v>
      </c>
      <c r="C22" s="2"/>
      <c r="D22" s="2"/>
      <c r="E22" s="80"/>
      <c r="F22" s="2"/>
      <c r="G22" s="2"/>
      <c r="H22" s="2"/>
      <c r="I22" s="2"/>
      <c r="J22" s="82"/>
      <c r="K22" s="82"/>
      <c r="L22" s="19"/>
      <c r="M22" s="19"/>
    </row>
    <row r="23" spans="1:13" ht="16.5">
      <c r="A23" s="30">
        <v>3</v>
      </c>
      <c r="B23" s="31" t="s">
        <v>82</v>
      </c>
      <c r="C23" s="81">
        <v>0.5</v>
      </c>
      <c r="D23" s="81">
        <v>1.8</v>
      </c>
      <c r="E23" s="80">
        <f t="shared" si="0"/>
        <v>360</v>
      </c>
      <c r="F23" s="82"/>
      <c r="G23" s="82"/>
      <c r="H23" s="82">
        <v>0.5</v>
      </c>
      <c r="I23" s="82">
        <v>1.8</v>
      </c>
      <c r="J23" s="82"/>
      <c r="K23" s="82"/>
      <c r="L23" s="19"/>
      <c r="M23" s="19"/>
    </row>
    <row r="24" spans="1:13" ht="18">
      <c r="A24" s="4">
        <v>4</v>
      </c>
      <c r="B24" s="134" t="s">
        <v>88</v>
      </c>
      <c r="C24" s="135">
        <v>3.12</v>
      </c>
      <c r="D24" s="135">
        <v>0.89</v>
      </c>
      <c r="E24" s="136">
        <f t="shared" si="0"/>
        <v>28.525641025641026</v>
      </c>
      <c r="F24" s="137"/>
      <c r="G24" s="138">
        <v>0.29</v>
      </c>
      <c r="H24" s="137"/>
      <c r="I24" s="138"/>
      <c r="J24" s="138">
        <v>3.12</v>
      </c>
      <c r="K24" s="138">
        <v>0.6</v>
      </c>
      <c r="L24" s="19"/>
      <c r="M24" s="19"/>
    </row>
    <row r="25" spans="1:13" s="71" customFormat="1" ht="18">
      <c r="A25" s="30">
        <v>5</v>
      </c>
      <c r="B25" s="31" t="s">
        <v>126</v>
      </c>
      <c r="C25" s="81"/>
      <c r="D25" s="81">
        <v>0.15</v>
      </c>
      <c r="E25" s="80"/>
      <c r="F25" s="15"/>
      <c r="G25" s="82"/>
      <c r="H25" s="15"/>
      <c r="I25" s="82">
        <v>0.15</v>
      </c>
      <c r="J25" s="82"/>
      <c r="K25" s="82"/>
      <c r="L25" s="143"/>
      <c r="M25" s="143"/>
    </row>
    <row r="26" spans="1:13" ht="18">
      <c r="A26" s="227" t="s">
        <v>90</v>
      </c>
      <c r="B26" s="228"/>
      <c r="C26" s="139">
        <f>SUM(C23:C24)</f>
        <v>3.62</v>
      </c>
      <c r="D26" s="139">
        <f>SUM(D21:D25)</f>
        <v>3.44</v>
      </c>
      <c r="E26" s="140">
        <f t="shared" si="0"/>
        <v>95.02762430939227</v>
      </c>
      <c r="F26" s="141">
        <f>SUM(F23:F24)</f>
        <v>0</v>
      </c>
      <c r="G26" s="142">
        <f>SUM(G21:G24)</f>
        <v>0.69</v>
      </c>
      <c r="H26" s="141">
        <f>SUM(H23:H24)</f>
        <v>0.5</v>
      </c>
      <c r="I26" s="142">
        <f>SUM(I21:I25)</f>
        <v>1.95</v>
      </c>
      <c r="J26" s="142">
        <f>SUM(J21:J24)</f>
        <v>3.12</v>
      </c>
      <c r="K26" s="142">
        <f>SUM(K21:K24)</f>
        <v>0.8</v>
      </c>
      <c r="L26" s="19"/>
      <c r="M26" s="19"/>
    </row>
    <row r="27" spans="1:13" ht="16.5">
      <c r="A27" s="220" t="s">
        <v>91</v>
      </c>
      <c r="B27" s="221"/>
      <c r="C27" s="83">
        <f>C20+C26</f>
        <v>1263.1699999999998</v>
      </c>
      <c r="D27" s="83">
        <f>D20+D26</f>
        <v>1430.28</v>
      </c>
      <c r="E27" s="80">
        <f t="shared" si="0"/>
        <v>113.22941488477403</v>
      </c>
      <c r="F27" s="83">
        <f aca="true" t="shared" si="1" ref="F27:K27">F20+F26</f>
        <v>282</v>
      </c>
      <c r="G27" s="83">
        <f t="shared" si="1"/>
        <v>254.531</v>
      </c>
      <c r="H27" s="83">
        <f t="shared" si="1"/>
        <v>955.7</v>
      </c>
      <c r="I27" s="83">
        <f t="shared" si="1"/>
        <v>1143.75</v>
      </c>
      <c r="J27" s="83">
        <f t="shared" si="1"/>
        <v>25.470000000000002</v>
      </c>
      <c r="K27" s="83">
        <f t="shared" si="1"/>
        <v>31.999</v>
      </c>
      <c r="L27" s="19"/>
      <c r="M27" s="19"/>
    </row>
  </sheetData>
  <sheetProtection/>
  <mergeCells count="5">
    <mergeCell ref="A27:B27"/>
    <mergeCell ref="A3:A5"/>
    <mergeCell ref="B3:B5"/>
    <mergeCell ref="A20:B20"/>
    <mergeCell ref="A26:B2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V24" sqref="V24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8.625" style="0" customWidth="1"/>
    <col min="4" max="4" width="9.375" style="0" customWidth="1"/>
    <col min="5" max="5" width="8.25390625" style="0" customWidth="1"/>
    <col min="6" max="6" width="7.125" style="0" customWidth="1"/>
    <col min="7" max="7" width="7.6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2:20" ht="15.75">
      <c r="B2" s="19"/>
      <c r="C2" s="19"/>
      <c r="D2" s="19"/>
      <c r="E2" s="19"/>
      <c r="F2" s="19"/>
      <c r="G2" s="1" t="s">
        <v>117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>
      <c r="A4" s="76"/>
      <c r="B4" s="22" t="s">
        <v>3</v>
      </c>
      <c r="C4" s="25" t="s">
        <v>65</v>
      </c>
      <c r="D4" s="102"/>
      <c r="E4" s="102"/>
      <c r="F4" s="100"/>
      <c r="G4" s="100"/>
      <c r="H4" s="103"/>
      <c r="I4" s="95" t="s">
        <v>46</v>
      </c>
      <c r="J4" s="100"/>
      <c r="K4" s="102"/>
      <c r="L4" s="100"/>
      <c r="M4" s="100"/>
      <c r="N4" s="103"/>
      <c r="O4" s="95" t="s">
        <v>47</v>
      </c>
      <c r="P4" s="100"/>
      <c r="Q4" s="102"/>
      <c r="R4" s="100"/>
      <c r="S4" s="100"/>
      <c r="T4" s="103"/>
    </row>
    <row r="5" spans="1:20" ht="15" customHeight="1">
      <c r="A5" s="77" t="s">
        <v>2</v>
      </c>
      <c r="B5" s="32"/>
      <c r="C5" s="24" t="s">
        <v>48</v>
      </c>
      <c r="D5" s="100"/>
      <c r="E5" s="160" t="s">
        <v>104</v>
      </c>
      <c r="F5" s="95" t="s">
        <v>49</v>
      </c>
      <c r="G5" s="99"/>
      <c r="H5" s="160" t="s">
        <v>104</v>
      </c>
      <c r="I5" s="163" t="s">
        <v>48</v>
      </c>
      <c r="J5" s="163"/>
      <c r="K5" s="160" t="s">
        <v>104</v>
      </c>
      <c r="L5" s="163" t="s">
        <v>49</v>
      </c>
      <c r="M5" s="163"/>
      <c r="N5" s="160" t="s">
        <v>104</v>
      </c>
      <c r="O5" s="100" t="s">
        <v>48</v>
      </c>
      <c r="P5" s="100"/>
      <c r="Q5" s="160" t="s">
        <v>85</v>
      </c>
      <c r="R5" s="164" t="s">
        <v>49</v>
      </c>
      <c r="S5" s="165"/>
      <c r="T5" s="160" t="s">
        <v>104</v>
      </c>
    </row>
    <row r="6" spans="1:20" ht="15">
      <c r="A6" s="77" t="s">
        <v>70</v>
      </c>
      <c r="B6" s="32"/>
      <c r="C6" s="158">
        <v>2011</v>
      </c>
      <c r="D6" s="158">
        <v>2012</v>
      </c>
      <c r="E6" s="161"/>
      <c r="F6" s="158">
        <v>2011</v>
      </c>
      <c r="G6" s="158">
        <v>2012</v>
      </c>
      <c r="H6" s="161"/>
      <c r="I6" s="158">
        <v>2011</v>
      </c>
      <c r="J6" s="158">
        <v>2012</v>
      </c>
      <c r="K6" s="161"/>
      <c r="L6" s="158">
        <v>2011</v>
      </c>
      <c r="M6" s="158">
        <v>2012</v>
      </c>
      <c r="N6" s="161"/>
      <c r="O6" s="158">
        <v>2011</v>
      </c>
      <c r="P6" s="158">
        <v>2012</v>
      </c>
      <c r="Q6" s="161"/>
      <c r="R6" s="158">
        <v>2011</v>
      </c>
      <c r="S6" s="158">
        <v>2012</v>
      </c>
      <c r="T6" s="161"/>
    </row>
    <row r="7" spans="1:20" ht="15">
      <c r="A7" s="78"/>
      <c r="B7" s="28"/>
      <c r="C7" s="159"/>
      <c r="D7" s="159"/>
      <c r="E7" s="162"/>
      <c r="F7" s="159"/>
      <c r="G7" s="159"/>
      <c r="H7" s="162"/>
      <c r="I7" s="159"/>
      <c r="J7" s="159"/>
      <c r="K7" s="162"/>
      <c r="L7" s="159"/>
      <c r="M7" s="159"/>
      <c r="N7" s="162"/>
      <c r="O7" s="159"/>
      <c r="P7" s="159"/>
      <c r="Q7" s="162"/>
      <c r="R7" s="159"/>
      <c r="S7" s="159"/>
      <c r="T7" s="162"/>
    </row>
    <row r="8" spans="1:20" ht="15">
      <c r="A8" s="2">
        <v>1</v>
      </c>
      <c r="B8" s="21" t="s">
        <v>55</v>
      </c>
      <c r="C8" s="121">
        <v>257</v>
      </c>
      <c r="D8" s="3">
        <v>217</v>
      </c>
      <c r="E8" s="35">
        <f aca="true" t="shared" si="0" ref="E8:E18">D8/C8*100</f>
        <v>84.43579766536965</v>
      </c>
      <c r="F8" s="3"/>
      <c r="G8" s="3"/>
      <c r="H8" s="35"/>
      <c r="I8" s="3">
        <v>61478</v>
      </c>
      <c r="J8" s="3">
        <v>39516</v>
      </c>
      <c r="K8" s="35">
        <f>J8*100/I8</f>
        <v>64.27665181040372</v>
      </c>
      <c r="L8" s="3"/>
      <c r="M8" s="3"/>
      <c r="N8" s="35"/>
      <c r="O8" s="35">
        <f aca="true" t="shared" si="1" ref="O8:O18">C8/I8*100000</f>
        <v>418.0357200949933</v>
      </c>
      <c r="P8" s="35">
        <f aca="true" t="shared" si="2" ref="P8:P17">D8/J8*100000</f>
        <v>549.1446502682458</v>
      </c>
      <c r="Q8" s="35">
        <f aca="true" t="shared" si="3" ref="Q8:Q18">P8/O8*100</f>
        <v>131.36309264276738</v>
      </c>
      <c r="R8" s="35"/>
      <c r="S8" s="35"/>
      <c r="T8" s="35"/>
    </row>
    <row r="9" spans="1:20" ht="15">
      <c r="A9" s="2">
        <v>2</v>
      </c>
      <c r="B9" s="21" t="s">
        <v>56</v>
      </c>
      <c r="C9" s="121">
        <v>144</v>
      </c>
      <c r="D9" s="3">
        <v>135.83</v>
      </c>
      <c r="E9" s="35">
        <f t="shared" si="0"/>
        <v>94.3263888888889</v>
      </c>
      <c r="F9" s="3"/>
      <c r="G9" s="3"/>
      <c r="H9" s="35"/>
      <c r="I9" s="3">
        <v>41768</v>
      </c>
      <c r="J9" s="3">
        <v>43993</v>
      </c>
      <c r="K9" s="35">
        <f aca="true" t="shared" si="4" ref="K9:K24">J9*100/I9</f>
        <v>105.32704462746601</v>
      </c>
      <c r="L9" s="3"/>
      <c r="M9" s="3"/>
      <c r="N9" s="35"/>
      <c r="O9" s="35">
        <f t="shared" si="1"/>
        <v>344.7615399348784</v>
      </c>
      <c r="P9" s="35">
        <f t="shared" si="2"/>
        <v>308.7536653558521</v>
      </c>
      <c r="Q9" s="35">
        <f t="shared" si="3"/>
        <v>89.55571593460576</v>
      </c>
      <c r="R9" s="35"/>
      <c r="S9" s="35"/>
      <c r="T9" s="35"/>
    </row>
    <row r="10" spans="1:20" ht="15">
      <c r="A10" s="2">
        <v>3</v>
      </c>
      <c r="B10" s="36" t="s">
        <v>57</v>
      </c>
      <c r="C10" s="122">
        <v>109</v>
      </c>
      <c r="D10" s="18">
        <v>91</v>
      </c>
      <c r="E10" s="35">
        <f t="shared" si="0"/>
        <v>83.4862385321101</v>
      </c>
      <c r="F10" s="18"/>
      <c r="G10" s="18"/>
      <c r="H10" s="35"/>
      <c r="I10" s="3">
        <v>17087</v>
      </c>
      <c r="J10" s="3">
        <v>13138</v>
      </c>
      <c r="K10" s="35">
        <f t="shared" si="4"/>
        <v>76.88886287821151</v>
      </c>
      <c r="L10" s="18"/>
      <c r="M10" s="18"/>
      <c r="N10" s="85"/>
      <c r="O10" s="35">
        <f t="shared" si="1"/>
        <v>637.9118628196875</v>
      </c>
      <c r="P10" s="35">
        <f t="shared" si="2"/>
        <v>692.6472826914294</v>
      </c>
      <c r="Q10" s="35">
        <f t="shared" si="3"/>
        <v>108.5804047646647</v>
      </c>
      <c r="R10" s="85"/>
      <c r="S10" s="85"/>
      <c r="T10" s="85"/>
    </row>
    <row r="11" spans="1:20" ht="15">
      <c r="A11" s="2">
        <v>4</v>
      </c>
      <c r="B11" s="21" t="s">
        <v>58</v>
      </c>
      <c r="C11" s="121">
        <v>669</v>
      </c>
      <c r="D11" s="3">
        <v>672.8</v>
      </c>
      <c r="E11" s="35">
        <f t="shared" si="0"/>
        <v>100.56801195814649</v>
      </c>
      <c r="F11" s="3">
        <v>302.2</v>
      </c>
      <c r="G11" s="3">
        <v>260</v>
      </c>
      <c r="H11" s="35">
        <f>G11/F11*100</f>
        <v>86.03573792190603</v>
      </c>
      <c r="I11" s="3">
        <v>163716</v>
      </c>
      <c r="J11" s="3">
        <v>164280</v>
      </c>
      <c r="K11" s="35">
        <f t="shared" si="4"/>
        <v>100.34449901048157</v>
      </c>
      <c r="L11" s="3">
        <v>70805</v>
      </c>
      <c r="M11" s="3">
        <v>63643</v>
      </c>
      <c r="N11" s="35">
        <f>M11/L11*100</f>
        <v>89.8848951345244</v>
      </c>
      <c r="O11" s="35">
        <f t="shared" si="1"/>
        <v>408.6344645605805</v>
      </c>
      <c r="P11" s="35">
        <f t="shared" si="2"/>
        <v>409.54467981495003</v>
      </c>
      <c r="Q11" s="35">
        <f t="shared" si="3"/>
        <v>100.22274559130697</v>
      </c>
      <c r="R11" s="35">
        <f>F11/L11*100000</f>
        <v>426.8060165242568</v>
      </c>
      <c r="S11" s="35">
        <f>G11/M11*100000</f>
        <v>408.5288248511227</v>
      </c>
      <c r="T11" s="35">
        <f>S11/R11*100</f>
        <v>95.7176818119912</v>
      </c>
    </row>
    <row r="12" spans="1:20" ht="15">
      <c r="A12" s="2">
        <v>5</v>
      </c>
      <c r="B12" s="21" t="s">
        <v>59</v>
      </c>
      <c r="C12" s="123">
        <v>220</v>
      </c>
      <c r="D12" s="86">
        <v>157.2</v>
      </c>
      <c r="E12" s="87">
        <f t="shared" si="0"/>
        <v>71.45454545454545</v>
      </c>
      <c r="F12" s="86">
        <v>175.8</v>
      </c>
      <c r="G12" s="86">
        <v>17.39</v>
      </c>
      <c r="H12" s="35">
        <f>G12/F12*100</f>
        <v>9.891922639362912</v>
      </c>
      <c r="I12" s="3">
        <v>45082</v>
      </c>
      <c r="J12" s="3">
        <v>47968</v>
      </c>
      <c r="K12" s="35">
        <f t="shared" si="4"/>
        <v>106.40166807151412</v>
      </c>
      <c r="L12" s="3">
        <v>49046</v>
      </c>
      <c r="M12" s="3">
        <v>22893</v>
      </c>
      <c r="N12" s="35">
        <f>M12/L12*100</f>
        <v>46.67658932430779</v>
      </c>
      <c r="O12" s="35">
        <f t="shared" si="1"/>
        <v>487.99964509116717</v>
      </c>
      <c r="P12" s="35">
        <f t="shared" si="2"/>
        <v>327.71847898599066</v>
      </c>
      <c r="Q12" s="35">
        <f t="shared" si="3"/>
        <v>67.15547486202924</v>
      </c>
      <c r="R12" s="35">
        <f>F12/L12*100000</f>
        <v>358.4390164335522</v>
      </c>
      <c r="S12" s="35">
        <f>G12/M12*100000</f>
        <v>75.96208447997205</v>
      </c>
      <c r="T12" s="35">
        <f>S12/R12*100</f>
        <v>21.192470963621783</v>
      </c>
    </row>
    <row r="13" spans="1:20" ht="15">
      <c r="A13" s="2">
        <v>6</v>
      </c>
      <c r="B13" s="37" t="s">
        <v>73</v>
      </c>
      <c r="C13" s="123">
        <v>165.6</v>
      </c>
      <c r="D13" s="86">
        <v>210.59</v>
      </c>
      <c r="E13" s="87">
        <f t="shared" si="0"/>
        <v>127.16787439613529</v>
      </c>
      <c r="F13" s="86"/>
      <c r="G13" s="86"/>
      <c r="H13" s="87"/>
      <c r="I13" s="86">
        <v>42816</v>
      </c>
      <c r="J13" s="86">
        <v>39743</v>
      </c>
      <c r="K13" s="35">
        <f t="shared" si="4"/>
        <v>92.82277653213752</v>
      </c>
      <c r="L13" s="86"/>
      <c r="M13" s="86"/>
      <c r="N13" s="87"/>
      <c r="O13" s="35">
        <f t="shared" si="1"/>
        <v>386.7713004484305</v>
      </c>
      <c r="P13" s="35">
        <f t="shared" si="2"/>
        <v>529.8794756309288</v>
      </c>
      <c r="Q13" s="35">
        <f t="shared" si="3"/>
        <v>137.00072239501117</v>
      </c>
      <c r="R13" s="35"/>
      <c r="S13" s="35"/>
      <c r="T13" s="87"/>
    </row>
    <row r="14" spans="1:20" ht="15">
      <c r="A14" s="2">
        <v>7</v>
      </c>
      <c r="B14" s="37" t="s">
        <v>60</v>
      </c>
      <c r="C14" s="123">
        <v>52.7</v>
      </c>
      <c r="D14" s="86"/>
      <c r="E14" s="87">
        <f t="shared" si="0"/>
        <v>0</v>
      </c>
      <c r="F14" s="86"/>
      <c r="G14" s="86"/>
      <c r="H14" s="87"/>
      <c r="I14" s="86">
        <v>22350</v>
      </c>
      <c r="J14" s="86"/>
      <c r="K14" s="35">
        <f t="shared" si="4"/>
        <v>0</v>
      </c>
      <c r="L14" s="86"/>
      <c r="M14" s="86"/>
      <c r="N14" s="87"/>
      <c r="O14" s="35">
        <f t="shared" si="1"/>
        <v>235.79418344519019</v>
      </c>
      <c r="P14" s="35"/>
      <c r="Q14" s="87"/>
      <c r="R14" s="35"/>
      <c r="S14" s="3"/>
      <c r="T14" s="87"/>
    </row>
    <row r="15" spans="1:20" ht="15">
      <c r="A15" s="2">
        <v>8</v>
      </c>
      <c r="B15" s="31" t="s">
        <v>87</v>
      </c>
      <c r="C15" s="123">
        <v>76.6</v>
      </c>
      <c r="D15" s="86">
        <v>190.57</v>
      </c>
      <c r="E15" s="87">
        <f t="shared" si="0"/>
        <v>248.7859007832898</v>
      </c>
      <c r="F15" s="86"/>
      <c r="G15" s="86"/>
      <c r="H15" s="87"/>
      <c r="I15" s="86">
        <v>24209</v>
      </c>
      <c r="J15" s="86">
        <v>62320</v>
      </c>
      <c r="K15" s="35">
        <f t="shared" si="4"/>
        <v>257.42492461481265</v>
      </c>
      <c r="L15" s="86"/>
      <c r="M15" s="86"/>
      <c r="N15" s="87"/>
      <c r="O15" s="35">
        <f t="shared" si="1"/>
        <v>316.41125201371386</v>
      </c>
      <c r="P15" s="35">
        <f t="shared" si="2"/>
        <v>305.79268292682923</v>
      </c>
      <c r="Q15" s="89">
        <f t="shared" si="3"/>
        <v>96.64406084824556</v>
      </c>
      <c r="R15" s="35"/>
      <c r="S15" s="3"/>
      <c r="T15" s="87"/>
    </row>
    <row r="16" spans="1:20" s="68" customFormat="1" ht="15">
      <c r="A16" s="2">
        <v>9</v>
      </c>
      <c r="B16" s="31" t="s">
        <v>72</v>
      </c>
      <c r="C16" s="124">
        <v>147.7</v>
      </c>
      <c r="D16" s="88">
        <v>265.69</v>
      </c>
      <c r="E16" s="89">
        <f t="shared" si="0"/>
        <v>179.8849018280298</v>
      </c>
      <c r="F16" s="88"/>
      <c r="G16" s="88"/>
      <c r="H16" s="89"/>
      <c r="I16" s="88">
        <v>35910</v>
      </c>
      <c r="J16" s="88">
        <v>56514</v>
      </c>
      <c r="K16" s="35">
        <f t="shared" si="4"/>
        <v>157.37677527151212</v>
      </c>
      <c r="L16" s="88"/>
      <c r="M16" s="88"/>
      <c r="N16" s="89"/>
      <c r="O16" s="35">
        <f t="shared" si="1"/>
        <v>411.30604288499023</v>
      </c>
      <c r="P16" s="35">
        <f t="shared" si="2"/>
        <v>470.1312949003787</v>
      </c>
      <c r="Q16" s="89">
        <f t="shared" si="3"/>
        <v>114.30206364165605</v>
      </c>
      <c r="R16" s="35"/>
      <c r="S16" s="35"/>
      <c r="T16" s="35"/>
    </row>
    <row r="17" spans="1:20" ht="15">
      <c r="A17" s="2">
        <v>10</v>
      </c>
      <c r="B17" s="37" t="s">
        <v>61</v>
      </c>
      <c r="C17" s="123">
        <v>218</v>
      </c>
      <c r="D17" s="86">
        <v>240</v>
      </c>
      <c r="E17" s="87">
        <f t="shared" si="0"/>
        <v>110.09174311926606</v>
      </c>
      <c r="F17" s="86"/>
      <c r="G17" s="86"/>
      <c r="H17" s="87"/>
      <c r="I17" s="86">
        <v>46684</v>
      </c>
      <c r="J17" s="86">
        <v>45447</v>
      </c>
      <c r="K17" s="35">
        <f t="shared" si="4"/>
        <v>97.35026989975152</v>
      </c>
      <c r="L17" s="86"/>
      <c r="M17" s="86"/>
      <c r="N17" s="87"/>
      <c r="O17" s="35">
        <f t="shared" si="1"/>
        <v>466.96941136149434</v>
      </c>
      <c r="P17" s="35">
        <f t="shared" si="2"/>
        <v>528.0876625519836</v>
      </c>
      <c r="Q17" s="87">
        <f t="shared" si="3"/>
        <v>113.08827724117798</v>
      </c>
      <c r="R17" s="35"/>
      <c r="S17" s="35"/>
      <c r="T17" s="87"/>
    </row>
    <row r="18" spans="1:20" ht="15">
      <c r="A18" s="2">
        <v>11</v>
      </c>
      <c r="B18" s="37" t="s">
        <v>62</v>
      </c>
      <c r="C18" s="123">
        <v>71.1</v>
      </c>
      <c r="D18" s="86">
        <v>24.5</v>
      </c>
      <c r="E18" s="87">
        <f t="shared" si="0"/>
        <v>34.45850914205345</v>
      </c>
      <c r="F18" s="86"/>
      <c r="G18" s="86"/>
      <c r="H18" s="87"/>
      <c r="I18" s="86">
        <v>12771</v>
      </c>
      <c r="J18" s="86">
        <v>3070</v>
      </c>
      <c r="K18" s="35">
        <f t="shared" si="4"/>
        <v>24.038837992326364</v>
      </c>
      <c r="L18" s="86"/>
      <c r="M18" s="86"/>
      <c r="N18" s="87"/>
      <c r="O18" s="35">
        <f t="shared" si="1"/>
        <v>556.7300916138125</v>
      </c>
      <c r="P18" s="35">
        <f>D18/J18*100000</f>
        <v>798.0456026058631</v>
      </c>
      <c r="Q18" s="87">
        <f t="shared" si="3"/>
        <v>143.34515317692654</v>
      </c>
      <c r="R18" s="35"/>
      <c r="S18" s="35"/>
      <c r="T18" s="87"/>
    </row>
    <row r="19" spans="1:20" ht="15">
      <c r="A19" s="2">
        <v>12</v>
      </c>
      <c r="B19" s="79" t="s">
        <v>63</v>
      </c>
      <c r="C19" s="123"/>
      <c r="D19" s="86"/>
      <c r="E19" s="87"/>
      <c r="F19" s="86">
        <v>9384</v>
      </c>
      <c r="G19" s="86">
        <v>11897</v>
      </c>
      <c r="H19" s="87">
        <f>G19/F19*100</f>
        <v>126.77962489343564</v>
      </c>
      <c r="I19" s="3"/>
      <c r="J19" s="86"/>
      <c r="K19" s="35"/>
      <c r="L19" s="86">
        <v>2426371</v>
      </c>
      <c r="M19" s="86">
        <v>2825437</v>
      </c>
      <c r="N19" s="87">
        <f>M19/L19*100</f>
        <v>116.44703138967618</v>
      </c>
      <c r="O19" s="35"/>
      <c r="P19" s="35"/>
      <c r="Q19" s="87"/>
      <c r="R19" s="35">
        <f aca="true" t="shared" si="5" ref="R19:S22">F19/L19*100000</f>
        <v>386.75041862930277</v>
      </c>
      <c r="S19" s="35">
        <f t="shared" si="5"/>
        <v>421.06760830271566</v>
      </c>
      <c r="T19" s="87">
        <f>S19/R19*100</f>
        <v>108.87321332321702</v>
      </c>
    </row>
    <row r="20" spans="1:20" ht="43.5" customHeight="1">
      <c r="A20" s="154" t="s">
        <v>103</v>
      </c>
      <c r="B20" s="155"/>
      <c r="C20" s="125">
        <f>SUM(C8:C19)</f>
        <v>2130.7</v>
      </c>
      <c r="D20" s="3">
        <f>SUM(D8:D19)</f>
        <v>2205.1800000000003</v>
      </c>
      <c r="E20" s="35">
        <f>D20/C20*100</f>
        <v>103.49556483784674</v>
      </c>
      <c r="F20" s="35">
        <f>SUM(F11:F19)</f>
        <v>9862</v>
      </c>
      <c r="G20" s="3">
        <f>SUM(G11:G19)</f>
        <v>12174.39</v>
      </c>
      <c r="H20" s="35">
        <f>G20/F20*100</f>
        <v>123.44747515716892</v>
      </c>
      <c r="I20" s="3">
        <f>SUM(I8:I19)</f>
        <v>513871</v>
      </c>
      <c r="J20" s="3">
        <f>SUM(J8:J19)</f>
        <v>515989</v>
      </c>
      <c r="K20" s="35">
        <f t="shared" si="4"/>
        <v>100.41216569917353</v>
      </c>
      <c r="L20" s="3">
        <f>SUM(L11:L19)</f>
        <v>2546222</v>
      </c>
      <c r="M20" s="3">
        <f>SUM(M11:M19)</f>
        <v>2911973</v>
      </c>
      <c r="N20" s="35">
        <f>M20/L20*100</f>
        <v>114.36445840150624</v>
      </c>
      <c r="O20" s="35">
        <f aca="true" t="shared" si="6" ref="O20:P24">C20/I20*100000</f>
        <v>414.6371365576185</v>
      </c>
      <c r="P20" s="35">
        <f t="shared" si="6"/>
        <v>427.36957570800934</v>
      </c>
      <c r="Q20" s="35">
        <f>P20/O20*100</f>
        <v>103.0707425910032</v>
      </c>
      <c r="R20" s="35">
        <f t="shared" si="5"/>
        <v>387.31893762602004</v>
      </c>
      <c r="S20" s="35">
        <f t="shared" si="5"/>
        <v>418.08045610313</v>
      </c>
      <c r="T20" s="35">
        <f>S20/R20*100</f>
        <v>107.9421674203837</v>
      </c>
    </row>
    <row r="21" spans="1:20" ht="17.25" customHeight="1">
      <c r="A21" s="133">
        <v>13</v>
      </c>
      <c r="B21" s="31" t="s">
        <v>110</v>
      </c>
      <c r="C21" s="125"/>
      <c r="D21" s="3">
        <v>1.2</v>
      </c>
      <c r="E21" s="35"/>
      <c r="F21" s="35"/>
      <c r="G21" s="3"/>
      <c r="H21" s="35"/>
      <c r="I21" s="3"/>
      <c r="J21" s="3">
        <v>241</v>
      </c>
      <c r="K21" s="35"/>
      <c r="L21" s="3"/>
      <c r="M21" s="3"/>
      <c r="N21" s="35"/>
      <c r="O21" s="35"/>
      <c r="P21" s="35">
        <f t="shared" si="6"/>
        <v>497.9253112033195</v>
      </c>
      <c r="Q21" s="35"/>
      <c r="R21" s="35"/>
      <c r="S21" s="35"/>
      <c r="T21" s="35"/>
    </row>
    <row r="22" spans="1:20" ht="15">
      <c r="A22" s="2">
        <v>13</v>
      </c>
      <c r="B22" s="31" t="s">
        <v>82</v>
      </c>
      <c r="C22" s="94"/>
      <c r="D22" s="86"/>
      <c r="E22" s="35"/>
      <c r="F22" s="86">
        <v>59</v>
      </c>
      <c r="G22" s="86">
        <v>45</v>
      </c>
      <c r="H22" s="35"/>
      <c r="I22" s="3"/>
      <c r="J22" s="86"/>
      <c r="K22" s="35"/>
      <c r="L22" s="86">
        <v>23645</v>
      </c>
      <c r="M22" s="86">
        <v>23921</v>
      </c>
      <c r="N22" s="87">
        <f>M22/L22*100</f>
        <v>101.16726580672446</v>
      </c>
      <c r="O22" s="35"/>
      <c r="P22" s="35"/>
      <c r="Q22" s="35"/>
      <c r="R22" s="35">
        <f t="shared" si="5"/>
        <v>249.52421230704167</v>
      </c>
      <c r="S22" s="35">
        <f t="shared" si="5"/>
        <v>188.11922578487523</v>
      </c>
      <c r="T22" s="35"/>
    </row>
    <row r="23" spans="1:20" ht="18" customHeight="1">
      <c r="A23" s="156" t="s">
        <v>90</v>
      </c>
      <c r="B23" s="157"/>
      <c r="C23" s="86"/>
      <c r="D23" s="86">
        <f>SUM(D21:D22)</f>
        <v>1.2</v>
      </c>
      <c r="E23" s="86"/>
      <c r="F23" s="86">
        <f>SUM(F22)</f>
        <v>59</v>
      </c>
      <c r="G23" s="86">
        <f>SUM(G22)</f>
        <v>45</v>
      </c>
      <c r="H23" s="35"/>
      <c r="I23" s="3"/>
      <c r="J23" s="86">
        <f>SUM(J21:J22)</f>
        <v>241</v>
      </c>
      <c r="K23" s="35"/>
      <c r="L23" s="86">
        <f>SUM(L22)</f>
        <v>23645</v>
      </c>
      <c r="M23" s="86">
        <f>SUM(M22)</f>
        <v>23921</v>
      </c>
      <c r="N23" s="87">
        <f>M23/L23*100</f>
        <v>101.16726580672446</v>
      </c>
      <c r="O23" s="35"/>
      <c r="P23" s="35">
        <f t="shared" si="6"/>
        <v>497.9253112033195</v>
      </c>
      <c r="Q23" s="35"/>
      <c r="R23" s="35">
        <f>F23/L23*100000</f>
        <v>249.52421230704167</v>
      </c>
      <c r="S23" s="35">
        <f>G23/M23*100000</f>
        <v>188.11922578487523</v>
      </c>
      <c r="T23" s="35"/>
    </row>
    <row r="24" spans="1:20" ht="36.75" customHeight="1">
      <c r="A24" s="152" t="s">
        <v>91</v>
      </c>
      <c r="B24" s="153"/>
      <c r="C24" s="87">
        <f>C20+C23</f>
        <v>2130.7</v>
      </c>
      <c r="D24" s="87">
        <f>D20+D23</f>
        <v>2206.38</v>
      </c>
      <c r="E24" s="35">
        <f>D24/C24*100</f>
        <v>103.55188435725351</v>
      </c>
      <c r="F24" s="87">
        <f>F20+F23</f>
        <v>9921</v>
      </c>
      <c r="G24" s="87">
        <f>G20+G23</f>
        <v>12219.39</v>
      </c>
      <c r="H24" s="35">
        <f>G24/F24*100</f>
        <v>123.1669186573934</v>
      </c>
      <c r="I24" s="87">
        <f>I20+I23</f>
        <v>513871</v>
      </c>
      <c r="J24" s="87">
        <f>J20+J23</f>
        <v>516230</v>
      </c>
      <c r="K24" s="35">
        <f t="shared" si="4"/>
        <v>100.4590646290606</v>
      </c>
      <c r="L24" s="87">
        <f>L20+L23</f>
        <v>2569867</v>
      </c>
      <c r="M24" s="87">
        <f>M20+M23</f>
        <v>2935894</v>
      </c>
      <c r="N24" s="87"/>
      <c r="O24" s="35">
        <f t="shared" si="6"/>
        <v>414.6371365576185</v>
      </c>
      <c r="P24" s="35">
        <f t="shared" si="6"/>
        <v>427.40251438312384</v>
      </c>
      <c r="Q24" s="35">
        <f>P24/O24*100</f>
        <v>103.0786865671236</v>
      </c>
      <c r="R24" s="35">
        <f>F24/L24*100000</f>
        <v>386.0511069249887</v>
      </c>
      <c r="S24" s="35">
        <f>G24/M24*100000</f>
        <v>416.20678403239356</v>
      </c>
      <c r="T24" s="35">
        <f>S24/R24*100</f>
        <v>107.81131735318769</v>
      </c>
    </row>
  </sheetData>
  <sheetProtection/>
  <mergeCells count="24">
    <mergeCell ref="R6:R7"/>
    <mergeCell ref="O6:O7"/>
    <mergeCell ref="G6:G7"/>
    <mergeCell ref="H5:H7"/>
    <mergeCell ref="J6:J7"/>
    <mergeCell ref="S6:S7"/>
    <mergeCell ref="F6:F7"/>
    <mergeCell ref="I6:I7"/>
    <mergeCell ref="K5:K7"/>
    <mergeCell ref="E5:E7"/>
    <mergeCell ref="Q5:Q7"/>
    <mergeCell ref="N5:N7"/>
    <mergeCell ref="I5:J5"/>
    <mergeCell ref="P6:P7"/>
    <mergeCell ref="C6:C7"/>
    <mergeCell ref="D6:D7"/>
    <mergeCell ref="A24:B24"/>
    <mergeCell ref="T5:T7"/>
    <mergeCell ref="L5:M5"/>
    <mergeCell ref="R5:S5"/>
    <mergeCell ref="L6:L7"/>
    <mergeCell ref="M6:M7"/>
    <mergeCell ref="A20:B20"/>
    <mergeCell ref="A23:B23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Normal="50" zoomScaleSheetLayoutView="75" zoomScalePageLayoutView="0" workbookViewId="0" topLeftCell="A3">
      <selection activeCell="O15" sqref="O15"/>
    </sheetView>
  </sheetViews>
  <sheetFormatPr defaultColWidth="9.00390625" defaultRowHeight="12.75"/>
  <cols>
    <col min="1" max="1" width="3.625" style="0" customWidth="1"/>
    <col min="2" max="2" width="34.625" style="0" customWidth="1"/>
    <col min="3" max="3" width="7.25390625" style="0" customWidth="1"/>
    <col min="4" max="4" width="7.125" style="0" customWidth="1"/>
    <col min="5" max="5" width="8.125" style="0" customWidth="1"/>
    <col min="6" max="6" width="9.75390625" style="0" customWidth="1"/>
    <col min="7" max="7" width="7.125" style="0" customWidth="1"/>
    <col min="8" max="8" width="7.375" style="0" customWidth="1"/>
    <col min="9" max="9" width="8.75390625" style="0" customWidth="1"/>
    <col min="10" max="10" width="8.375" style="0" customWidth="1"/>
    <col min="11" max="11" width="9.625" style="0" customWidth="1"/>
    <col min="12" max="12" width="13.75390625" style="0" customWidth="1"/>
    <col min="13" max="13" width="14.375" style="0" customWidth="1"/>
  </cols>
  <sheetData>
    <row r="1" ht="15.75">
      <c r="C1" s="1" t="s">
        <v>118</v>
      </c>
    </row>
    <row r="2" spans="1:13" ht="15">
      <c r="A2" s="19"/>
      <c r="B2" s="19"/>
      <c r="C2" s="19"/>
      <c r="D2" s="19"/>
      <c r="E2" s="19"/>
      <c r="F2" s="19"/>
      <c r="G2" s="19"/>
      <c r="H2" s="19"/>
      <c r="I2" s="10" t="s">
        <v>54</v>
      </c>
      <c r="J2" s="19"/>
      <c r="K2" s="19"/>
      <c r="L2" s="19"/>
      <c r="M2" s="19"/>
    </row>
    <row r="3" spans="1:13" ht="15" customHeight="1">
      <c r="A3" s="22" t="s">
        <v>2</v>
      </c>
      <c r="B3" s="22" t="s">
        <v>3</v>
      </c>
      <c r="C3" s="24"/>
      <c r="D3" s="24" t="s">
        <v>51</v>
      </c>
      <c r="E3" s="26"/>
      <c r="F3" s="177" t="s">
        <v>115</v>
      </c>
      <c r="G3" s="170" t="s">
        <v>10</v>
      </c>
      <c r="H3" s="171"/>
      <c r="I3" s="172"/>
      <c r="J3" s="24" t="s">
        <v>6</v>
      </c>
      <c r="K3" s="20" t="s">
        <v>7</v>
      </c>
      <c r="L3" s="173" t="s">
        <v>68</v>
      </c>
      <c r="M3" s="174"/>
    </row>
    <row r="4" spans="1:13" ht="15" customHeight="1">
      <c r="A4" s="32"/>
      <c r="B4" s="32"/>
      <c r="C4" s="9">
        <v>2011</v>
      </c>
      <c r="D4" s="41">
        <v>2012</v>
      </c>
      <c r="E4" s="18" t="s">
        <v>4</v>
      </c>
      <c r="F4" s="178"/>
      <c r="G4" s="9">
        <v>2011</v>
      </c>
      <c r="H4" s="41">
        <v>2012</v>
      </c>
      <c r="I4" s="18" t="s">
        <v>4</v>
      </c>
      <c r="J4" s="9">
        <v>2011</v>
      </c>
      <c r="K4" s="41">
        <v>2012</v>
      </c>
      <c r="L4" s="175" t="s">
        <v>1</v>
      </c>
      <c r="M4" s="175" t="s">
        <v>69</v>
      </c>
    </row>
    <row r="5" spans="1:13" ht="15">
      <c r="A5" s="28"/>
      <c r="B5" s="28"/>
      <c r="C5" s="27"/>
      <c r="D5" s="34"/>
      <c r="E5" s="11">
        <v>2011</v>
      </c>
      <c r="F5" s="179"/>
      <c r="G5" s="27"/>
      <c r="H5" s="34"/>
      <c r="I5" s="11">
        <v>2011</v>
      </c>
      <c r="J5" s="34"/>
      <c r="K5" s="28"/>
      <c r="L5" s="176"/>
      <c r="M5" s="176"/>
    </row>
    <row r="6" spans="1:13" ht="15">
      <c r="A6" s="3">
        <v>1</v>
      </c>
      <c r="B6" s="21" t="s">
        <v>55</v>
      </c>
      <c r="C6" s="3"/>
      <c r="D6" s="3"/>
      <c r="E6" s="35"/>
      <c r="F6" s="35"/>
      <c r="G6" s="3">
        <v>14</v>
      </c>
      <c r="H6" s="3">
        <v>9</v>
      </c>
      <c r="I6" s="87">
        <f aca="true" t="shared" si="0" ref="I6:I26">H6*100/G6</f>
        <v>64.28571428571429</v>
      </c>
      <c r="J6" s="120">
        <f>G6+(C6*0.2)+('численность 1'!M6*0.3)+'численность 1'!G6+(('численность 1'!C6-'численность 1'!G6)*0.6)</f>
        <v>282.2</v>
      </c>
      <c r="K6" s="120">
        <f>H6+(D6*0.2)+('численность 1'!N6*0.3)+'численность 1'!H6+(('численность 1'!D6-'численность 1'!H6)*0.6)</f>
        <v>243.6</v>
      </c>
      <c r="L6" s="3">
        <v>3980</v>
      </c>
      <c r="M6" s="3">
        <v>950</v>
      </c>
    </row>
    <row r="7" spans="1:13" ht="15">
      <c r="A7" s="3">
        <v>2</v>
      </c>
      <c r="B7" s="21" t="s">
        <v>56</v>
      </c>
      <c r="C7" s="3"/>
      <c r="D7" s="3"/>
      <c r="E7" s="35"/>
      <c r="F7" s="35"/>
      <c r="G7" s="3">
        <v>4</v>
      </c>
      <c r="H7" s="3">
        <v>4</v>
      </c>
      <c r="I7" s="87">
        <f t="shared" si="0"/>
        <v>100</v>
      </c>
      <c r="J7" s="120">
        <f>G7+(C7*0.2)+('численность 1'!M7*0.3)+'численность 1'!G7+(('численность 1'!C7-'численность 1'!G7)*0.6)</f>
        <v>170.2</v>
      </c>
      <c r="K7" s="120">
        <f>H7+(D7*0.2)+('численность 1'!N7*0.3)+'численность 1'!H7+(('численность 1'!D7-'численность 1'!H7)*0.6)</f>
        <v>179.2</v>
      </c>
      <c r="L7" s="3">
        <v>9794</v>
      </c>
      <c r="M7" s="3">
        <v>2096</v>
      </c>
    </row>
    <row r="8" spans="1:13" ht="15">
      <c r="A8" s="3">
        <v>3</v>
      </c>
      <c r="B8" s="21" t="s">
        <v>57</v>
      </c>
      <c r="C8" s="3"/>
      <c r="D8" s="3"/>
      <c r="E8" s="35"/>
      <c r="F8" s="35"/>
      <c r="G8" s="3">
        <v>1</v>
      </c>
      <c r="H8" s="3">
        <v>1</v>
      </c>
      <c r="I8" s="87"/>
      <c r="J8" s="120">
        <f>G8+(C8*0.2)+('численность 1'!M8*0.3)+'численность 1'!G8+(('численность 1'!C8-'численность 1'!G8)*0.6)</f>
        <v>95.19999999999999</v>
      </c>
      <c r="K8" s="120">
        <f>H8+(D8*0.2)+('численность 1'!N8*0.3)+'численность 1'!H8+(('численность 1'!D8-'численность 1'!H8)*0.6)</f>
        <v>98.19999999999999</v>
      </c>
      <c r="L8" s="3">
        <v>2494</v>
      </c>
      <c r="M8" s="3">
        <v>688</v>
      </c>
    </row>
    <row r="9" spans="1:13" ht="15">
      <c r="A9" s="3">
        <v>4</v>
      </c>
      <c r="B9" s="21" t="s">
        <v>58</v>
      </c>
      <c r="C9" s="3"/>
      <c r="D9" s="3"/>
      <c r="E9" s="3"/>
      <c r="F9" s="3"/>
      <c r="G9" s="3">
        <v>20</v>
      </c>
      <c r="H9" s="3">
        <v>21</v>
      </c>
      <c r="I9" s="87">
        <f t="shared" si="0"/>
        <v>105</v>
      </c>
      <c r="J9" s="120">
        <f>G9+(C9*0.2)+('численность 1'!M9*0.3)+'численность 1'!G9+(('численность 1'!C9-'численность 1'!G9)*0.6)</f>
        <v>738.1</v>
      </c>
      <c r="K9" s="120">
        <f>H9+(D9*0.2)+('численность 1'!N9*0.3)+'численность 1'!H9+(('численность 1'!D9-'численность 1'!H9)*0.6)</f>
        <v>798.5</v>
      </c>
      <c r="L9" s="86">
        <v>12860</v>
      </c>
      <c r="M9" s="86">
        <v>6000</v>
      </c>
    </row>
    <row r="10" spans="1:13" ht="15">
      <c r="A10" s="3">
        <v>5</v>
      </c>
      <c r="B10" s="21" t="s">
        <v>59</v>
      </c>
      <c r="C10" s="84">
        <v>145</v>
      </c>
      <c r="D10" s="3"/>
      <c r="E10" s="87"/>
      <c r="F10" s="87"/>
      <c r="G10" s="3">
        <v>16</v>
      </c>
      <c r="H10" s="3">
        <v>10</v>
      </c>
      <c r="I10" s="87">
        <f t="shared" si="0"/>
        <v>62.5</v>
      </c>
      <c r="J10" s="120">
        <f>G10+(C10*0.2)+('численность 1'!M10*0.3)+'численность 1'!G10+(('численность 1'!C10-'численность 1'!G10)*0.6)</f>
        <v>454.29999999999995</v>
      </c>
      <c r="K10" s="120">
        <f>H10+(D10*0.2)+('численность 1'!N10*0.3)+'численность 1'!H10+(('численность 1'!D10-'численность 1'!H10)*0.6)</f>
        <v>295.2</v>
      </c>
      <c r="L10" s="3">
        <v>5227</v>
      </c>
      <c r="M10" s="3">
        <v>1985</v>
      </c>
    </row>
    <row r="11" spans="1:13" ht="15">
      <c r="A11" s="3">
        <v>6</v>
      </c>
      <c r="B11" s="37" t="s">
        <v>73</v>
      </c>
      <c r="C11" s="86"/>
      <c r="D11" s="86"/>
      <c r="E11" s="87"/>
      <c r="F11" s="87"/>
      <c r="G11" s="3">
        <v>9</v>
      </c>
      <c r="H11" s="3">
        <v>8</v>
      </c>
      <c r="I11" s="87">
        <f t="shared" si="0"/>
        <v>88.88888888888889</v>
      </c>
      <c r="J11" s="120">
        <f>G11+(C11*0.2)+('численность 1'!M11*0.3)+'численность 1'!G11+(('численность 1'!C11-'численность 1'!G11)*0.6)</f>
        <v>206.8</v>
      </c>
      <c r="K11" s="120">
        <f>H11+(D11*0.2)+('численность 1'!N11*0.3)+'численность 1'!H11+(('численность 1'!D11-'численность 1'!H11)*0.6)</f>
        <v>185.39999999999998</v>
      </c>
      <c r="L11" s="86">
        <v>9086</v>
      </c>
      <c r="M11" s="86">
        <v>1800</v>
      </c>
    </row>
    <row r="12" spans="1:13" ht="15">
      <c r="A12" s="3">
        <v>7</v>
      </c>
      <c r="B12" s="21" t="s">
        <v>60</v>
      </c>
      <c r="C12" s="86"/>
      <c r="D12" s="86"/>
      <c r="E12" s="87"/>
      <c r="F12" s="87"/>
      <c r="G12" s="86">
        <v>3</v>
      </c>
      <c r="H12" s="86"/>
      <c r="I12" s="87">
        <f t="shared" si="0"/>
        <v>0</v>
      </c>
      <c r="J12" s="120">
        <f>G12+(C12*0.2)+('численность 1'!M12*0.3)+'численность 1'!G12+(('численность 1'!C12-'численность 1'!G12)*0.6)</f>
        <v>63</v>
      </c>
      <c r="K12" s="120">
        <f>H12+(D12*0.2)+('численность 1'!N12*0.3)+'численность 1'!H12+(('численность 1'!D12-'численность 1'!H12)*0.6)</f>
        <v>0</v>
      </c>
      <c r="L12" s="86"/>
      <c r="M12" s="86"/>
    </row>
    <row r="13" spans="1:13" ht="15">
      <c r="A13" s="3">
        <v>8</v>
      </c>
      <c r="B13" s="31" t="s">
        <v>87</v>
      </c>
      <c r="C13" s="86"/>
      <c r="D13" s="86"/>
      <c r="E13" s="87"/>
      <c r="F13" s="87"/>
      <c r="G13" s="86"/>
      <c r="H13" s="86">
        <v>3</v>
      </c>
      <c r="I13" s="87"/>
      <c r="J13" s="120">
        <f>G13+(C13*0.2)+('численность 1'!M13*0.3)+'численность 1'!G13+(('численность 1'!C13-'численность 1'!G13)*0.6)</f>
        <v>87.8</v>
      </c>
      <c r="K13" s="120">
        <f>H13+(D13*0.2)+('численность 1'!N13*0.3)+'численность 1'!H13+(('численность 1'!D13-'численность 1'!H13)*0.6)</f>
        <v>171.2</v>
      </c>
      <c r="L13" s="86">
        <v>4627</v>
      </c>
      <c r="M13" s="117">
        <v>1383</v>
      </c>
    </row>
    <row r="14" spans="1:13" ht="15">
      <c r="A14" s="3">
        <v>9</v>
      </c>
      <c r="B14" s="31" t="s">
        <v>72</v>
      </c>
      <c r="C14" s="86">
        <v>131</v>
      </c>
      <c r="D14" s="86">
        <v>187</v>
      </c>
      <c r="E14" s="87">
        <f>D14*100/C14</f>
        <v>142.74809160305344</v>
      </c>
      <c r="F14" s="87">
        <v>81</v>
      </c>
      <c r="G14" s="3">
        <v>4</v>
      </c>
      <c r="H14" s="3">
        <v>3</v>
      </c>
      <c r="I14" s="87">
        <f t="shared" si="0"/>
        <v>75</v>
      </c>
      <c r="J14" s="120">
        <f>G14+(C14*0.2)+('численность 1'!M14*0.3)+'численность 1'!G14+(('численность 1'!C14-'численность 1'!G14)*0.6)</f>
        <v>206.6</v>
      </c>
      <c r="K14" s="120">
        <f>H14+(D14*0.2)+('численность 1'!N14*0.3)+'численность 1'!H14+(('численность 1'!D14-'численность 1'!H14)*0.6)</f>
        <v>221</v>
      </c>
      <c r="L14" s="86">
        <v>3692</v>
      </c>
      <c r="M14" s="86">
        <v>1429</v>
      </c>
    </row>
    <row r="15" spans="1:13" ht="15">
      <c r="A15" s="3">
        <v>10</v>
      </c>
      <c r="B15" s="21" t="s">
        <v>61</v>
      </c>
      <c r="C15" s="86"/>
      <c r="D15" s="86"/>
      <c r="E15" s="87"/>
      <c r="F15" s="87"/>
      <c r="G15" s="3">
        <v>5</v>
      </c>
      <c r="H15" s="3">
        <v>4</v>
      </c>
      <c r="I15" s="87">
        <f t="shared" si="0"/>
        <v>80</v>
      </c>
      <c r="J15" s="120">
        <f>G15+(C15*0.2)+('численность 1'!M15*0.3)+'численность 1'!G15+(('численность 1'!C15-'численность 1'!G15)*0.6)</f>
        <v>189.6</v>
      </c>
      <c r="K15" s="120">
        <f>H15+(D15*0.2)+('численность 1'!N15*0.3)+'численность 1'!H15+(('численность 1'!D15-'численность 1'!H15)*0.6)</f>
        <v>193.39999999999998</v>
      </c>
      <c r="L15" s="86">
        <v>4890</v>
      </c>
      <c r="M15" s="86">
        <v>970</v>
      </c>
    </row>
    <row r="16" spans="1:13" ht="15">
      <c r="A16" s="3">
        <v>11</v>
      </c>
      <c r="B16" s="21" t="s">
        <v>62</v>
      </c>
      <c r="C16" s="86"/>
      <c r="D16" s="86"/>
      <c r="E16" s="87"/>
      <c r="F16" s="87"/>
      <c r="G16" s="3">
        <v>1</v>
      </c>
      <c r="H16" s="3">
        <v>1</v>
      </c>
      <c r="I16" s="87">
        <f t="shared" si="0"/>
        <v>100</v>
      </c>
      <c r="J16" s="120">
        <f>G16+(C16*0.2)+('численность 1'!M16*0.3)+'численность 1'!G16+(('численность 1'!C16-'численность 1'!G16)*0.6)</f>
        <v>51.4</v>
      </c>
      <c r="K16" s="120">
        <f>H16+(D16*0.2)+('численность 1'!N16*0.3)+'численность 1'!H16+(('численность 1'!D16-'численность 1'!H16)*0.6)</f>
        <v>45.4</v>
      </c>
      <c r="L16" s="86">
        <v>2060</v>
      </c>
      <c r="M16" s="86">
        <v>410</v>
      </c>
    </row>
    <row r="17" spans="1:13" ht="15">
      <c r="A17" s="3">
        <v>12</v>
      </c>
      <c r="B17" s="21" t="s">
        <v>63</v>
      </c>
      <c r="C17" s="86"/>
      <c r="D17" s="86"/>
      <c r="E17" s="87"/>
      <c r="F17" s="87"/>
      <c r="G17" s="3">
        <v>1</v>
      </c>
      <c r="H17" s="3">
        <v>1</v>
      </c>
      <c r="I17" s="87">
        <f t="shared" si="0"/>
        <v>100</v>
      </c>
      <c r="J17" s="120">
        <f>G17+(C17*0.2)+('численность 1'!M17*0.3)+'численность 1'!G17+(('численность 1'!C17-'численность 1'!G17)*0.6)</f>
        <v>2855.5</v>
      </c>
      <c r="K17" s="120">
        <f>H17+(D17*0.2)+('численность 1'!N17*0.3)+'численность 1'!H17+(('численность 1'!D17-'численность 1'!H17)*0.6)</f>
        <v>3009.1</v>
      </c>
      <c r="L17" s="86">
        <v>8000</v>
      </c>
      <c r="M17" s="86">
        <v>8000</v>
      </c>
    </row>
    <row r="18" spans="1:13" ht="15">
      <c r="A18" s="3">
        <v>13</v>
      </c>
      <c r="B18" s="31" t="s">
        <v>71</v>
      </c>
      <c r="C18" s="86"/>
      <c r="D18" s="86"/>
      <c r="E18" s="87"/>
      <c r="F18" s="87"/>
      <c r="G18" s="3">
        <v>147</v>
      </c>
      <c r="H18" s="3">
        <v>160</v>
      </c>
      <c r="I18" s="87">
        <f t="shared" si="0"/>
        <v>108.84353741496598</v>
      </c>
      <c r="J18" s="120">
        <f>G18+(C18*0.2)+('численность 1'!M18*0.3)+'численность 1'!G18+(('численность 1'!C18-'численность 1'!G18)*0.6)</f>
        <v>147</v>
      </c>
      <c r="K18" s="120">
        <f>H18+(D18*0.2)+('численность 1'!N18*0.3)+'численность 1'!H18+(('численность 1'!D18-'численность 1'!H18)*0.6)</f>
        <v>160</v>
      </c>
      <c r="L18" s="86">
        <v>8735</v>
      </c>
      <c r="M18" s="86"/>
    </row>
    <row r="19" spans="1:13" ht="15">
      <c r="A19" s="30">
        <v>14</v>
      </c>
      <c r="B19" s="31" t="s">
        <v>114</v>
      </c>
      <c r="C19" s="86"/>
      <c r="D19" s="86">
        <v>292</v>
      </c>
      <c r="E19" s="87"/>
      <c r="F19" s="87">
        <v>140</v>
      </c>
      <c r="G19" s="3"/>
      <c r="H19" s="3"/>
      <c r="I19" s="87"/>
      <c r="J19" s="120"/>
      <c r="K19" s="120">
        <f>H19+(D19*0.2)+('численность 1'!N19*0.3)+'численность 1'!H19+(('численность 1'!D19-'численность 1'!H19)*0.6)</f>
        <v>58.400000000000006</v>
      </c>
      <c r="L19" s="86">
        <v>337</v>
      </c>
      <c r="M19" s="86">
        <v>100</v>
      </c>
    </row>
    <row r="20" spans="1:13" ht="60" customHeight="1">
      <c r="A20" s="166" t="s">
        <v>103</v>
      </c>
      <c r="B20" s="167"/>
      <c r="C20" s="86">
        <f>SUM(C10:C18)</f>
        <v>276</v>
      </c>
      <c r="D20" s="86">
        <f>SUM(D6:D19)</f>
        <v>479</v>
      </c>
      <c r="E20" s="87">
        <f>D20*100/C20</f>
        <v>173.55072463768116</v>
      </c>
      <c r="F20" s="87">
        <f>SUM(F6:F19)</f>
        <v>221</v>
      </c>
      <c r="G20" s="3">
        <f>SUM(G6:G18)</f>
        <v>225</v>
      </c>
      <c r="H20" s="3">
        <f>SUM(H6:H18)</f>
        <v>225</v>
      </c>
      <c r="I20" s="87">
        <f t="shared" si="0"/>
        <v>100</v>
      </c>
      <c r="J20" s="120">
        <f>SUM(J6:J18)</f>
        <v>5547.7</v>
      </c>
      <c r="K20" s="120">
        <f>SUM(K6:K19)</f>
        <v>5658.6</v>
      </c>
      <c r="L20" s="86">
        <f>SUM(L6:L19)</f>
        <v>75782</v>
      </c>
      <c r="M20" s="86">
        <f>SUM(M6:M19)</f>
        <v>25811</v>
      </c>
    </row>
    <row r="21" spans="1:13" ht="15.75" customHeight="1">
      <c r="A21" s="132">
        <v>1</v>
      </c>
      <c r="B21" s="31" t="s">
        <v>110</v>
      </c>
      <c r="C21" s="86"/>
      <c r="D21" s="86">
        <v>4</v>
      </c>
      <c r="E21" s="87"/>
      <c r="F21" s="87">
        <v>1</v>
      </c>
      <c r="G21" s="3"/>
      <c r="H21" s="3"/>
      <c r="I21" s="87"/>
      <c r="J21" s="120"/>
      <c r="K21" s="120">
        <f>H21+(D21*0.2)+('численность 1'!N21*0.3)+'численность 1'!H21+(('численность 1'!D21-'численность 1'!H21)*0.6)</f>
        <v>18.8</v>
      </c>
      <c r="L21" s="86">
        <v>197</v>
      </c>
      <c r="M21" s="86">
        <v>52</v>
      </c>
    </row>
    <row r="22" spans="1:13" ht="15.75" customHeight="1">
      <c r="A22" s="132">
        <v>2</v>
      </c>
      <c r="B22" s="31" t="s">
        <v>113</v>
      </c>
      <c r="C22" s="86"/>
      <c r="D22" s="86">
        <v>67</v>
      </c>
      <c r="E22" s="87"/>
      <c r="F22" s="87">
        <v>65</v>
      </c>
      <c r="G22" s="3"/>
      <c r="H22" s="3"/>
      <c r="I22" s="87"/>
      <c r="J22" s="120"/>
      <c r="K22" s="120">
        <f>H22+(D22*0.2)+('численность 1'!N22*0.3)+'численность 1'!H22+(('численность 1'!D22-'численность 1'!H22)*0.6)</f>
        <v>13.4</v>
      </c>
      <c r="L22" s="86">
        <v>284.4</v>
      </c>
      <c r="M22" s="86">
        <v>70</v>
      </c>
    </row>
    <row r="23" spans="1:13" ht="15">
      <c r="A23" s="3">
        <v>3</v>
      </c>
      <c r="B23" s="31" t="s">
        <v>82</v>
      </c>
      <c r="C23" s="86"/>
      <c r="D23" s="86"/>
      <c r="E23" s="87"/>
      <c r="F23" s="87"/>
      <c r="G23" s="3"/>
      <c r="H23" s="3"/>
      <c r="I23" s="87"/>
      <c r="J23" s="120">
        <f>G23+(C23*0.2)+('численность 1'!M23*0.3)+'численность 1'!G23+(('численность 1'!C23-'численность 1'!G23)*0.6)</f>
        <v>32.1</v>
      </c>
      <c r="K23" s="120">
        <f>H23+(D23*0.2)+('численность 1'!N23*0.3)+'численность 1'!H23+(('численность 1'!D23-'численность 1'!H23)*0.6)</f>
        <v>21.3</v>
      </c>
      <c r="L23" s="117"/>
      <c r="M23" s="86"/>
    </row>
    <row r="24" spans="1:13" ht="15">
      <c r="A24" s="3">
        <v>4</v>
      </c>
      <c r="B24" s="31" t="s">
        <v>88</v>
      </c>
      <c r="C24" s="3">
        <v>50</v>
      </c>
      <c r="D24" s="3">
        <v>65</v>
      </c>
      <c r="E24" s="87">
        <f>D24*100/C24</f>
        <v>130</v>
      </c>
      <c r="F24" s="35">
        <v>23</v>
      </c>
      <c r="G24" s="3">
        <v>7</v>
      </c>
      <c r="H24" s="3">
        <v>6</v>
      </c>
      <c r="I24" s="87">
        <f t="shared" si="0"/>
        <v>85.71428571428571</v>
      </c>
      <c r="J24" s="120">
        <f>G24+(C24*0.2)+('численность 1'!M24*0.3)+'численность 1'!G24+(('численность 1'!C24-'численность 1'!G24)*0.6)</f>
        <v>17</v>
      </c>
      <c r="K24" s="120">
        <f>H24+(D24*0.2)+('численность 1'!N24*0.3)+'численность 1'!H24+(('численность 1'!D24-'численность 1'!H24)*0.6)</f>
        <v>19</v>
      </c>
      <c r="L24" s="3">
        <v>386</v>
      </c>
      <c r="M24" s="3">
        <v>80</v>
      </c>
    </row>
    <row r="25" spans="1:13" ht="15">
      <c r="A25" s="3">
        <v>5</v>
      </c>
      <c r="B25" s="31" t="s">
        <v>126</v>
      </c>
      <c r="C25" s="3"/>
      <c r="D25" s="3"/>
      <c r="E25" s="87"/>
      <c r="F25" s="35"/>
      <c r="G25" s="3"/>
      <c r="H25" s="3"/>
      <c r="I25" s="87"/>
      <c r="J25" s="120"/>
      <c r="K25" s="120">
        <f>H25+(D25*0.2)+('численность 1'!N25*0.3)+'численность 1'!H25+(('численность 1'!D25-'численность 1'!H25)*0.6)</f>
        <v>2.2</v>
      </c>
      <c r="L25" s="3">
        <v>300</v>
      </c>
      <c r="M25" s="3">
        <v>100</v>
      </c>
    </row>
    <row r="26" spans="1:13" ht="25.5" customHeight="1">
      <c r="A26" s="166" t="s">
        <v>90</v>
      </c>
      <c r="B26" s="167"/>
      <c r="C26" s="86">
        <f>SUM(C24)</f>
        <v>50</v>
      </c>
      <c r="D26" s="86">
        <f>SUM(D21:D24)</f>
        <v>136</v>
      </c>
      <c r="E26" s="87">
        <f>D26*100/C26</f>
        <v>272</v>
      </c>
      <c r="F26" s="86">
        <f>SUM(F21:F24)</f>
        <v>89</v>
      </c>
      <c r="G26" s="86">
        <f>SUM(G23:G24)</f>
        <v>7</v>
      </c>
      <c r="H26" s="86">
        <f>SUM(H23:H24)</f>
        <v>6</v>
      </c>
      <c r="I26" s="87">
        <f t="shared" si="0"/>
        <v>85.71428571428571</v>
      </c>
      <c r="J26" s="120">
        <f>SUM(J21:J24)</f>
        <v>49.1</v>
      </c>
      <c r="K26" s="120">
        <f>SUM(K21:K25)</f>
        <v>74.7</v>
      </c>
      <c r="L26" s="120">
        <f>SUM(L21:L25)</f>
        <v>1167.4</v>
      </c>
      <c r="M26" s="120">
        <f>SUM(M21:M25)</f>
        <v>302</v>
      </c>
    </row>
    <row r="27" spans="1:13" ht="41.25" customHeight="1">
      <c r="A27" s="168" t="s">
        <v>91</v>
      </c>
      <c r="B27" s="169"/>
      <c r="C27" s="86">
        <f>C20+C26</f>
        <v>326</v>
      </c>
      <c r="D27" s="86">
        <f>D20+D26</f>
        <v>615</v>
      </c>
      <c r="E27" s="35">
        <f>D27/C27*100</f>
        <v>188.65030674846625</v>
      </c>
      <c r="F27" s="86">
        <f>F20+F26</f>
        <v>310</v>
      </c>
      <c r="G27" s="86">
        <f>G20+G26</f>
        <v>232</v>
      </c>
      <c r="H27" s="86">
        <f>H20+H26</f>
        <v>231</v>
      </c>
      <c r="I27" s="87">
        <f>H27*100/G27</f>
        <v>99.56896551724138</v>
      </c>
      <c r="J27" s="117">
        <f>J20+J26</f>
        <v>5596.8</v>
      </c>
      <c r="K27" s="120">
        <f>K20+K26</f>
        <v>5733.3</v>
      </c>
      <c r="L27" s="87">
        <f>L20+L26</f>
        <v>76949.4</v>
      </c>
      <c r="M27" s="86">
        <f>M20+M26</f>
        <v>26113</v>
      </c>
    </row>
  </sheetData>
  <sheetProtection/>
  <mergeCells count="8">
    <mergeCell ref="A26:B26"/>
    <mergeCell ref="A27:B27"/>
    <mergeCell ref="G3:I3"/>
    <mergeCell ref="L3:M3"/>
    <mergeCell ref="L4:L5"/>
    <mergeCell ref="M4:M5"/>
    <mergeCell ref="A20:B20"/>
    <mergeCell ref="F3:F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7"/>
  <sheetViews>
    <sheetView view="pageBreakPreview" zoomScale="60" zoomScaleNormal="50" zoomScalePageLayoutView="0" workbookViewId="0" topLeftCell="A7">
      <selection activeCell="W21" sqref="W21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6" t="s">
        <v>119</v>
      </c>
      <c r="F1" s="46"/>
      <c r="G1" s="46"/>
      <c r="H1" s="45"/>
      <c r="I1" s="45"/>
      <c r="J1" s="45"/>
      <c r="K1" s="45"/>
      <c r="L1" s="45"/>
      <c r="M1" s="45"/>
      <c r="N1" s="45"/>
      <c r="O1" s="45"/>
      <c r="P1" s="14"/>
      <c r="Q1" s="42"/>
      <c r="R1" s="1"/>
    </row>
    <row r="2" spans="5:17" ht="20.25">
      <c r="E2" s="45"/>
      <c r="F2" s="45"/>
      <c r="G2" s="45"/>
      <c r="H2" s="47" t="s">
        <v>53</v>
      </c>
      <c r="I2" s="47"/>
      <c r="J2" s="47"/>
      <c r="K2" s="47"/>
      <c r="L2" s="47"/>
      <c r="M2" s="47"/>
      <c r="N2" s="45"/>
      <c r="O2" s="45"/>
      <c r="P2" s="14"/>
      <c r="Q2" s="14"/>
    </row>
    <row r="3" spans="1:21" s="19" customFormat="1" ht="44.25" customHeight="1">
      <c r="A3" s="22" t="s">
        <v>2</v>
      </c>
      <c r="B3" s="158" t="s">
        <v>3</v>
      </c>
      <c r="C3" s="145" t="s">
        <v>75</v>
      </c>
      <c r="D3" s="180"/>
      <c r="E3" s="181"/>
      <c r="F3" s="160" t="s">
        <v>74</v>
      </c>
      <c r="G3" s="145" t="s">
        <v>8</v>
      </c>
      <c r="H3" s="180"/>
      <c r="I3" s="181"/>
      <c r="J3" s="182" t="s">
        <v>67</v>
      </c>
      <c r="K3" s="183"/>
      <c r="L3" s="184"/>
      <c r="M3" s="145" t="s">
        <v>9</v>
      </c>
      <c r="N3" s="180"/>
      <c r="O3" s="180"/>
      <c r="P3" s="180"/>
      <c r="Q3" s="180"/>
      <c r="R3" s="180"/>
      <c r="S3" s="180"/>
      <c r="T3" s="180"/>
      <c r="U3" s="181"/>
    </row>
    <row r="4" spans="1:21" s="19" customFormat="1" ht="23.25" customHeight="1">
      <c r="A4" s="32"/>
      <c r="B4" s="187"/>
      <c r="C4" s="158">
        <v>2011</v>
      </c>
      <c r="D4" s="158">
        <v>2012</v>
      </c>
      <c r="E4" s="98" t="s">
        <v>4</v>
      </c>
      <c r="F4" s="161"/>
      <c r="G4" s="158">
        <v>2011</v>
      </c>
      <c r="H4" s="158">
        <v>2012</v>
      </c>
      <c r="I4" s="98" t="s">
        <v>4</v>
      </c>
      <c r="J4" s="158">
        <v>2011</v>
      </c>
      <c r="K4" s="158">
        <v>2012</v>
      </c>
      <c r="L4" s="98" t="s">
        <v>4</v>
      </c>
      <c r="M4" s="158">
        <v>2011</v>
      </c>
      <c r="N4" s="158">
        <v>2012</v>
      </c>
      <c r="O4" s="98" t="s">
        <v>4</v>
      </c>
      <c r="P4" s="95" t="s">
        <v>5</v>
      </c>
      <c r="Q4" s="99" t="s">
        <v>66</v>
      </c>
      <c r="R4" s="160" t="s">
        <v>102</v>
      </c>
      <c r="S4" s="95" t="s">
        <v>50</v>
      </c>
      <c r="T4" s="100"/>
      <c r="U4" s="160" t="s">
        <v>102</v>
      </c>
    </row>
    <row r="5" spans="1:21" s="19" customFormat="1" ht="23.25" customHeight="1">
      <c r="A5" s="28"/>
      <c r="B5" s="159"/>
      <c r="C5" s="185"/>
      <c r="D5" s="185"/>
      <c r="E5" s="101">
        <v>2011</v>
      </c>
      <c r="F5" s="162"/>
      <c r="G5" s="185"/>
      <c r="H5" s="185"/>
      <c r="I5" s="101">
        <v>2011</v>
      </c>
      <c r="J5" s="185"/>
      <c r="K5" s="185"/>
      <c r="L5" s="101">
        <v>2011</v>
      </c>
      <c r="M5" s="185"/>
      <c r="N5" s="185"/>
      <c r="O5" s="101">
        <v>2011</v>
      </c>
      <c r="P5" s="96">
        <v>2011</v>
      </c>
      <c r="Q5" s="96">
        <v>2012</v>
      </c>
      <c r="R5" s="186"/>
      <c r="S5" s="96">
        <v>2011</v>
      </c>
      <c r="T5" s="96">
        <v>2012</v>
      </c>
      <c r="U5" s="186"/>
    </row>
    <row r="6" spans="1:34" s="19" customFormat="1" ht="24.75" customHeight="1">
      <c r="A6" s="3">
        <v>1</v>
      </c>
      <c r="B6" s="21" t="s">
        <v>55</v>
      </c>
      <c r="C6" s="3">
        <v>327</v>
      </c>
      <c r="D6" s="3">
        <v>271</v>
      </c>
      <c r="E6" s="35">
        <f aca="true" t="shared" si="0" ref="E6:E16">D6*100/C6</f>
        <v>82.87461773700306</v>
      </c>
      <c r="F6" s="3">
        <v>8</v>
      </c>
      <c r="G6" s="3">
        <v>180</v>
      </c>
      <c r="H6" s="3">
        <v>180</v>
      </c>
      <c r="I6" s="35">
        <f aca="true" t="shared" si="1" ref="I6:I16">H6*100/G6</f>
        <v>100</v>
      </c>
      <c r="J6" s="3">
        <v>180</v>
      </c>
      <c r="K6" s="3">
        <v>180</v>
      </c>
      <c r="L6" s="35">
        <f aca="true" t="shared" si="2" ref="L6:L27">K6*100/J6</f>
        <v>100</v>
      </c>
      <c r="M6" s="65"/>
      <c r="N6" s="3"/>
      <c r="O6" s="35"/>
      <c r="P6" s="65"/>
      <c r="Q6" s="3"/>
      <c r="R6" s="35"/>
      <c r="S6" s="108"/>
      <c r="T6" s="35"/>
      <c r="U6" s="35"/>
      <c r="AH6" s="84"/>
    </row>
    <row r="7" spans="1:34" s="19" customFormat="1" ht="24.75" customHeight="1">
      <c r="A7" s="3">
        <v>2</v>
      </c>
      <c r="B7" s="21" t="s">
        <v>56</v>
      </c>
      <c r="C7" s="3">
        <v>207</v>
      </c>
      <c r="D7" s="3">
        <v>222</v>
      </c>
      <c r="E7" s="35">
        <f t="shared" si="0"/>
        <v>107.2463768115942</v>
      </c>
      <c r="F7" s="3">
        <v>2</v>
      </c>
      <c r="G7" s="3">
        <v>105</v>
      </c>
      <c r="H7" s="3">
        <v>105</v>
      </c>
      <c r="I7" s="35">
        <f t="shared" si="1"/>
        <v>100</v>
      </c>
      <c r="J7" s="3">
        <v>105</v>
      </c>
      <c r="K7" s="3">
        <v>105</v>
      </c>
      <c r="L7" s="35">
        <f t="shared" si="2"/>
        <v>100</v>
      </c>
      <c r="M7" s="65"/>
      <c r="N7" s="3"/>
      <c r="O7" s="35"/>
      <c r="P7" s="65"/>
      <c r="Q7" s="3"/>
      <c r="R7" s="35"/>
      <c r="S7" s="108"/>
      <c r="T7" s="35"/>
      <c r="U7" s="35"/>
      <c r="AH7" s="84"/>
    </row>
    <row r="8" spans="1:34" s="19" customFormat="1" ht="24.75" customHeight="1">
      <c r="A8" s="3">
        <v>3</v>
      </c>
      <c r="B8" s="21" t="s">
        <v>57</v>
      </c>
      <c r="C8" s="3">
        <v>117</v>
      </c>
      <c r="D8" s="3">
        <v>122</v>
      </c>
      <c r="E8" s="35">
        <f t="shared" si="0"/>
        <v>104.27350427350427</v>
      </c>
      <c r="F8" s="86">
        <v>5</v>
      </c>
      <c r="G8" s="3">
        <v>60</v>
      </c>
      <c r="H8" s="3">
        <v>60</v>
      </c>
      <c r="I8" s="35">
        <f t="shared" si="1"/>
        <v>100</v>
      </c>
      <c r="J8" s="3">
        <v>60</v>
      </c>
      <c r="K8" s="3">
        <v>60</v>
      </c>
      <c r="L8" s="35">
        <f t="shared" si="2"/>
        <v>100</v>
      </c>
      <c r="M8" s="65"/>
      <c r="N8" s="3"/>
      <c r="O8" s="97"/>
      <c r="P8" s="65"/>
      <c r="Q8" s="3"/>
      <c r="R8" s="35"/>
      <c r="S8" s="108"/>
      <c r="T8" s="35"/>
      <c r="U8" s="35"/>
      <c r="AH8" s="84"/>
    </row>
    <row r="9" spans="1:34" s="19" customFormat="1" ht="24.75" customHeight="1">
      <c r="A9" s="3">
        <v>4</v>
      </c>
      <c r="B9" s="21" t="s">
        <v>58</v>
      </c>
      <c r="C9" s="3">
        <v>793</v>
      </c>
      <c r="D9" s="3">
        <v>862</v>
      </c>
      <c r="E9" s="35">
        <f t="shared" si="0"/>
        <v>108.70113493064312</v>
      </c>
      <c r="F9" s="3">
        <v>42</v>
      </c>
      <c r="G9" s="3">
        <v>308</v>
      </c>
      <c r="H9" s="3">
        <v>308</v>
      </c>
      <c r="I9" s="35">
        <f t="shared" si="1"/>
        <v>100</v>
      </c>
      <c r="J9" s="3">
        <v>308</v>
      </c>
      <c r="K9" s="3">
        <v>308</v>
      </c>
      <c r="L9" s="35">
        <f t="shared" si="2"/>
        <v>100</v>
      </c>
      <c r="M9" s="3">
        <v>397</v>
      </c>
      <c r="N9" s="3">
        <v>457</v>
      </c>
      <c r="O9" s="35">
        <f>N9*100/M9</f>
        <v>115.11335012594458</v>
      </c>
      <c r="P9" s="3">
        <v>28</v>
      </c>
      <c r="Q9" s="3">
        <v>28</v>
      </c>
      <c r="R9" s="35">
        <f>Q9*100/P9</f>
        <v>100</v>
      </c>
      <c r="S9" s="3">
        <v>39</v>
      </c>
      <c r="T9" s="3">
        <v>28</v>
      </c>
      <c r="U9" s="35">
        <f>T9*100/S9</f>
        <v>71.7948717948718</v>
      </c>
      <c r="AH9" s="84"/>
    </row>
    <row r="10" spans="1:34" s="19" customFormat="1" ht="24.75" customHeight="1">
      <c r="A10" s="3">
        <v>5</v>
      </c>
      <c r="B10" s="21" t="s">
        <v>59</v>
      </c>
      <c r="C10" s="3">
        <v>384</v>
      </c>
      <c r="D10" s="3">
        <v>279</v>
      </c>
      <c r="E10" s="35">
        <f t="shared" si="0"/>
        <v>72.65625</v>
      </c>
      <c r="F10" s="117"/>
      <c r="G10" s="3">
        <v>280</v>
      </c>
      <c r="H10" s="3">
        <v>200</v>
      </c>
      <c r="I10" s="35">
        <f t="shared" si="1"/>
        <v>71.42857142857143</v>
      </c>
      <c r="J10" s="3">
        <v>280</v>
      </c>
      <c r="K10" s="3">
        <v>217</v>
      </c>
      <c r="L10" s="35">
        <f t="shared" si="2"/>
        <v>77.5</v>
      </c>
      <c r="M10" s="3">
        <v>223</v>
      </c>
      <c r="N10" s="3">
        <v>126</v>
      </c>
      <c r="O10" s="35">
        <f>N10*100/M10</f>
        <v>56.502242152466366</v>
      </c>
      <c r="P10" s="3">
        <v>80</v>
      </c>
      <c r="Q10" s="3">
        <v>46</v>
      </c>
      <c r="R10" s="35">
        <f>Q10*100/P10</f>
        <v>57.5</v>
      </c>
      <c r="S10" s="3">
        <v>11</v>
      </c>
      <c r="T10" s="3"/>
      <c r="U10" s="35"/>
      <c r="AH10" s="84"/>
    </row>
    <row r="11" spans="1:34" s="19" customFormat="1" ht="24.75" customHeight="1">
      <c r="A11" s="3">
        <v>6</v>
      </c>
      <c r="B11" s="37" t="s">
        <v>73</v>
      </c>
      <c r="C11" s="3">
        <v>273</v>
      </c>
      <c r="D11" s="3">
        <v>239</v>
      </c>
      <c r="E11" s="35">
        <f t="shared" si="0"/>
        <v>87.54578754578755</v>
      </c>
      <c r="F11" s="117">
        <v>25</v>
      </c>
      <c r="G11" s="3">
        <v>85</v>
      </c>
      <c r="H11" s="3">
        <v>85</v>
      </c>
      <c r="I11" s="35">
        <f t="shared" si="1"/>
        <v>100</v>
      </c>
      <c r="J11" s="3">
        <v>85</v>
      </c>
      <c r="K11" s="3">
        <v>85</v>
      </c>
      <c r="L11" s="35">
        <f t="shared" si="2"/>
        <v>100</v>
      </c>
      <c r="M11" s="3"/>
      <c r="N11" s="3"/>
      <c r="O11" s="35"/>
      <c r="P11" s="3"/>
      <c r="Q11" s="3"/>
      <c r="R11" s="35"/>
      <c r="S11" s="3"/>
      <c r="T11" s="3"/>
      <c r="U11" s="35"/>
      <c r="AH11" s="84"/>
    </row>
    <row r="12" spans="1:34" s="19" customFormat="1" ht="24.75" customHeight="1">
      <c r="A12" s="3">
        <v>7</v>
      </c>
      <c r="B12" s="21" t="s">
        <v>60</v>
      </c>
      <c r="C12" s="3">
        <v>60</v>
      </c>
      <c r="D12" s="3"/>
      <c r="E12" s="35">
        <f t="shared" si="0"/>
        <v>0</v>
      </c>
      <c r="F12" s="3"/>
      <c r="G12" s="3">
        <v>60</v>
      </c>
      <c r="H12" s="3"/>
      <c r="I12" s="35">
        <f t="shared" si="1"/>
        <v>0</v>
      </c>
      <c r="J12" s="3">
        <v>60</v>
      </c>
      <c r="K12" s="3"/>
      <c r="L12" s="35">
        <f t="shared" si="2"/>
        <v>0</v>
      </c>
      <c r="M12" s="3"/>
      <c r="N12" s="3"/>
      <c r="O12" s="35"/>
      <c r="P12" s="3"/>
      <c r="Q12" s="3"/>
      <c r="R12" s="35"/>
      <c r="S12" s="3"/>
      <c r="T12" s="3"/>
      <c r="U12" s="35"/>
      <c r="AH12" s="84"/>
    </row>
    <row r="13" spans="1:34" s="19" customFormat="1" ht="24.75" customHeight="1">
      <c r="A13" s="3">
        <v>8</v>
      </c>
      <c r="B13" s="31" t="s">
        <v>87</v>
      </c>
      <c r="C13" s="3">
        <v>143</v>
      </c>
      <c r="D13" s="3">
        <v>237</v>
      </c>
      <c r="E13" s="35">
        <f t="shared" si="0"/>
        <v>165.73426573426573</v>
      </c>
      <c r="F13" s="3">
        <v>15</v>
      </c>
      <c r="G13" s="3">
        <v>5</v>
      </c>
      <c r="H13" s="3">
        <v>65</v>
      </c>
      <c r="I13" s="35">
        <f t="shared" si="1"/>
        <v>1300</v>
      </c>
      <c r="J13" s="3"/>
      <c r="K13" s="3">
        <v>65</v>
      </c>
      <c r="L13" s="35"/>
      <c r="M13" s="3"/>
      <c r="N13" s="3"/>
      <c r="O13" s="35"/>
      <c r="P13" s="3"/>
      <c r="Q13" s="3"/>
      <c r="R13" s="35"/>
      <c r="S13" s="3"/>
      <c r="T13" s="3"/>
      <c r="U13" s="35"/>
      <c r="AH13" s="84"/>
    </row>
    <row r="14" spans="1:34" s="19" customFormat="1" ht="24.75" customHeight="1">
      <c r="A14" s="3">
        <v>9</v>
      </c>
      <c r="B14" s="31" t="s">
        <v>72</v>
      </c>
      <c r="C14" s="3">
        <v>242</v>
      </c>
      <c r="D14" s="3">
        <v>249</v>
      </c>
      <c r="E14" s="35">
        <f t="shared" si="0"/>
        <v>102.89256198347107</v>
      </c>
      <c r="F14" s="3">
        <v>20</v>
      </c>
      <c r="G14" s="3">
        <v>78</v>
      </c>
      <c r="H14" s="3">
        <v>78</v>
      </c>
      <c r="I14" s="35">
        <f t="shared" si="1"/>
        <v>100</v>
      </c>
      <c r="J14" s="3">
        <v>78</v>
      </c>
      <c r="K14" s="3">
        <v>78</v>
      </c>
      <c r="L14" s="35">
        <f t="shared" si="2"/>
        <v>100</v>
      </c>
      <c r="M14" s="3"/>
      <c r="N14" s="3"/>
      <c r="O14" s="35"/>
      <c r="P14" s="3"/>
      <c r="Q14" s="3"/>
      <c r="R14" s="35"/>
      <c r="S14" s="3"/>
      <c r="T14" s="3"/>
      <c r="U14" s="35"/>
      <c r="AH14" s="84"/>
    </row>
    <row r="15" spans="1:34" s="19" customFormat="1" ht="24.75" customHeight="1">
      <c r="A15" s="3">
        <v>10</v>
      </c>
      <c r="B15" s="21" t="s">
        <v>61</v>
      </c>
      <c r="C15" s="3">
        <v>241</v>
      </c>
      <c r="D15" s="3">
        <v>249</v>
      </c>
      <c r="E15" s="35">
        <f t="shared" si="0"/>
        <v>103.3195020746888</v>
      </c>
      <c r="F15" s="3">
        <v>16</v>
      </c>
      <c r="G15" s="3">
        <v>100</v>
      </c>
      <c r="H15" s="3">
        <v>100</v>
      </c>
      <c r="I15" s="35">
        <f t="shared" si="1"/>
        <v>100</v>
      </c>
      <c r="J15" s="3">
        <v>100</v>
      </c>
      <c r="K15" s="3">
        <v>100</v>
      </c>
      <c r="L15" s="35">
        <f t="shared" si="2"/>
        <v>100</v>
      </c>
      <c r="M15" s="3"/>
      <c r="N15" s="3"/>
      <c r="O15" s="35"/>
      <c r="P15" s="3"/>
      <c r="Q15" s="3"/>
      <c r="R15" s="35"/>
      <c r="S15" s="3"/>
      <c r="T15" s="3"/>
      <c r="U15" s="35"/>
      <c r="AH15" s="84"/>
    </row>
    <row r="16" spans="1:34" s="19" customFormat="1" ht="24.75" customHeight="1">
      <c r="A16" s="3">
        <v>11</v>
      </c>
      <c r="B16" s="21" t="s">
        <v>62</v>
      </c>
      <c r="C16" s="3">
        <v>56</v>
      </c>
      <c r="D16" s="3">
        <v>46</v>
      </c>
      <c r="E16" s="35">
        <f t="shared" si="0"/>
        <v>82.14285714285714</v>
      </c>
      <c r="F16" s="3"/>
      <c r="G16" s="3">
        <v>42</v>
      </c>
      <c r="H16" s="3">
        <v>42</v>
      </c>
      <c r="I16" s="35">
        <f t="shared" si="1"/>
        <v>100</v>
      </c>
      <c r="J16" s="3">
        <v>42</v>
      </c>
      <c r="K16" s="3">
        <v>41</v>
      </c>
      <c r="L16" s="35">
        <f t="shared" si="2"/>
        <v>97.61904761904762</v>
      </c>
      <c r="M16" s="3"/>
      <c r="N16" s="3"/>
      <c r="O16" s="35"/>
      <c r="P16" s="3"/>
      <c r="Q16" s="3"/>
      <c r="R16" s="35"/>
      <c r="S16" s="3"/>
      <c r="T16" s="3"/>
      <c r="U16" s="35"/>
      <c r="AH16" s="84"/>
    </row>
    <row r="17" spans="1:34" s="19" customFormat="1" ht="24.75" customHeight="1">
      <c r="A17" s="3">
        <v>12</v>
      </c>
      <c r="B17" s="21" t="s">
        <v>63</v>
      </c>
      <c r="C17" s="3"/>
      <c r="D17" s="3"/>
      <c r="E17" s="35"/>
      <c r="F17" s="3"/>
      <c r="G17" s="3"/>
      <c r="H17" s="3"/>
      <c r="I17" s="35"/>
      <c r="J17" s="3"/>
      <c r="K17" s="3"/>
      <c r="L17" s="35"/>
      <c r="M17" s="3">
        <v>9515</v>
      </c>
      <c r="N17" s="3">
        <v>10027</v>
      </c>
      <c r="O17" s="35">
        <f>N17*100/M17</f>
        <v>105.38097740409879</v>
      </c>
      <c r="P17" s="3">
        <v>240</v>
      </c>
      <c r="Q17" s="3">
        <v>280</v>
      </c>
      <c r="R17" s="35">
        <f>Q17*100/P17</f>
        <v>116.66666666666667</v>
      </c>
      <c r="S17" s="3">
        <v>379</v>
      </c>
      <c r="T17" s="3">
        <v>472</v>
      </c>
      <c r="U17" s="35">
        <f>T17*100/S17</f>
        <v>124.53825857519789</v>
      </c>
      <c r="AH17" s="84"/>
    </row>
    <row r="18" spans="1:34" s="19" customFormat="1" ht="24.75" customHeight="1">
      <c r="A18" s="3">
        <v>13</v>
      </c>
      <c r="B18" s="31" t="s">
        <v>71</v>
      </c>
      <c r="C18" s="3"/>
      <c r="D18" s="3"/>
      <c r="E18" s="35"/>
      <c r="F18" s="3"/>
      <c r="G18" s="3"/>
      <c r="H18" s="3"/>
      <c r="I18" s="35"/>
      <c r="J18" s="3"/>
      <c r="K18" s="3"/>
      <c r="L18" s="35"/>
      <c r="M18" s="3"/>
      <c r="N18" s="3"/>
      <c r="O18" s="35"/>
      <c r="P18" s="3"/>
      <c r="Q18" s="3"/>
      <c r="R18" s="35"/>
      <c r="S18" s="3"/>
      <c r="T18" s="3"/>
      <c r="U18" s="35"/>
      <c r="AH18" s="84"/>
    </row>
    <row r="19" spans="1:34" s="19" customFormat="1" ht="24.75" customHeight="1">
      <c r="A19" s="30">
        <v>14</v>
      </c>
      <c r="B19" s="31" t="s">
        <v>114</v>
      </c>
      <c r="C19" s="3"/>
      <c r="D19" s="3"/>
      <c r="E19" s="35"/>
      <c r="F19" s="3"/>
      <c r="G19" s="3"/>
      <c r="H19" s="3"/>
      <c r="I19" s="35"/>
      <c r="J19" s="3"/>
      <c r="K19" s="3"/>
      <c r="L19" s="35"/>
      <c r="M19" s="3"/>
      <c r="N19" s="3"/>
      <c r="O19" s="35"/>
      <c r="P19" s="3"/>
      <c r="Q19" s="3"/>
      <c r="R19" s="35"/>
      <c r="S19" s="3"/>
      <c r="T19" s="3"/>
      <c r="U19" s="35"/>
      <c r="AH19" s="84"/>
    </row>
    <row r="20" spans="1:21" s="19" customFormat="1" ht="57" customHeight="1">
      <c r="A20" s="166" t="s">
        <v>103</v>
      </c>
      <c r="B20" s="167"/>
      <c r="C20" s="3">
        <f>SUM(C6:C18)</f>
        <v>2843</v>
      </c>
      <c r="D20" s="3">
        <f>SUM(D6:D18)</f>
        <v>2776</v>
      </c>
      <c r="E20" s="35">
        <f>D20*100/C20</f>
        <v>97.64333450580372</v>
      </c>
      <c r="F20" s="3">
        <f>SUM(F6:F18)</f>
        <v>133</v>
      </c>
      <c r="G20" s="3">
        <f>SUM(G6:G18)</f>
        <v>1303</v>
      </c>
      <c r="H20" s="3">
        <f>SUM(H6:H18)</f>
        <v>1223</v>
      </c>
      <c r="I20" s="35">
        <f>H20*100/G20</f>
        <v>93.86032233307752</v>
      </c>
      <c r="J20" s="3">
        <f>SUM(J6:J18)</f>
        <v>1298</v>
      </c>
      <c r="K20" s="3">
        <f>SUM(K6:K18)</f>
        <v>1239</v>
      </c>
      <c r="L20" s="35">
        <f t="shared" si="2"/>
        <v>95.45454545454545</v>
      </c>
      <c r="M20" s="3">
        <f>SUM(M9:M18)</f>
        <v>10135</v>
      </c>
      <c r="N20" s="3">
        <f>SUM(N9:N18)</f>
        <v>10610</v>
      </c>
      <c r="O20" s="35">
        <f>N20*100/M20</f>
        <v>104.68672915638875</v>
      </c>
      <c r="P20" s="3">
        <f>SUM(P9:P18)</f>
        <v>348</v>
      </c>
      <c r="Q20" s="3">
        <f>SUM(Q9:Q18)</f>
        <v>354</v>
      </c>
      <c r="R20" s="35">
        <f>Q20*100/P20</f>
        <v>101.72413793103448</v>
      </c>
      <c r="S20" s="3">
        <f>SUM(S9:S18)</f>
        <v>429</v>
      </c>
      <c r="T20" s="35">
        <f>SUM(T9:T18)</f>
        <v>500</v>
      </c>
      <c r="U20" s="35">
        <f>T20*100/S20</f>
        <v>116.55011655011656</v>
      </c>
    </row>
    <row r="21" spans="1:21" s="19" customFormat="1" ht="24.75" customHeight="1">
      <c r="A21" s="132">
        <v>1</v>
      </c>
      <c r="B21" s="31" t="s">
        <v>110</v>
      </c>
      <c r="C21" s="3"/>
      <c r="D21" s="3">
        <v>20</v>
      </c>
      <c r="E21" s="35"/>
      <c r="F21" s="3"/>
      <c r="G21" s="3"/>
      <c r="H21" s="3">
        <v>15</v>
      </c>
      <c r="I21" s="35"/>
      <c r="J21" s="3"/>
      <c r="K21" s="3">
        <v>15</v>
      </c>
      <c r="L21" s="35"/>
      <c r="M21" s="3"/>
      <c r="N21" s="3"/>
      <c r="O21" s="35"/>
      <c r="P21" s="3"/>
      <c r="Q21" s="3"/>
      <c r="R21" s="35"/>
      <c r="S21" s="3"/>
      <c r="T21" s="35"/>
      <c r="U21" s="35"/>
    </row>
    <row r="22" spans="1:21" s="19" customFormat="1" ht="24.75" customHeight="1">
      <c r="A22" s="132">
        <v>2</v>
      </c>
      <c r="B22" s="31" t="s">
        <v>113</v>
      </c>
      <c r="C22" s="3"/>
      <c r="D22" s="3"/>
      <c r="E22" s="35"/>
      <c r="F22" s="3"/>
      <c r="G22" s="3"/>
      <c r="H22" s="3"/>
      <c r="I22" s="35"/>
      <c r="J22" s="3"/>
      <c r="K22" s="3"/>
      <c r="L22" s="35"/>
      <c r="M22" s="3"/>
      <c r="N22" s="3"/>
      <c r="O22" s="35"/>
      <c r="P22" s="3"/>
      <c r="Q22" s="3"/>
      <c r="R22" s="35"/>
      <c r="S22" s="3"/>
      <c r="T22" s="35"/>
      <c r="U22" s="35"/>
    </row>
    <row r="23" spans="1:34" s="19" customFormat="1" ht="24.75" customHeight="1">
      <c r="A23" s="3">
        <v>3</v>
      </c>
      <c r="B23" s="31" t="s">
        <v>82</v>
      </c>
      <c r="C23" s="3"/>
      <c r="D23" s="3"/>
      <c r="E23" s="35"/>
      <c r="F23" s="3"/>
      <c r="G23" s="3"/>
      <c r="H23" s="3"/>
      <c r="I23" s="35"/>
      <c r="J23" s="3"/>
      <c r="K23" s="3"/>
      <c r="L23" s="35"/>
      <c r="M23" s="3">
        <v>107</v>
      </c>
      <c r="N23" s="3">
        <v>71</v>
      </c>
      <c r="O23" s="35">
        <f>N23*100/M23</f>
        <v>66.35514018691589</v>
      </c>
      <c r="P23" s="3">
        <v>10</v>
      </c>
      <c r="Q23" s="3">
        <v>8</v>
      </c>
      <c r="R23" s="35">
        <f>Q23*100/P23</f>
        <v>80</v>
      </c>
      <c r="S23" s="3">
        <v>2</v>
      </c>
      <c r="T23" s="3">
        <v>5</v>
      </c>
      <c r="U23" s="35">
        <f>T23*100/S23</f>
        <v>250</v>
      </c>
      <c r="AH23" s="84"/>
    </row>
    <row r="24" spans="1:34" s="19" customFormat="1" ht="24.75" customHeight="1">
      <c r="A24" s="3">
        <v>4</v>
      </c>
      <c r="B24" s="31" t="s">
        <v>88</v>
      </c>
      <c r="C24" s="3"/>
      <c r="D24" s="3"/>
      <c r="E24" s="35"/>
      <c r="F24" s="3"/>
      <c r="G24" s="3"/>
      <c r="H24" s="3"/>
      <c r="I24" s="35"/>
      <c r="J24" s="3"/>
      <c r="K24" s="3"/>
      <c r="L24" s="35"/>
      <c r="M24" s="3"/>
      <c r="N24" s="3"/>
      <c r="O24" s="35"/>
      <c r="P24" s="3"/>
      <c r="Q24" s="3"/>
      <c r="R24" s="35"/>
      <c r="S24" s="3"/>
      <c r="T24" s="3"/>
      <c r="U24" s="35"/>
      <c r="AH24" s="84"/>
    </row>
    <row r="25" spans="1:34" s="19" customFormat="1" ht="24.75" customHeight="1">
      <c r="A25" s="3">
        <v>5</v>
      </c>
      <c r="B25" s="31" t="s">
        <v>126</v>
      </c>
      <c r="C25" s="3"/>
      <c r="D25" s="3">
        <v>3</v>
      </c>
      <c r="E25" s="35"/>
      <c r="F25" s="3"/>
      <c r="G25" s="3"/>
      <c r="H25" s="3">
        <v>1</v>
      </c>
      <c r="I25" s="35"/>
      <c r="J25" s="3"/>
      <c r="K25" s="35">
        <v>0.3</v>
      </c>
      <c r="L25" s="35"/>
      <c r="M25" s="3"/>
      <c r="N25" s="3"/>
      <c r="O25" s="35"/>
      <c r="P25" s="3"/>
      <c r="Q25" s="3"/>
      <c r="R25" s="35"/>
      <c r="S25" s="3"/>
      <c r="T25" s="3"/>
      <c r="U25" s="35"/>
      <c r="AH25" s="84"/>
    </row>
    <row r="26" spans="1:34" s="19" customFormat="1" ht="24.75" customHeight="1">
      <c r="A26" s="166" t="s">
        <v>90</v>
      </c>
      <c r="B26" s="167"/>
      <c r="C26" s="3"/>
      <c r="D26" s="3">
        <f>SUM(D21:D25)</f>
        <v>23</v>
      </c>
      <c r="E26" s="35"/>
      <c r="F26" s="3"/>
      <c r="G26" s="3"/>
      <c r="H26" s="3">
        <f>SUM(H21:H25)</f>
        <v>16</v>
      </c>
      <c r="I26" s="35"/>
      <c r="J26" s="3"/>
      <c r="K26" s="35">
        <f>SUM(K21:K25)</f>
        <v>15.3</v>
      </c>
      <c r="L26" s="35"/>
      <c r="M26" s="3">
        <f>SUM(M23:M24)</f>
        <v>107</v>
      </c>
      <c r="N26" s="3">
        <f>SUM(N23:N24)</f>
        <v>71</v>
      </c>
      <c r="O26" s="35">
        <f>N26*100/M26</f>
        <v>66.35514018691589</v>
      </c>
      <c r="P26" s="3">
        <f>SUM(P23:P24)</f>
        <v>10</v>
      </c>
      <c r="Q26" s="3">
        <f>SUM(Q23:Q24)</f>
        <v>8</v>
      </c>
      <c r="R26" s="35">
        <f>Q26*100/P26</f>
        <v>80</v>
      </c>
      <c r="S26" s="3">
        <f>SUM(S23:S24)</f>
        <v>2</v>
      </c>
      <c r="T26" s="3">
        <f>SUM(T23:T24)</f>
        <v>5</v>
      </c>
      <c r="U26" s="35">
        <f>T26*100/S26</f>
        <v>250</v>
      </c>
      <c r="AH26" s="84"/>
    </row>
    <row r="27" spans="1:34" s="19" customFormat="1" ht="36" customHeight="1">
      <c r="A27" s="168" t="s">
        <v>91</v>
      </c>
      <c r="B27" s="169"/>
      <c r="C27" s="3">
        <f>C20+C26</f>
        <v>2843</v>
      </c>
      <c r="D27" s="3">
        <f>D20+D26</f>
        <v>2799</v>
      </c>
      <c r="E27" s="35">
        <f>D27*100/C27</f>
        <v>98.45233907843827</v>
      </c>
      <c r="F27" s="3">
        <f>F20+F26</f>
        <v>133</v>
      </c>
      <c r="G27" s="3">
        <f>G20+G26</f>
        <v>1303</v>
      </c>
      <c r="H27" s="3">
        <f>H20+H26</f>
        <v>1239</v>
      </c>
      <c r="I27" s="35">
        <f>H27*100/G27</f>
        <v>95.08825786646202</v>
      </c>
      <c r="J27" s="3">
        <f>J20+J26</f>
        <v>1298</v>
      </c>
      <c r="K27" s="35">
        <f>K20+K26</f>
        <v>1254.3</v>
      </c>
      <c r="L27" s="35">
        <f t="shared" si="2"/>
        <v>96.63328197226502</v>
      </c>
      <c r="M27" s="3">
        <f>M20+M26</f>
        <v>10242</v>
      </c>
      <c r="N27" s="3">
        <f>N20+N26</f>
        <v>10681</v>
      </c>
      <c r="O27" s="35">
        <f>N27*100/M27</f>
        <v>104.2862722124585</v>
      </c>
      <c r="P27" s="3">
        <f>P20+P26</f>
        <v>358</v>
      </c>
      <c r="Q27" s="3">
        <f>Q20+Q26</f>
        <v>362</v>
      </c>
      <c r="R27" s="35">
        <f>Q27*100/P27</f>
        <v>101.11731843575419</v>
      </c>
      <c r="S27" s="3">
        <f>S20+S26</f>
        <v>431</v>
      </c>
      <c r="T27" s="3">
        <f>T20+T26</f>
        <v>505</v>
      </c>
      <c r="U27" s="35">
        <f>T27*100/S27</f>
        <v>117.16937354988399</v>
      </c>
      <c r="AH27" s="84"/>
    </row>
  </sheetData>
  <sheetProtection/>
  <mergeCells count="19">
    <mergeCell ref="A26:B26"/>
    <mergeCell ref="A27:B27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A20:B20"/>
    <mergeCell ref="J3:L3"/>
    <mergeCell ref="J4:J5"/>
    <mergeCell ref="K4:K5"/>
    <mergeCell ref="M3:U3"/>
    <mergeCell ref="N4:N5"/>
    <mergeCell ref="R4:R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view="pageBreakPreview" zoomScale="75" zoomScaleNormal="75" zoomScaleSheetLayoutView="75" zoomScalePageLayoutView="0" workbookViewId="0" topLeftCell="A1">
      <selection activeCell="L19" sqref="L19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19"/>
      <c r="B2" s="19"/>
      <c r="C2" s="19"/>
      <c r="D2" s="1" t="s">
        <v>120</v>
      </c>
      <c r="E2" s="1"/>
      <c r="F2" s="1"/>
      <c r="G2" s="1"/>
      <c r="H2" s="1"/>
      <c r="I2" s="1"/>
      <c r="J2" s="1"/>
      <c r="K2" s="1"/>
      <c r="L2" s="19"/>
      <c r="M2" s="19"/>
      <c r="N2" s="19"/>
    </row>
    <row r="3" spans="1:14" ht="15">
      <c r="A3" s="196" t="s">
        <v>106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12.75">
      <c r="A4" s="158" t="s">
        <v>2</v>
      </c>
      <c r="B4" s="160" t="s">
        <v>3</v>
      </c>
      <c r="C4" s="164" t="s">
        <v>79</v>
      </c>
      <c r="D4" s="188"/>
      <c r="E4" s="189"/>
      <c r="F4" s="197" t="s">
        <v>64</v>
      </c>
      <c r="G4" s="198"/>
      <c r="H4" s="197" t="s">
        <v>78</v>
      </c>
      <c r="I4" s="201"/>
      <c r="J4" s="189"/>
      <c r="K4" s="197" t="s">
        <v>76</v>
      </c>
      <c r="L4" s="198"/>
      <c r="M4" s="197" t="s">
        <v>77</v>
      </c>
      <c r="N4" s="198"/>
    </row>
    <row r="5" spans="1:14" ht="31.5" customHeight="1">
      <c r="A5" s="187"/>
      <c r="B5" s="161"/>
      <c r="C5" s="190"/>
      <c r="D5" s="191"/>
      <c r="E5" s="192"/>
      <c r="F5" s="199"/>
      <c r="G5" s="200"/>
      <c r="H5" s="199"/>
      <c r="I5" s="202"/>
      <c r="J5" s="203"/>
      <c r="K5" s="199"/>
      <c r="L5" s="200"/>
      <c r="M5" s="199"/>
      <c r="N5" s="200"/>
    </row>
    <row r="6" spans="1:14" ht="30">
      <c r="A6" s="159"/>
      <c r="B6" s="162"/>
      <c r="C6" s="3">
        <v>2011</v>
      </c>
      <c r="D6" s="18">
        <v>2012</v>
      </c>
      <c r="E6" s="93" t="s">
        <v>109</v>
      </c>
      <c r="F6" s="3">
        <v>2011</v>
      </c>
      <c r="G6" s="18">
        <v>2012</v>
      </c>
      <c r="H6" s="3">
        <v>2011</v>
      </c>
      <c r="I6" s="18">
        <v>2012</v>
      </c>
      <c r="J6" s="93" t="s">
        <v>109</v>
      </c>
      <c r="K6" s="21" t="s">
        <v>1</v>
      </c>
      <c r="L6" s="23" t="s">
        <v>32</v>
      </c>
      <c r="M6" s="37" t="s">
        <v>44</v>
      </c>
      <c r="N6" s="50" t="s">
        <v>45</v>
      </c>
    </row>
    <row r="7" spans="1:14" ht="16.5" customHeight="1">
      <c r="A7" s="30">
        <v>1</v>
      </c>
      <c r="B7" s="21" t="s">
        <v>58</v>
      </c>
      <c r="C7" s="30">
        <v>587</v>
      </c>
      <c r="D7" s="30">
        <v>741</v>
      </c>
      <c r="E7" s="30">
        <f aca="true" t="shared" si="0" ref="E7:E13">D7-C7</f>
        <v>154</v>
      </c>
      <c r="F7" s="30">
        <v>320</v>
      </c>
      <c r="G7" s="30">
        <v>404</v>
      </c>
      <c r="H7" s="74">
        <f>F7*100/20</f>
        <v>1600</v>
      </c>
      <c r="I7" s="74">
        <f>G7*100/28</f>
        <v>1442.857142857143</v>
      </c>
      <c r="J7" s="73">
        <f aca="true" t="shared" si="1" ref="J7:J13">I7-H7</f>
        <v>-157.1428571428571</v>
      </c>
      <c r="K7" s="30">
        <v>88</v>
      </c>
      <c r="L7" s="30">
        <v>45</v>
      </c>
      <c r="M7" s="91">
        <f aca="true" t="shared" si="2" ref="M7:M13">G7/L7</f>
        <v>8.977777777777778</v>
      </c>
      <c r="N7" s="91">
        <f aca="true" t="shared" si="3" ref="N7:N13">(D7-G7)/(K7-L7)</f>
        <v>7.837209302325581</v>
      </c>
    </row>
    <row r="8" spans="1:14" ht="16.5" customHeight="1">
      <c r="A8" s="30">
        <v>2</v>
      </c>
      <c r="B8" s="30" t="s">
        <v>59</v>
      </c>
      <c r="C8" s="30">
        <v>403</v>
      </c>
      <c r="D8" s="30">
        <v>163</v>
      </c>
      <c r="E8" s="30">
        <f t="shared" si="0"/>
        <v>-240</v>
      </c>
      <c r="F8" s="30">
        <v>391</v>
      </c>
      <c r="G8" s="30">
        <v>145</v>
      </c>
      <c r="H8" s="74">
        <f>F8*100/80</f>
        <v>488.75</v>
      </c>
      <c r="I8" s="74">
        <f>G8*100/80</f>
        <v>181.25</v>
      </c>
      <c r="J8" s="73">
        <f t="shared" si="1"/>
        <v>-307.5</v>
      </c>
      <c r="K8" s="31">
        <v>26</v>
      </c>
      <c r="L8" s="31">
        <v>23</v>
      </c>
      <c r="M8" s="91">
        <f t="shared" si="2"/>
        <v>6.304347826086956</v>
      </c>
      <c r="N8" s="91">
        <f t="shared" si="3"/>
        <v>6</v>
      </c>
    </row>
    <row r="9" spans="1:14" ht="16.5" customHeight="1">
      <c r="A9" s="30">
        <v>3</v>
      </c>
      <c r="B9" s="31" t="s">
        <v>63</v>
      </c>
      <c r="C9" s="30">
        <v>13106</v>
      </c>
      <c r="D9" s="30">
        <v>12899</v>
      </c>
      <c r="E9" s="30">
        <f t="shared" si="0"/>
        <v>-207</v>
      </c>
      <c r="F9" s="30">
        <v>5865</v>
      </c>
      <c r="G9" s="30">
        <v>6626</v>
      </c>
      <c r="H9" s="74">
        <f>F9*100/226</f>
        <v>2595.1327433628317</v>
      </c>
      <c r="I9" s="74">
        <f>G9*100/240</f>
        <v>2760.8333333333335</v>
      </c>
      <c r="J9" s="73">
        <f t="shared" si="1"/>
        <v>165.70058997050182</v>
      </c>
      <c r="K9" s="31">
        <v>1475</v>
      </c>
      <c r="L9" s="31">
        <v>682</v>
      </c>
      <c r="M9" s="114">
        <f t="shared" si="2"/>
        <v>9.715542521994134</v>
      </c>
      <c r="N9" s="114">
        <f t="shared" si="3"/>
        <v>7.9104665825977305</v>
      </c>
    </row>
    <row r="10" spans="1:14" ht="42.75" customHeight="1">
      <c r="A10" s="194" t="s">
        <v>101</v>
      </c>
      <c r="B10" s="195"/>
      <c r="C10" s="30">
        <f>SUM(C7:C9)</f>
        <v>14096</v>
      </c>
      <c r="D10" s="30">
        <f>SUM(D7:D9)</f>
        <v>13803</v>
      </c>
      <c r="E10" s="30">
        <f t="shared" si="0"/>
        <v>-293</v>
      </c>
      <c r="F10" s="30">
        <f>SUM(F7:F9)</f>
        <v>6576</v>
      </c>
      <c r="G10" s="30">
        <f>SUM(G7:G9)</f>
        <v>7175</v>
      </c>
      <c r="H10" s="74">
        <f>F10*100/326</f>
        <v>2017.1779141104294</v>
      </c>
      <c r="I10" s="74">
        <f>G10*100/348</f>
        <v>2061.7816091954023</v>
      </c>
      <c r="J10" s="73">
        <f t="shared" si="1"/>
        <v>44.60369508497297</v>
      </c>
      <c r="K10" s="73">
        <f>SUM(K7:K9)</f>
        <v>1589</v>
      </c>
      <c r="L10" s="73">
        <f>SUM(L7:L9)</f>
        <v>750</v>
      </c>
      <c r="M10" s="91">
        <f t="shared" si="2"/>
        <v>9.566666666666666</v>
      </c>
      <c r="N10" s="91">
        <f t="shared" si="3"/>
        <v>7.899880810488677</v>
      </c>
    </row>
    <row r="11" spans="1:14" ht="15">
      <c r="A11" s="30">
        <v>1</v>
      </c>
      <c r="B11" s="31" t="s">
        <v>82</v>
      </c>
      <c r="C11" s="30">
        <v>27</v>
      </c>
      <c r="D11" s="30">
        <v>38</v>
      </c>
      <c r="E11" s="30">
        <f t="shared" si="0"/>
        <v>11</v>
      </c>
      <c r="F11" s="21">
        <v>27</v>
      </c>
      <c r="G11" s="21">
        <v>38</v>
      </c>
      <c r="H11" s="74">
        <f>F11*100/11</f>
        <v>245.45454545454547</v>
      </c>
      <c r="I11" s="74">
        <f>G11*100/10</f>
        <v>380</v>
      </c>
      <c r="J11" s="73">
        <f t="shared" si="1"/>
        <v>134.54545454545453</v>
      </c>
      <c r="K11" s="73">
        <v>5</v>
      </c>
      <c r="L11" s="21">
        <v>5</v>
      </c>
      <c r="M11" s="91">
        <f t="shared" si="2"/>
        <v>7.6</v>
      </c>
      <c r="N11" s="91"/>
    </row>
    <row r="12" spans="1:14" ht="25.5" customHeight="1">
      <c r="A12" s="166" t="s">
        <v>90</v>
      </c>
      <c r="B12" s="167"/>
      <c r="C12" s="30">
        <f>SUM(C11)</f>
        <v>27</v>
      </c>
      <c r="D12" s="30">
        <f>SUM(D11)</f>
        <v>38</v>
      </c>
      <c r="E12" s="30">
        <f t="shared" si="0"/>
        <v>11</v>
      </c>
      <c r="F12" s="30">
        <f>SUM(F11)</f>
        <v>27</v>
      </c>
      <c r="G12" s="30">
        <f>SUM(G11)</f>
        <v>38</v>
      </c>
      <c r="H12" s="74">
        <f>F12*100/11</f>
        <v>245.45454545454547</v>
      </c>
      <c r="I12" s="74">
        <f>G12*100/10</f>
        <v>380</v>
      </c>
      <c r="J12" s="73">
        <f t="shared" si="1"/>
        <v>134.54545454545453</v>
      </c>
      <c r="K12" s="30">
        <f>SUM(K11)</f>
        <v>5</v>
      </c>
      <c r="L12" s="30">
        <f>SUM(L11)</f>
        <v>5</v>
      </c>
      <c r="M12" s="91">
        <f t="shared" si="2"/>
        <v>7.6</v>
      </c>
      <c r="N12" s="91"/>
    </row>
    <row r="13" spans="1:14" ht="28.5" customHeight="1">
      <c r="A13" s="193" t="s">
        <v>91</v>
      </c>
      <c r="B13" s="193"/>
      <c r="C13" s="30">
        <f>C10+C12</f>
        <v>14123</v>
      </c>
      <c r="D13" s="30">
        <f>SUM(D10:D11)</f>
        <v>13841</v>
      </c>
      <c r="E13" s="30">
        <f t="shared" si="0"/>
        <v>-282</v>
      </c>
      <c r="F13" s="30">
        <f>F10+F12</f>
        <v>6603</v>
      </c>
      <c r="G13" s="30">
        <f>SUM(G10:G11)</f>
        <v>7213</v>
      </c>
      <c r="H13" s="74">
        <f>F13*100/337</f>
        <v>1959.347181008902</v>
      </c>
      <c r="I13" s="74">
        <f>G13*100/358</f>
        <v>2014.804469273743</v>
      </c>
      <c r="J13" s="73">
        <f t="shared" si="1"/>
        <v>55.457288264841054</v>
      </c>
      <c r="K13" s="30">
        <f>K10+K12</f>
        <v>1594</v>
      </c>
      <c r="L13" s="30">
        <f>SUM(L10:L11)</f>
        <v>755</v>
      </c>
      <c r="M13" s="91">
        <f t="shared" si="2"/>
        <v>9.55364238410596</v>
      </c>
      <c r="N13" s="91">
        <f t="shared" si="3"/>
        <v>7.899880810488677</v>
      </c>
    </row>
    <row r="15" spans="2:15" ht="12.7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15" ht="15">
      <c r="B16" s="71"/>
      <c r="C16" s="109"/>
      <c r="D16" s="109"/>
      <c r="E16" s="109"/>
      <c r="F16" s="109"/>
      <c r="G16" s="109"/>
      <c r="H16" s="110"/>
      <c r="I16" s="111"/>
      <c r="J16" s="110"/>
      <c r="K16" s="109"/>
      <c r="L16" s="109"/>
      <c r="M16" s="112"/>
      <c r="N16" s="112"/>
      <c r="O16" s="71"/>
    </row>
    <row r="17" spans="2:15" ht="15">
      <c r="B17" s="71"/>
      <c r="C17" s="109"/>
      <c r="D17" s="109"/>
      <c r="E17" s="109"/>
      <c r="F17" s="109"/>
      <c r="G17" s="109"/>
      <c r="H17" s="111"/>
      <c r="I17" s="111"/>
      <c r="J17" s="110"/>
      <c r="K17" s="113"/>
      <c r="L17" s="113"/>
      <c r="M17" s="112"/>
      <c r="N17" s="112"/>
      <c r="O17" s="71"/>
    </row>
    <row r="18" spans="2:15" ht="15">
      <c r="B18" s="71"/>
      <c r="C18" s="109"/>
      <c r="D18" s="109"/>
      <c r="E18" s="109"/>
      <c r="F18" s="109"/>
      <c r="G18" s="109"/>
      <c r="H18" s="110"/>
      <c r="I18" s="111"/>
      <c r="J18" s="110"/>
      <c r="K18" s="113"/>
      <c r="L18" s="113"/>
      <c r="M18" s="112"/>
      <c r="N18" s="112"/>
      <c r="O18" s="71"/>
    </row>
    <row r="19" spans="2:15" ht="15">
      <c r="B19" s="71"/>
      <c r="C19" s="109"/>
      <c r="D19" s="109"/>
      <c r="E19" s="109"/>
      <c r="F19" s="109"/>
      <c r="G19" s="109"/>
      <c r="H19" s="110"/>
      <c r="I19" s="111"/>
      <c r="J19" s="110"/>
      <c r="K19" s="113"/>
      <c r="L19" s="113"/>
      <c r="M19" s="112"/>
      <c r="N19" s="112"/>
      <c r="O19" s="71"/>
    </row>
    <row r="20" spans="2:15" ht="15">
      <c r="B20" s="71"/>
      <c r="C20" s="109"/>
      <c r="D20" s="109"/>
      <c r="E20" s="109"/>
      <c r="F20" s="109"/>
      <c r="G20" s="109"/>
      <c r="H20" s="110"/>
      <c r="I20" s="111"/>
      <c r="J20" s="110"/>
      <c r="K20" s="113"/>
      <c r="L20" s="113"/>
      <c r="M20" s="112"/>
      <c r="N20" s="112"/>
      <c r="O20" s="71"/>
    </row>
    <row r="21" spans="2:15" ht="15">
      <c r="B21" s="71"/>
      <c r="C21" s="109"/>
      <c r="D21" s="109"/>
      <c r="E21" s="109"/>
      <c r="F21" s="109"/>
      <c r="G21" s="109"/>
      <c r="H21" s="110"/>
      <c r="I21" s="111"/>
      <c r="J21" s="110"/>
      <c r="K21" s="111"/>
      <c r="L21" s="111"/>
      <c r="M21" s="112"/>
      <c r="N21" s="112"/>
      <c r="O21" s="71"/>
    </row>
    <row r="22" spans="2:15" ht="15">
      <c r="B22" s="71"/>
      <c r="C22" s="109"/>
      <c r="D22" s="109"/>
      <c r="E22" s="109"/>
      <c r="F22" s="109"/>
      <c r="G22" s="109"/>
      <c r="H22" s="110"/>
      <c r="I22" s="111"/>
      <c r="J22" s="110"/>
      <c r="K22" s="113"/>
      <c r="L22" s="113"/>
      <c r="M22" s="112"/>
      <c r="N22" s="112"/>
      <c r="O22" s="71"/>
    </row>
    <row r="23" spans="2:15" ht="15">
      <c r="B23" s="71"/>
      <c r="C23" s="109"/>
      <c r="D23" s="109"/>
      <c r="E23" s="109"/>
      <c r="F23" s="109"/>
      <c r="G23" s="109"/>
      <c r="H23" s="111"/>
      <c r="I23" s="111"/>
      <c r="J23" s="110"/>
      <c r="K23" s="113"/>
      <c r="L23" s="113"/>
      <c r="M23" s="112"/>
      <c r="N23" s="112"/>
      <c r="O23" s="71"/>
    </row>
    <row r="24" spans="2:15" ht="12.7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 ht="12.7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 ht="12.7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</sheetData>
  <sheetProtection/>
  <mergeCells count="11">
    <mergeCell ref="H4:J5"/>
    <mergeCell ref="C4:E5"/>
    <mergeCell ref="A12:B12"/>
    <mergeCell ref="A13:B13"/>
    <mergeCell ref="A10:B10"/>
    <mergeCell ref="A3:N3"/>
    <mergeCell ref="F4:G5"/>
    <mergeCell ref="K4:L5"/>
    <mergeCell ref="M4:N5"/>
    <mergeCell ref="B4:B6"/>
    <mergeCell ref="A4:A6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N24" sqref="N24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19"/>
      <c r="B1" s="19"/>
      <c r="C1" s="127" t="s">
        <v>121</v>
      </c>
      <c r="D1" s="127"/>
      <c r="E1" s="127"/>
      <c r="F1" s="127"/>
      <c r="G1" s="127"/>
      <c r="H1" s="127"/>
      <c r="I1" s="127"/>
      <c r="J1" s="127"/>
      <c r="K1" s="127"/>
      <c r="L1" s="19"/>
      <c r="M1" s="19"/>
      <c r="N1" s="19"/>
    </row>
    <row r="2" spans="1:14" ht="15">
      <c r="A2" s="158" t="s">
        <v>2</v>
      </c>
      <c r="B2" s="158" t="s">
        <v>3</v>
      </c>
      <c r="C2" s="23" t="s">
        <v>34</v>
      </c>
      <c r="D2" s="24"/>
      <c r="E2" s="26"/>
      <c r="F2" s="48" t="s">
        <v>35</v>
      </c>
      <c r="G2" s="24"/>
      <c r="H2" s="26"/>
      <c r="I2" s="23" t="s">
        <v>36</v>
      </c>
      <c r="J2" s="24"/>
      <c r="K2" s="26"/>
      <c r="L2" s="23" t="s">
        <v>37</v>
      </c>
      <c r="M2" s="24"/>
      <c r="N2" s="26"/>
    </row>
    <row r="3" spans="1:14" ht="15">
      <c r="A3" s="187"/>
      <c r="B3" s="187"/>
      <c r="C3" s="17">
        <v>2011</v>
      </c>
      <c r="D3" s="18">
        <v>2012</v>
      </c>
      <c r="E3" s="9" t="s">
        <v>33</v>
      </c>
      <c r="F3" s="17">
        <v>2011</v>
      </c>
      <c r="G3" s="18">
        <v>2012</v>
      </c>
      <c r="H3" s="9" t="s">
        <v>33</v>
      </c>
      <c r="I3" s="17">
        <v>2011</v>
      </c>
      <c r="J3" s="18">
        <v>2012</v>
      </c>
      <c r="K3" s="9" t="s">
        <v>33</v>
      </c>
      <c r="L3" s="17">
        <v>2011</v>
      </c>
      <c r="M3" s="18">
        <v>2012</v>
      </c>
      <c r="N3" s="9" t="s">
        <v>33</v>
      </c>
    </row>
    <row r="4" spans="1:14" ht="15">
      <c r="A4" s="159"/>
      <c r="B4" s="159"/>
      <c r="C4" s="28"/>
      <c r="D4" s="28"/>
      <c r="E4" s="44" t="s">
        <v>105</v>
      </c>
      <c r="F4" s="28"/>
      <c r="G4" s="28"/>
      <c r="H4" s="44" t="s">
        <v>107</v>
      </c>
      <c r="I4" s="28"/>
      <c r="J4" s="28"/>
      <c r="K4" s="44" t="s">
        <v>105</v>
      </c>
      <c r="L4" s="28"/>
      <c r="M4" s="28"/>
      <c r="N4" s="44" t="s">
        <v>105</v>
      </c>
    </row>
    <row r="5" spans="1:14" ht="16.5" customHeight="1">
      <c r="A5" s="30">
        <v>1</v>
      </c>
      <c r="B5" s="30" t="s">
        <v>55</v>
      </c>
      <c r="C5" s="12">
        <v>183</v>
      </c>
      <c r="D5" s="12">
        <v>184</v>
      </c>
      <c r="E5" s="15">
        <f aca="true" t="shared" si="0" ref="E5:E15">D5-C5</f>
        <v>1</v>
      </c>
      <c r="F5" s="12">
        <v>6</v>
      </c>
      <c r="G5" s="12">
        <v>20</v>
      </c>
      <c r="H5" s="15">
        <f aca="true" t="shared" si="1" ref="H5:H15">G5-F5</f>
        <v>14</v>
      </c>
      <c r="I5" s="12"/>
      <c r="J5" s="12"/>
      <c r="K5" s="12"/>
      <c r="L5" s="12"/>
      <c r="M5" s="12"/>
      <c r="N5" s="12"/>
    </row>
    <row r="6" spans="1:14" ht="16.5" customHeight="1">
      <c r="A6" s="30">
        <v>2</v>
      </c>
      <c r="B6" s="30" t="s">
        <v>56</v>
      </c>
      <c r="C6" s="12">
        <v>153</v>
      </c>
      <c r="D6" s="12">
        <v>167</v>
      </c>
      <c r="E6" s="15">
        <f t="shared" si="0"/>
        <v>14</v>
      </c>
      <c r="F6" s="12">
        <v>9</v>
      </c>
      <c r="G6" s="12">
        <v>1</v>
      </c>
      <c r="H6" s="15">
        <f t="shared" si="1"/>
        <v>-8</v>
      </c>
      <c r="I6" s="12"/>
      <c r="J6" s="12"/>
      <c r="K6" s="12"/>
      <c r="L6" s="12"/>
      <c r="M6" s="12"/>
      <c r="N6" s="12"/>
    </row>
    <row r="7" spans="1:14" ht="16.5" customHeight="1">
      <c r="A7" s="30">
        <v>3</v>
      </c>
      <c r="B7" s="30" t="s">
        <v>57</v>
      </c>
      <c r="C7" s="12">
        <v>41</v>
      </c>
      <c r="D7" s="12">
        <v>64</v>
      </c>
      <c r="E7" s="15">
        <f t="shared" si="0"/>
        <v>23</v>
      </c>
      <c r="F7" s="12">
        <v>2</v>
      </c>
      <c r="G7" s="12">
        <v>6</v>
      </c>
      <c r="H7" s="15">
        <f t="shared" si="1"/>
        <v>4</v>
      </c>
      <c r="I7" s="12"/>
      <c r="J7" s="12"/>
      <c r="K7" s="12"/>
      <c r="L7" s="12"/>
      <c r="M7" s="12"/>
      <c r="N7" s="12"/>
    </row>
    <row r="8" spans="1:14" ht="16.5" customHeight="1">
      <c r="A8" s="30">
        <v>4</v>
      </c>
      <c r="B8" s="21" t="s">
        <v>58</v>
      </c>
      <c r="C8" s="12">
        <v>266</v>
      </c>
      <c r="D8" s="12">
        <v>393</v>
      </c>
      <c r="E8" s="15">
        <f t="shared" si="0"/>
        <v>127</v>
      </c>
      <c r="F8" s="12">
        <v>30</v>
      </c>
      <c r="G8" s="12">
        <v>12</v>
      </c>
      <c r="H8" s="15">
        <f t="shared" si="1"/>
        <v>-18</v>
      </c>
      <c r="I8" s="15">
        <v>115</v>
      </c>
      <c r="J8" s="15">
        <v>133</v>
      </c>
      <c r="K8" s="12">
        <f>J8-I8</f>
        <v>18</v>
      </c>
      <c r="L8" s="12">
        <v>56</v>
      </c>
      <c r="M8" s="12">
        <v>60</v>
      </c>
      <c r="N8" s="12">
        <f>M8-L8</f>
        <v>4</v>
      </c>
    </row>
    <row r="9" spans="1:14" ht="16.5" customHeight="1">
      <c r="A9" s="30">
        <v>5</v>
      </c>
      <c r="B9" s="30" t="s">
        <v>59</v>
      </c>
      <c r="C9" s="12">
        <v>203</v>
      </c>
      <c r="D9" s="12">
        <v>156</v>
      </c>
      <c r="E9" s="15">
        <f t="shared" si="0"/>
        <v>-47</v>
      </c>
      <c r="F9" s="12">
        <v>6</v>
      </c>
      <c r="G9" s="12">
        <v>4</v>
      </c>
      <c r="H9" s="15">
        <f t="shared" si="1"/>
        <v>-2</v>
      </c>
      <c r="I9" s="12">
        <v>170</v>
      </c>
      <c r="J9" s="12">
        <v>140</v>
      </c>
      <c r="K9" s="12">
        <f>J9-I9</f>
        <v>-30</v>
      </c>
      <c r="L9" s="12">
        <v>20</v>
      </c>
      <c r="M9" s="15">
        <v>13</v>
      </c>
      <c r="N9" s="12">
        <f>M9-L9</f>
        <v>-7</v>
      </c>
    </row>
    <row r="10" spans="1:14" ht="16.5" customHeight="1">
      <c r="A10" s="30">
        <v>6</v>
      </c>
      <c r="B10" s="31" t="s">
        <v>73</v>
      </c>
      <c r="C10" s="12">
        <v>72</v>
      </c>
      <c r="D10" s="12">
        <v>82</v>
      </c>
      <c r="E10" s="15">
        <f t="shared" si="0"/>
        <v>10</v>
      </c>
      <c r="F10" s="12">
        <v>14</v>
      </c>
      <c r="G10" s="12">
        <v>18</v>
      </c>
      <c r="H10" s="15">
        <f t="shared" si="1"/>
        <v>4</v>
      </c>
      <c r="I10" s="12"/>
      <c r="J10" s="12"/>
      <c r="K10" s="12"/>
      <c r="L10" s="12"/>
      <c r="M10" s="12"/>
      <c r="N10" s="12"/>
    </row>
    <row r="11" spans="1:14" ht="16.5" customHeight="1">
      <c r="A11" s="30">
        <v>7</v>
      </c>
      <c r="B11" s="31" t="s">
        <v>60</v>
      </c>
      <c r="C11" s="12">
        <v>66</v>
      </c>
      <c r="D11" s="12"/>
      <c r="E11" s="15">
        <f t="shared" si="0"/>
        <v>-66</v>
      </c>
      <c r="F11" s="12">
        <v>10</v>
      </c>
      <c r="G11" s="12"/>
      <c r="H11" s="15">
        <f t="shared" si="1"/>
        <v>-10</v>
      </c>
      <c r="I11" s="12"/>
      <c r="J11" s="12"/>
      <c r="K11" s="12"/>
      <c r="L11" s="12"/>
      <c r="M11" s="12"/>
      <c r="N11" s="12"/>
    </row>
    <row r="12" spans="1:14" ht="16.5" customHeight="1">
      <c r="A12" s="30">
        <v>8</v>
      </c>
      <c r="B12" s="31" t="s">
        <v>87</v>
      </c>
      <c r="C12" s="12"/>
      <c r="D12" s="12">
        <v>87</v>
      </c>
      <c r="E12" s="15">
        <f t="shared" si="0"/>
        <v>87</v>
      </c>
      <c r="F12" s="12"/>
      <c r="G12" s="12">
        <v>21</v>
      </c>
      <c r="H12" s="15"/>
      <c r="I12" s="12"/>
      <c r="J12" s="12"/>
      <c r="K12" s="12"/>
      <c r="L12" s="12"/>
      <c r="M12" s="12"/>
      <c r="N12" s="12"/>
    </row>
    <row r="13" spans="1:14" ht="16.5" customHeight="1">
      <c r="A13" s="30">
        <v>9</v>
      </c>
      <c r="B13" s="31" t="s">
        <v>72</v>
      </c>
      <c r="C13" s="12">
        <v>120</v>
      </c>
      <c r="D13" s="12">
        <v>136</v>
      </c>
      <c r="E13" s="15">
        <f t="shared" si="0"/>
        <v>16</v>
      </c>
      <c r="F13" s="12">
        <v>39</v>
      </c>
      <c r="G13" s="12">
        <v>42</v>
      </c>
      <c r="H13" s="15">
        <f t="shared" si="1"/>
        <v>3</v>
      </c>
      <c r="I13" s="12"/>
      <c r="J13" s="12"/>
      <c r="K13" s="12"/>
      <c r="L13" s="12"/>
      <c r="M13" s="12"/>
      <c r="N13" s="12"/>
    </row>
    <row r="14" spans="1:14" ht="16.5" customHeight="1">
      <c r="A14" s="30">
        <v>10</v>
      </c>
      <c r="B14" s="31" t="s">
        <v>61</v>
      </c>
      <c r="C14" s="12">
        <v>102</v>
      </c>
      <c r="D14" s="12">
        <v>73</v>
      </c>
      <c r="E14" s="15">
        <f t="shared" si="0"/>
        <v>-29</v>
      </c>
      <c r="F14" s="12">
        <v>18</v>
      </c>
      <c r="G14" s="12"/>
      <c r="H14" s="15">
        <f t="shared" si="1"/>
        <v>-18</v>
      </c>
      <c r="I14" s="12"/>
      <c r="J14" s="12"/>
      <c r="K14" s="12"/>
      <c r="L14" s="12"/>
      <c r="M14" s="12"/>
      <c r="N14" s="12"/>
    </row>
    <row r="15" spans="1:14" ht="16.5" customHeight="1">
      <c r="A15" s="30">
        <v>11</v>
      </c>
      <c r="B15" s="31" t="s">
        <v>62</v>
      </c>
      <c r="C15" s="12">
        <v>47</v>
      </c>
      <c r="D15" s="12">
        <v>26</v>
      </c>
      <c r="E15" s="15">
        <f t="shared" si="0"/>
        <v>-21</v>
      </c>
      <c r="F15" s="12">
        <v>7</v>
      </c>
      <c r="G15" s="12"/>
      <c r="H15" s="15">
        <f t="shared" si="1"/>
        <v>-7</v>
      </c>
      <c r="I15" s="12"/>
      <c r="J15" s="12"/>
      <c r="K15" s="12"/>
      <c r="L15" s="12"/>
      <c r="M15" s="12"/>
      <c r="N15" s="12"/>
    </row>
    <row r="16" spans="1:14" ht="16.5" customHeight="1">
      <c r="A16" s="30">
        <v>12</v>
      </c>
      <c r="B16" s="31" t="s">
        <v>63</v>
      </c>
      <c r="C16" s="15"/>
      <c r="D16" s="15"/>
      <c r="E16" s="15"/>
      <c r="F16" s="15"/>
      <c r="G16" s="15"/>
      <c r="H16" s="15"/>
      <c r="I16" s="12">
        <v>2424</v>
      </c>
      <c r="J16" s="12">
        <v>2332</v>
      </c>
      <c r="K16" s="12">
        <f>J16-I16</f>
        <v>-92</v>
      </c>
      <c r="L16" s="12">
        <v>984</v>
      </c>
      <c r="M16" s="12">
        <v>865</v>
      </c>
      <c r="N16" s="12">
        <f>M16-L16</f>
        <v>-119</v>
      </c>
    </row>
    <row r="17" spans="1:14" ht="60.75" customHeight="1">
      <c r="A17" s="166" t="s">
        <v>100</v>
      </c>
      <c r="B17" s="167"/>
      <c r="C17" s="12">
        <f>SUM(C5:C15)</f>
        <v>1253</v>
      </c>
      <c r="D17" s="12">
        <f>SUM(D5:D16)</f>
        <v>1368</v>
      </c>
      <c r="E17" s="12">
        <f>D17-C17</f>
        <v>115</v>
      </c>
      <c r="F17" s="12">
        <f>SUM(F5:F16)</f>
        <v>141</v>
      </c>
      <c r="G17" s="12">
        <f>SUM(G5:G16)</f>
        <v>124</v>
      </c>
      <c r="H17" s="12">
        <f>G17-F17</f>
        <v>-17</v>
      </c>
      <c r="I17" s="12">
        <f>SUM(I8:I16)</f>
        <v>2709</v>
      </c>
      <c r="J17" s="12">
        <f>SUM(J8:J16)</f>
        <v>2605</v>
      </c>
      <c r="K17" s="12">
        <f>J17-I17</f>
        <v>-104</v>
      </c>
      <c r="L17" s="12">
        <f>SUM(L8:L16)</f>
        <v>1060</v>
      </c>
      <c r="M17" s="12">
        <f>SUM(M8:M16)</f>
        <v>938</v>
      </c>
      <c r="N17" s="12">
        <f>M17-L17</f>
        <v>-122</v>
      </c>
    </row>
    <row r="18" spans="1:14" ht="16.5" customHeight="1">
      <c r="A18" s="30">
        <v>1</v>
      </c>
      <c r="B18" s="31" t="s">
        <v>82</v>
      </c>
      <c r="C18" s="12"/>
      <c r="D18" s="15"/>
      <c r="E18" s="12"/>
      <c r="F18" s="15"/>
      <c r="G18" s="15"/>
      <c r="H18" s="12"/>
      <c r="I18" s="12">
        <v>13</v>
      </c>
      <c r="J18" s="12">
        <v>5</v>
      </c>
      <c r="K18" s="12">
        <f>J18-I18</f>
        <v>-8</v>
      </c>
      <c r="L18" s="12"/>
      <c r="M18" s="12"/>
      <c r="N18" s="12"/>
    </row>
    <row r="19" spans="1:14" ht="18.75" customHeight="1">
      <c r="A19" s="166" t="s">
        <v>90</v>
      </c>
      <c r="B19" s="167"/>
      <c r="C19" s="12"/>
      <c r="D19" s="12"/>
      <c r="E19" s="12"/>
      <c r="F19" s="12"/>
      <c r="G19" s="12"/>
      <c r="H19" s="12"/>
      <c r="I19" s="12">
        <f>I18</f>
        <v>13</v>
      </c>
      <c r="J19" s="12">
        <f>J18</f>
        <v>5</v>
      </c>
      <c r="K19" s="12">
        <f>J19-I19</f>
        <v>-8</v>
      </c>
      <c r="L19" s="12"/>
      <c r="M19" s="12"/>
      <c r="N19" s="12"/>
    </row>
    <row r="20" spans="1:14" ht="39" customHeight="1">
      <c r="A20" s="168" t="s">
        <v>91</v>
      </c>
      <c r="B20" s="169"/>
      <c r="C20" s="12">
        <f>C17+C19</f>
        <v>1253</v>
      </c>
      <c r="D20" s="12">
        <f>D17+D19</f>
        <v>1368</v>
      </c>
      <c r="E20" s="12">
        <f>D20-C20</f>
        <v>115</v>
      </c>
      <c r="F20" s="12">
        <f>F17+F19</f>
        <v>141</v>
      </c>
      <c r="G20" s="12">
        <f>G17+G19</f>
        <v>124</v>
      </c>
      <c r="H20" s="12">
        <f>G20-F20</f>
        <v>-17</v>
      </c>
      <c r="I20" s="12">
        <f>I17+I19</f>
        <v>2722</v>
      </c>
      <c r="J20" s="12">
        <f>J17+J19</f>
        <v>2610</v>
      </c>
      <c r="K20" s="12">
        <f>J20-I20</f>
        <v>-112</v>
      </c>
      <c r="L20" s="12">
        <f>L17+L19</f>
        <v>1060</v>
      </c>
      <c r="M20" s="12">
        <f>M17+M19</f>
        <v>938</v>
      </c>
      <c r="N20" s="12">
        <f>M20-L20</f>
        <v>-122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S12" sqref="S12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204" t="s">
        <v>122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>
      <c r="A3" s="163" t="s">
        <v>2</v>
      </c>
      <c r="B3" s="163" t="s">
        <v>3</v>
      </c>
      <c r="C3" s="23" t="s">
        <v>24</v>
      </c>
      <c r="D3" s="24"/>
      <c r="E3" s="26"/>
      <c r="F3" s="5" t="s">
        <v>25</v>
      </c>
      <c r="G3" s="7"/>
      <c r="H3" s="22" t="s">
        <v>27</v>
      </c>
      <c r="I3" s="33" t="s">
        <v>28</v>
      </c>
      <c r="J3" s="20"/>
      <c r="K3" s="22" t="s">
        <v>27</v>
      </c>
      <c r="L3" s="49" t="s">
        <v>30</v>
      </c>
      <c r="M3" s="20"/>
      <c r="N3" s="22" t="s">
        <v>27</v>
      </c>
    </row>
    <row r="4" spans="1:14" ht="15">
      <c r="A4" s="207"/>
      <c r="B4" s="207"/>
      <c r="C4" s="17">
        <v>2011</v>
      </c>
      <c r="D4" s="18">
        <v>2012</v>
      </c>
      <c r="E4" s="18" t="s">
        <v>97</v>
      </c>
      <c r="F4" s="17">
        <v>2011</v>
      </c>
      <c r="G4" s="18">
        <v>2012</v>
      </c>
      <c r="H4" s="43" t="s">
        <v>26</v>
      </c>
      <c r="I4" s="29" t="s">
        <v>29</v>
      </c>
      <c r="J4" s="27"/>
      <c r="K4" s="43" t="s">
        <v>26</v>
      </c>
      <c r="L4" s="51" t="s">
        <v>31</v>
      </c>
      <c r="M4" s="27"/>
      <c r="N4" s="43" t="s">
        <v>26</v>
      </c>
    </row>
    <row r="5" spans="1:14" ht="15">
      <c r="A5" s="207"/>
      <c r="B5" s="207"/>
      <c r="C5" s="39"/>
      <c r="D5" s="11"/>
      <c r="E5" s="11" t="s">
        <v>98</v>
      </c>
      <c r="F5" s="28"/>
      <c r="G5" s="27"/>
      <c r="H5" s="28" t="s">
        <v>99</v>
      </c>
      <c r="I5" s="17">
        <v>2011</v>
      </c>
      <c r="J5" s="18">
        <v>2012</v>
      </c>
      <c r="K5" s="28" t="s">
        <v>99</v>
      </c>
      <c r="L5" s="17">
        <v>2011</v>
      </c>
      <c r="M5" s="18">
        <v>2012</v>
      </c>
      <c r="N5" s="28" t="s">
        <v>99</v>
      </c>
    </row>
    <row r="6" spans="1:14" ht="16.5" customHeight="1">
      <c r="A6" s="30">
        <v>1</v>
      </c>
      <c r="B6" s="30" t="s">
        <v>55</v>
      </c>
      <c r="C6" s="35">
        <v>151</v>
      </c>
      <c r="D6" s="35">
        <v>115</v>
      </c>
      <c r="E6" s="35">
        <f aca="true" t="shared" si="0" ref="E6:E17">D6*100/C6</f>
        <v>76.15894039735099</v>
      </c>
      <c r="F6" s="35">
        <v>143</v>
      </c>
      <c r="G6" s="35">
        <v>112</v>
      </c>
      <c r="H6" s="35">
        <f aca="true" t="shared" si="1" ref="H6:H17">G6-F6</f>
        <v>-31</v>
      </c>
      <c r="I6" s="35">
        <f>F6*100/180</f>
        <v>79.44444444444444</v>
      </c>
      <c r="J6" s="35">
        <f>G6*100/180</f>
        <v>62.22222222222222</v>
      </c>
      <c r="K6" s="35">
        <f aca="true" t="shared" si="2" ref="K6:K16">J6-I6</f>
        <v>-17.22222222222222</v>
      </c>
      <c r="L6" s="35">
        <f>(C6-F6)*100/180</f>
        <v>4.444444444444445</v>
      </c>
      <c r="M6" s="35">
        <f>(D6-G6)*100/180</f>
        <v>1.6666666666666667</v>
      </c>
      <c r="N6" s="35">
        <f>M6-L6</f>
        <v>-2.7777777777777777</v>
      </c>
    </row>
    <row r="7" spans="1:14" ht="16.5" customHeight="1">
      <c r="A7" s="30">
        <v>2</v>
      </c>
      <c r="B7" s="30" t="s">
        <v>56</v>
      </c>
      <c r="C7" s="35">
        <v>102</v>
      </c>
      <c r="D7" s="35">
        <v>100</v>
      </c>
      <c r="E7" s="35">
        <f t="shared" si="0"/>
        <v>98.03921568627452</v>
      </c>
      <c r="F7" s="35">
        <v>93</v>
      </c>
      <c r="G7" s="35">
        <v>95</v>
      </c>
      <c r="H7" s="35">
        <f t="shared" si="1"/>
        <v>2</v>
      </c>
      <c r="I7" s="35">
        <f>F7*100/105</f>
        <v>88.57142857142857</v>
      </c>
      <c r="J7" s="35">
        <f>G7*100/105</f>
        <v>90.47619047619048</v>
      </c>
      <c r="K7" s="35">
        <f>J7-I7</f>
        <v>1.9047619047619122</v>
      </c>
      <c r="L7" s="35">
        <f>(C7-F7)*100/105</f>
        <v>8.571428571428571</v>
      </c>
      <c r="M7" s="35">
        <f>(D7-G7)*100/105</f>
        <v>4.761904761904762</v>
      </c>
      <c r="N7" s="35">
        <f>M7-L7</f>
        <v>-3.8095238095238093</v>
      </c>
    </row>
    <row r="8" spans="1:14" ht="16.5" customHeight="1">
      <c r="A8" s="30">
        <v>3</v>
      </c>
      <c r="B8" s="30" t="s">
        <v>57</v>
      </c>
      <c r="C8" s="35">
        <v>60</v>
      </c>
      <c r="D8" s="35">
        <v>60</v>
      </c>
      <c r="E8" s="35">
        <f t="shared" si="0"/>
        <v>100</v>
      </c>
      <c r="F8" s="35">
        <v>54</v>
      </c>
      <c r="G8" s="35">
        <v>54</v>
      </c>
      <c r="H8" s="35">
        <f t="shared" si="1"/>
        <v>0</v>
      </c>
      <c r="I8" s="35">
        <f>F8*100/60</f>
        <v>90</v>
      </c>
      <c r="J8" s="35">
        <f>G8*100/60</f>
        <v>90</v>
      </c>
      <c r="K8" s="35">
        <f>J8-I8</f>
        <v>0</v>
      </c>
      <c r="L8" s="35">
        <f>(C8-F8)*100/60</f>
        <v>10</v>
      </c>
      <c r="M8" s="35">
        <f>(D8-G8)*100/60</f>
        <v>10</v>
      </c>
      <c r="N8" s="35">
        <f>M8-L8</f>
        <v>0</v>
      </c>
    </row>
    <row r="9" spans="1:14" ht="16.5" customHeight="1">
      <c r="A9" s="30">
        <v>4</v>
      </c>
      <c r="B9" s="21" t="s">
        <v>58</v>
      </c>
      <c r="C9" s="35">
        <v>209</v>
      </c>
      <c r="D9" s="35">
        <v>232</v>
      </c>
      <c r="E9" s="35">
        <f t="shared" si="0"/>
        <v>111.00478468899522</v>
      </c>
      <c r="F9" s="35">
        <v>167</v>
      </c>
      <c r="G9" s="35">
        <v>181</v>
      </c>
      <c r="H9" s="35">
        <f t="shared" si="1"/>
        <v>14</v>
      </c>
      <c r="I9" s="35">
        <f>F9*100/308</f>
        <v>54.22077922077922</v>
      </c>
      <c r="J9" s="35">
        <f>G9*100/308</f>
        <v>58.76623376623377</v>
      </c>
      <c r="K9" s="35">
        <f t="shared" si="2"/>
        <v>4.545454545454547</v>
      </c>
      <c r="L9" s="35">
        <f>(C9-F9)*100/308</f>
        <v>13.636363636363637</v>
      </c>
      <c r="M9" s="35">
        <f>(D9-G9)*100/308</f>
        <v>16.558441558441558</v>
      </c>
      <c r="N9" s="35">
        <f aca="true" t="shared" si="3" ref="N9:N17">M9-L9</f>
        <v>2.9220779220779214</v>
      </c>
    </row>
    <row r="10" spans="1:14" ht="16.5" customHeight="1">
      <c r="A10" s="30">
        <v>5</v>
      </c>
      <c r="B10" s="30" t="s">
        <v>59</v>
      </c>
      <c r="C10" s="35">
        <v>108</v>
      </c>
      <c r="D10" s="35">
        <v>138</v>
      </c>
      <c r="E10" s="35">
        <f t="shared" si="0"/>
        <v>127.77777777777777</v>
      </c>
      <c r="F10" s="35">
        <v>100</v>
      </c>
      <c r="G10" s="35">
        <v>124</v>
      </c>
      <c r="H10" s="35">
        <f t="shared" si="1"/>
        <v>24</v>
      </c>
      <c r="I10" s="35">
        <f>F10*100/280</f>
        <v>35.714285714285715</v>
      </c>
      <c r="J10" s="35">
        <f>G10*100/280</f>
        <v>44.285714285714285</v>
      </c>
      <c r="K10" s="35">
        <f t="shared" si="2"/>
        <v>8.57142857142857</v>
      </c>
      <c r="L10" s="35">
        <f>(C10-F10)*100/280</f>
        <v>2.857142857142857</v>
      </c>
      <c r="M10" s="35">
        <f>(D10-G10)*100/280</f>
        <v>5</v>
      </c>
      <c r="N10" s="35">
        <f t="shared" si="3"/>
        <v>2.142857142857143</v>
      </c>
    </row>
    <row r="11" spans="1:14" ht="16.5" customHeight="1">
      <c r="A11" s="30">
        <v>6</v>
      </c>
      <c r="B11" s="31" t="s">
        <v>73</v>
      </c>
      <c r="C11" s="87">
        <v>101</v>
      </c>
      <c r="D11" s="87">
        <v>83</v>
      </c>
      <c r="E11" s="35">
        <f t="shared" si="0"/>
        <v>82.17821782178218</v>
      </c>
      <c r="F11" s="87">
        <v>86</v>
      </c>
      <c r="G11" s="87">
        <v>70</v>
      </c>
      <c r="H11" s="35">
        <f t="shared" si="1"/>
        <v>-16</v>
      </c>
      <c r="I11" s="87">
        <f>F11*100/85</f>
        <v>101.17647058823529</v>
      </c>
      <c r="J11" s="87">
        <f>G11*100/85</f>
        <v>82.3529411764706</v>
      </c>
      <c r="K11" s="35">
        <f t="shared" si="2"/>
        <v>-18.823529411764696</v>
      </c>
      <c r="L11" s="35">
        <f>(C11-F11)*100/85</f>
        <v>17.647058823529413</v>
      </c>
      <c r="M11" s="35">
        <f>(D11-G11)*100/85</f>
        <v>15.294117647058824</v>
      </c>
      <c r="N11" s="87">
        <f t="shared" si="3"/>
        <v>-2.3529411764705888</v>
      </c>
    </row>
    <row r="12" spans="1:14" ht="16.5" customHeight="1">
      <c r="A12" s="30">
        <v>7</v>
      </c>
      <c r="B12" s="31" t="s">
        <v>60</v>
      </c>
      <c r="C12" s="87">
        <v>66</v>
      </c>
      <c r="D12" s="87"/>
      <c r="E12" s="35">
        <f t="shared" si="0"/>
        <v>0</v>
      </c>
      <c r="F12" s="87">
        <v>58</v>
      </c>
      <c r="G12" s="87"/>
      <c r="H12" s="35">
        <f t="shared" si="1"/>
        <v>-58</v>
      </c>
      <c r="I12" s="87">
        <f>F12*100/60</f>
        <v>96.66666666666667</v>
      </c>
      <c r="J12" s="87">
        <f>G12*100/60</f>
        <v>0</v>
      </c>
      <c r="K12" s="35">
        <f t="shared" si="2"/>
        <v>-96.66666666666667</v>
      </c>
      <c r="L12" s="35">
        <f>(C12-F12)*100/60</f>
        <v>13.333333333333334</v>
      </c>
      <c r="M12" s="35">
        <f>(D12-G12)*100/60</f>
        <v>0</v>
      </c>
      <c r="N12" s="87">
        <f t="shared" si="3"/>
        <v>-13.333333333333334</v>
      </c>
    </row>
    <row r="13" spans="1:14" ht="16.5" customHeight="1">
      <c r="A13" s="30">
        <v>8</v>
      </c>
      <c r="B13" s="31" t="s">
        <v>87</v>
      </c>
      <c r="C13" s="115">
        <v>9</v>
      </c>
      <c r="D13" s="87">
        <v>86</v>
      </c>
      <c r="E13" s="35">
        <f>D13*100/C14</f>
        <v>93.47826086956522</v>
      </c>
      <c r="F13" s="87"/>
      <c r="G13" s="87">
        <v>72</v>
      </c>
      <c r="H13" s="35">
        <f t="shared" si="1"/>
        <v>72</v>
      </c>
      <c r="I13" s="87"/>
      <c r="J13" s="87">
        <f>G13*100/5</f>
        <v>1440</v>
      </c>
      <c r="K13" s="35"/>
      <c r="L13" s="35"/>
      <c r="M13" s="35">
        <f>(D13-G13)*100/5</f>
        <v>280</v>
      </c>
      <c r="N13" s="87"/>
    </row>
    <row r="14" spans="1:14" ht="16.5" customHeight="1">
      <c r="A14" s="30">
        <v>9</v>
      </c>
      <c r="B14" s="31" t="s">
        <v>72</v>
      </c>
      <c r="C14" s="87">
        <v>92</v>
      </c>
      <c r="D14" s="87">
        <v>93</v>
      </c>
      <c r="E14" s="35">
        <f>D14*100/C15</f>
        <v>124</v>
      </c>
      <c r="F14" s="87">
        <v>80</v>
      </c>
      <c r="G14" s="87">
        <v>79</v>
      </c>
      <c r="H14" s="35">
        <f t="shared" si="1"/>
        <v>-1</v>
      </c>
      <c r="I14" s="87">
        <f>F14*100/78</f>
        <v>102.56410256410257</v>
      </c>
      <c r="J14" s="87">
        <f>G14*100/78</f>
        <v>101.28205128205128</v>
      </c>
      <c r="K14" s="35">
        <f t="shared" si="2"/>
        <v>-1.2820512820512846</v>
      </c>
      <c r="L14" s="35">
        <f>(C14-F14)*100/78</f>
        <v>15.384615384615385</v>
      </c>
      <c r="M14" s="35">
        <f>(D14-G14)*100/78</f>
        <v>17.94871794871795</v>
      </c>
      <c r="N14" s="87">
        <f t="shared" si="3"/>
        <v>2.564102564102564</v>
      </c>
    </row>
    <row r="15" spans="1:14" ht="16.5" customHeight="1">
      <c r="A15" s="30">
        <v>10</v>
      </c>
      <c r="B15" s="31" t="s">
        <v>61</v>
      </c>
      <c r="C15" s="87">
        <v>75</v>
      </c>
      <c r="D15" s="87">
        <v>110</v>
      </c>
      <c r="E15" s="35">
        <f>D15*100/C16</f>
        <v>314.2857142857143</v>
      </c>
      <c r="F15" s="87">
        <v>75</v>
      </c>
      <c r="G15" s="87">
        <v>94</v>
      </c>
      <c r="H15" s="35">
        <f t="shared" si="1"/>
        <v>19</v>
      </c>
      <c r="I15" s="87">
        <f>F15*100/100</f>
        <v>75</v>
      </c>
      <c r="J15" s="87">
        <f>G15*100/100</f>
        <v>94</v>
      </c>
      <c r="K15" s="35">
        <f t="shared" si="2"/>
        <v>19</v>
      </c>
      <c r="L15" s="35">
        <f>(C15-F15)*100/100</f>
        <v>0</v>
      </c>
      <c r="M15" s="35">
        <f>(D15-G15)*100/100</f>
        <v>16</v>
      </c>
      <c r="N15" s="87">
        <f t="shared" si="3"/>
        <v>16</v>
      </c>
    </row>
    <row r="16" spans="1:14" ht="16.5" customHeight="1">
      <c r="A16" s="30">
        <v>11</v>
      </c>
      <c r="B16" s="31" t="s">
        <v>62</v>
      </c>
      <c r="C16" s="87">
        <v>35</v>
      </c>
      <c r="D16" s="87">
        <v>34</v>
      </c>
      <c r="E16" s="35">
        <f>D16*100/C17</f>
        <v>3.373015873015873</v>
      </c>
      <c r="F16" s="87">
        <v>35</v>
      </c>
      <c r="G16" s="87">
        <v>34</v>
      </c>
      <c r="H16" s="35">
        <f t="shared" si="1"/>
        <v>-1</v>
      </c>
      <c r="I16" s="87">
        <f>F16*100/42</f>
        <v>83.33333333333333</v>
      </c>
      <c r="J16" s="87">
        <f>G16*100/42</f>
        <v>80.95238095238095</v>
      </c>
      <c r="K16" s="35">
        <f t="shared" si="2"/>
        <v>-2.3809523809523796</v>
      </c>
      <c r="L16" s="35">
        <f>(C16-F16)*100/42</f>
        <v>0</v>
      </c>
      <c r="M16" s="35">
        <f>(D16-G16)*100/42</f>
        <v>0</v>
      </c>
      <c r="N16" s="87">
        <f t="shared" si="3"/>
        <v>0</v>
      </c>
    </row>
    <row r="17" spans="1:14" ht="61.5" customHeight="1">
      <c r="A17" s="205" t="s">
        <v>96</v>
      </c>
      <c r="B17" s="206"/>
      <c r="C17" s="35">
        <f>SUM(C6:C16)</f>
        <v>1008</v>
      </c>
      <c r="D17" s="3">
        <f>SUM(D6:D16)</f>
        <v>1051</v>
      </c>
      <c r="E17" s="35">
        <f t="shared" si="0"/>
        <v>104.26587301587301</v>
      </c>
      <c r="F17" s="3">
        <f>SUM(F6:F16)</f>
        <v>891</v>
      </c>
      <c r="G17" s="3">
        <f>SUM(G6:G16)</f>
        <v>915</v>
      </c>
      <c r="H17" s="35">
        <f t="shared" si="1"/>
        <v>24</v>
      </c>
      <c r="I17" s="35">
        <f>F17*100/1298</f>
        <v>68.64406779661017</v>
      </c>
      <c r="J17" s="35">
        <f>G17*100/1303</f>
        <v>70.22256331542594</v>
      </c>
      <c r="K17" s="35">
        <v>1</v>
      </c>
      <c r="L17" s="35">
        <f>(C17-F17)*100/1298</f>
        <v>9.01386748844376</v>
      </c>
      <c r="M17" s="35">
        <f>(D17-G17)*100/1303</f>
        <v>10.437452033768228</v>
      </c>
      <c r="N17" s="35">
        <f t="shared" si="3"/>
        <v>1.4235845453244682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K10" sqref="K10"/>
    </sheetView>
  </sheetViews>
  <sheetFormatPr defaultColWidth="9.00390625" defaultRowHeight="12.75"/>
  <cols>
    <col min="1" max="1" width="3.75390625" style="19" customWidth="1"/>
    <col min="2" max="2" width="29.75390625" style="19" customWidth="1"/>
    <col min="3" max="3" width="12.125" style="19" customWidth="1"/>
    <col min="4" max="4" width="14.625" style="19" customWidth="1"/>
    <col min="5" max="5" width="13.00390625" style="19" customWidth="1"/>
    <col min="6" max="6" width="13.25390625" style="19" customWidth="1"/>
    <col min="7" max="16384" width="9.125" style="19" customWidth="1"/>
  </cols>
  <sheetData>
    <row r="1" spans="1:9" ht="15.75" customHeight="1">
      <c r="A1" s="208" t="s">
        <v>108</v>
      </c>
      <c r="B1" s="208"/>
      <c r="C1" s="208"/>
      <c r="D1" s="208"/>
      <c r="E1" s="208"/>
      <c r="F1" s="208"/>
      <c r="G1" s="75"/>
      <c r="H1" s="75"/>
      <c r="I1" s="75"/>
    </row>
    <row r="2" spans="1:9" ht="15.75">
      <c r="A2" s="209" t="s">
        <v>123</v>
      </c>
      <c r="B2" s="209"/>
      <c r="C2" s="209"/>
      <c r="D2" s="209"/>
      <c r="E2" s="209"/>
      <c r="F2" s="209"/>
      <c r="G2" s="75"/>
      <c r="H2" s="75"/>
      <c r="I2" s="75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5"/>
      <c r="H3" s="75"/>
      <c r="I3" s="75"/>
    </row>
    <row r="4" spans="1:9" ht="15">
      <c r="A4" s="8"/>
      <c r="B4" s="8"/>
      <c r="C4" s="17">
        <v>2011</v>
      </c>
      <c r="D4" s="18">
        <v>2012</v>
      </c>
      <c r="E4" s="17">
        <v>2011</v>
      </c>
      <c r="F4" s="18">
        <v>2012</v>
      </c>
      <c r="G4" s="75"/>
      <c r="H4" s="75"/>
      <c r="I4" s="75"/>
    </row>
    <row r="5" spans="1:9" ht="15">
      <c r="A5" s="3">
        <v>1</v>
      </c>
      <c r="B5" s="21" t="s">
        <v>55</v>
      </c>
      <c r="C5" s="35">
        <f>(молоко!C7*1000)/1875</f>
        <v>208.53333333333333</v>
      </c>
      <c r="D5" s="35">
        <f>(молоко!D7*1000)/1875</f>
        <v>178.56</v>
      </c>
      <c r="E5" s="35">
        <f>(мясо!C6*1000)/1875</f>
        <v>21.173333333333332</v>
      </c>
      <c r="F5" s="35">
        <f>(мясо!D6*1000)/1875</f>
        <v>20.053333333333335</v>
      </c>
      <c r="H5" s="75"/>
      <c r="I5" s="75"/>
    </row>
    <row r="6" spans="1:9" ht="15">
      <c r="A6" s="3">
        <v>2</v>
      </c>
      <c r="B6" s="21" t="s">
        <v>56</v>
      </c>
      <c r="C6" s="35">
        <f>(молоко!C8*1000)/799</f>
        <v>314.1426783479349</v>
      </c>
      <c r="D6" s="35">
        <f>(молоко!D8*1000)/799</f>
        <v>324.2540675844806</v>
      </c>
      <c r="E6" s="35">
        <f>(мясо!C7*1000)/799</f>
        <v>22.02753441802253</v>
      </c>
      <c r="F6" s="35">
        <f>(мясо!D7*1000)/799</f>
        <v>12.599499374217773</v>
      </c>
      <c r="H6" s="75"/>
      <c r="I6" s="75"/>
    </row>
    <row r="7" spans="1:9" ht="15">
      <c r="A7" s="3">
        <v>3</v>
      </c>
      <c r="B7" s="21" t="s">
        <v>57</v>
      </c>
      <c r="C7" s="35">
        <f>(молоко!C9*1000)/2025</f>
        <v>98.0246913580247</v>
      </c>
      <c r="D7" s="35">
        <f>(молоко!D9*1000)/2025</f>
        <v>99.75308641975309</v>
      </c>
      <c r="E7" s="35">
        <f>(мясо!C8*1000)/2025</f>
        <v>5.145679012345679</v>
      </c>
      <c r="F7" s="35">
        <f>(мясо!D8*1000)/2025</f>
        <v>4.839506172839506</v>
      </c>
      <c r="H7" s="75"/>
      <c r="I7" s="75"/>
    </row>
    <row r="8" spans="1:9" ht="15">
      <c r="A8" s="3">
        <v>4</v>
      </c>
      <c r="B8" s="37" t="s">
        <v>58</v>
      </c>
      <c r="C8" s="35">
        <f>(молоко!C10*1000)/2478</f>
        <v>325.1008878127522</v>
      </c>
      <c r="D8" s="35">
        <f>(молоко!D10*1000)/2478</f>
        <v>385.51251008878126</v>
      </c>
      <c r="E8" s="35">
        <f>(мясо!C9*1000)/2478</f>
        <v>49.87893462469734</v>
      </c>
      <c r="F8" s="35">
        <f>(мясо!D9*1000)/2478</f>
        <v>29.983857949959646</v>
      </c>
      <c r="H8" s="75"/>
      <c r="I8" s="75"/>
    </row>
    <row r="9" spans="1:9" ht="15">
      <c r="A9" s="3">
        <v>5</v>
      </c>
      <c r="B9" s="21" t="s">
        <v>59</v>
      </c>
      <c r="C9" s="35">
        <f>(молоко!C11*1000)/2157</f>
        <v>191.93324061196105</v>
      </c>
      <c r="D9" s="35">
        <f>(молоко!D11*1000)/2157</f>
        <v>164.5804357904497</v>
      </c>
      <c r="E9" s="35">
        <f>(мясо!C10*1000)/2157</f>
        <v>33.843300880853036</v>
      </c>
      <c r="F9" s="35">
        <f>(мясо!D10*1000)/2157</f>
        <v>32.869726471951786</v>
      </c>
      <c r="H9" s="75"/>
      <c r="I9" s="75"/>
    </row>
    <row r="10" spans="1:9" ht="15">
      <c r="A10" s="3">
        <v>6</v>
      </c>
      <c r="B10" s="37" t="s">
        <v>73</v>
      </c>
      <c r="C10" s="35">
        <f>(молоко!C12*1000)/859</f>
        <v>386.7287543655413</v>
      </c>
      <c r="D10" s="35">
        <f>(молоко!D12*1000)/859</f>
        <v>326.65890570430736</v>
      </c>
      <c r="E10" s="35">
        <f>(мясо!C11*1000)/859</f>
        <v>34.22584400465658</v>
      </c>
      <c r="F10" s="35">
        <f>(мясо!D11*1000)/859</f>
        <v>29.108265424912688</v>
      </c>
      <c r="H10" s="75"/>
      <c r="I10" s="75"/>
    </row>
    <row r="11" spans="1:9" ht="15">
      <c r="A11" s="3">
        <v>7</v>
      </c>
      <c r="B11" s="37" t="s">
        <v>60</v>
      </c>
      <c r="C11" s="35">
        <f>(молоко!C13*1000)/1482</f>
        <v>145.96018893387316</v>
      </c>
      <c r="D11" s="35"/>
      <c r="E11" s="35">
        <f>(мясо!C12*1000)/1482</f>
        <v>0.6747638326585695</v>
      </c>
      <c r="F11" s="35"/>
      <c r="H11" s="75"/>
      <c r="I11" s="75"/>
    </row>
    <row r="12" spans="1:9" ht="15">
      <c r="A12" s="3">
        <v>8</v>
      </c>
      <c r="B12" s="31" t="s">
        <v>87</v>
      </c>
      <c r="C12" s="35"/>
      <c r="D12" s="35">
        <f>(молоко!D14*1000)/1482</f>
        <v>171.53981106612684</v>
      </c>
      <c r="E12" s="35"/>
      <c r="F12" s="35">
        <f>(мясо!D13*1000)/1482</f>
        <v>13.703778677462887</v>
      </c>
      <c r="H12" s="75"/>
      <c r="I12" s="75"/>
    </row>
    <row r="13" spans="1:9" ht="15.75" customHeight="1">
      <c r="A13" s="3">
        <v>9</v>
      </c>
      <c r="B13" s="31" t="s">
        <v>72</v>
      </c>
      <c r="C13" s="35">
        <f>(молоко!C15*1000)/1077</f>
        <v>351.7641597028784</v>
      </c>
      <c r="D13" s="35">
        <f>(молоко!D15*1000)/1077</f>
        <v>361.4661095636026</v>
      </c>
      <c r="E13" s="35">
        <f>(мясо!C14*1000)/1077</f>
        <v>17.76230269266481</v>
      </c>
      <c r="F13" s="35">
        <f>(мясо!D14*1000)/1077</f>
        <v>18.904363974001857</v>
      </c>
      <c r="H13" s="75"/>
      <c r="I13" s="75"/>
    </row>
    <row r="14" spans="1:9" ht="15">
      <c r="A14" s="3">
        <v>10</v>
      </c>
      <c r="B14" s="37" t="s">
        <v>61</v>
      </c>
      <c r="C14" s="35">
        <f>(молоко!C16*1000)/1084</f>
        <v>239.85239852398524</v>
      </c>
      <c r="D14" s="35">
        <f>(молоко!D16*1000)/1084</f>
        <v>255.35055350553506</v>
      </c>
      <c r="E14" s="35">
        <f>(мясо!C15*1000)/1084</f>
        <v>14.944649446494465</v>
      </c>
      <c r="F14" s="35">
        <f>(мясо!D15*1000)/1084</f>
        <v>23.616236162361623</v>
      </c>
      <c r="H14" s="75"/>
      <c r="I14" s="75"/>
    </row>
    <row r="15" spans="1:9" ht="15">
      <c r="A15" s="3">
        <v>11</v>
      </c>
      <c r="B15" s="37" t="s">
        <v>62</v>
      </c>
      <c r="C15" s="35">
        <f>(молоко!C17*1000)/674</f>
        <v>175.81602373887242</v>
      </c>
      <c r="D15" s="35">
        <f>(молоко!D17*1000)/674</f>
        <v>172.40356083086053</v>
      </c>
      <c r="E15" s="35">
        <f>(мясо!C16*1000)/674</f>
        <v>22.403560830860535</v>
      </c>
      <c r="F15" s="35">
        <f>(мясо!D16*1000)/674</f>
        <v>7.270029673590504</v>
      </c>
      <c r="H15" s="75"/>
      <c r="I15" s="75"/>
    </row>
    <row r="16" spans="1:9" ht="15">
      <c r="A16" s="3">
        <v>12</v>
      </c>
      <c r="B16" s="37" t="s">
        <v>63</v>
      </c>
      <c r="C16" s="35"/>
      <c r="D16" s="35"/>
      <c r="E16" s="35">
        <f>(мясо!C17*1000)/983</f>
        <v>922.6856561546286</v>
      </c>
      <c r="F16" s="35">
        <f>(мясо!D17*1000)/983</f>
        <v>1134.2828077314343</v>
      </c>
      <c r="H16" s="75"/>
      <c r="I16" s="75"/>
    </row>
    <row r="17" spans="1:6" ht="63.75" customHeight="1">
      <c r="A17" s="205" t="s">
        <v>96</v>
      </c>
      <c r="B17" s="206"/>
      <c r="C17" s="35">
        <f>(молоко!C18*1000)/22877</f>
        <v>147.3739126633737</v>
      </c>
      <c r="D17" s="35">
        <f>(молоко!D18*1000)/22877</f>
        <v>149.63937579228045</v>
      </c>
      <c r="E17" s="35">
        <f>(мясо!C27*1000)/22877</f>
        <v>55.21571884425404</v>
      </c>
      <c r="F17" s="35">
        <f>(мясо!D27*1000)/22877</f>
        <v>62.52043537177077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70" zoomScaleNormal="75" zoomScaleSheetLayoutView="70" zoomScalePageLayoutView="0" workbookViewId="0" topLeftCell="A1">
      <selection activeCell="P17" sqref="P17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19"/>
      <c r="B1" s="14"/>
      <c r="C1" s="42" t="s">
        <v>124</v>
      </c>
      <c r="D1" s="42"/>
      <c r="E1" s="42"/>
      <c r="F1" s="14"/>
      <c r="G1" s="14"/>
      <c r="H1" s="14"/>
      <c r="I1" s="14"/>
      <c r="J1" s="14"/>
      <c r="K1" s="14"/>
    </row>
    <row r="2" spans="1:11" ht="18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58" t="s">
        <v>2</v>
      </c>
      <c r="B3" s="212" t="s">
        <v>3</v>
      </c>
      <c r="C3" s="213" t="s">
        <v>92</v>
      </c>
      <c r="D3" s="214"/>
      <c r="E3" s="215"/>
      <c r="F3" s="53" t="s">
        <v>11</v>
      </c>
      <c r="G3" s="54" t="s">
        <v>14</v>
      </c>
      <c r="H3" s="55" t="s">
        <v>16</v>
      </c>
      <c r="I3" s="56"/>
      <c r="J3" s="52"/>
      <c r="K3" s="52" t="s">
        <v>17</v>
      </c>
    </row>
    <row r="4" spans="1:11" ht="18">
      <c r="A4" s="187"/>
      <c r="B4" s="187"/>
      <c r="C4" s="57">
        <v>2011</v>
      </c>
      <c r="D4" s="53">
        <v>2012</v>
      </c>
      <c r="E4" s="53" t="s">
        <v>97</v>
      </c>
      <c r="F4" s="58" t="s">
        <v>12</v>
      </c>
      <c r="G4" s="59" t="s">
        <v>15</v>
      </c>
      <c r="H4" s="57">
        <v>2011</v>
      </c>
      <c r="I4" s="53">
        <v>2012</v>
      </c>
      <c r="J4" s="53" t="s">
        <v>97</v>
      </c>
      <c r="K4" s="60" t="s">
        <v>18</v>
      </c>
    </row>
    <row r="5" spans="1:11" ht="18">
      <c r="A5" s="159"/>
      <c r="B5" s="159"/>
      <c r="C5" s="61"/>
      <c r="D5" s="62"/>
      <c r="E5" s="62" t="s">
        <v>98</v>
      </c>
      <c r="F5" s="62" t="s">
        <v>13</v>
      </c>
      <c r="G5" s="63"/>
      <c r="H5" s="61"/>
      <c r="I5" s="62"/>
      <c r="J5" s="62" t="s">
        <v>98</v>
      </c>
      <c r="K5" s="64" t="s">
        <v>0</v>
      </c>
    </row>
    <row r="6" spans="1:11" ht="18" customHeight="1">
      <c r="A6" s="216" t="s">
        <v>93</v>
      </c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1" ht="16.5" customHeight="1">
      <c r="A7" s="30">
        <v>1</v>
      </c>
      <c r="B7" s="65" t="s">
        <v>55</v>
      </c>
      <c r="C7" s="12">
        <v>391</v>
      </c>
      <c r="D7" s="12">
        <v>334.8</v>
      </c>
      <c r="E7" s="13">
        <f aca="true" t="shared" si="0" ref="E7:E17">D7/C7*100</f>
        <v>85.62659846547315</v>
      </c>
      <c r="F7" s="12">
        <v>283</v>
      </c>
      <c r="G7" s="13">
        <f aca="true" t="shared" si="1" ref="G7:G17">F7/D7*100</f>
        <v>84.52807646356032</v>
      </c>
      <c r="H7" s="16">
        <f>C7/'численность 1'!J6*1000</f>
        <v>2172.222222222222</v>
      </c>
      <c r="I7" s="16">
        <f>D7/'численность 1'!K6*1000</f>
        <v>1860</v>
      </c>
      <c r="J7" s="13">
        <f aca="true" t="shared" si="2" ref="J7:J23">I7/H7*100</f>
        <v>85.62659846547315</v>
      </c>
      <c r="K7" s="12"/>
    </row>
    <row r="8" spans="1:11" ht="16.5" customHeight="1">
      <c r="A8" s="30">
        <v>2</v>
      </c>
      <c r="B8" s="65" t="s">
        <v>56</v>
      </c>
      <c r="C8" s="12">
        <v>251</v>
      </c>
      <c r="D8" s="12">
        <v>259.079</v>
      </c>
      <c r="E8" s="13">
        <f t="shared" si="0"/>
        <v>103.2187250996016</v>
      </c>
      <c r="F8" s="12">
        <v>232.601</v>
      </c>
      <c r="G8" s="13">
        <f t="shared" si="1"/>
        <v>89.77995128898907</v>
      </c>
      <c r="H8" s="16">
        <f>C8/'численность 1'!J7*1000</f>
        <v>2390.4761904761904</v>
      </c>
      <c r="I8" s="13">
        <f>D8/'численность 1'!K7*1000</f>
        <v>2467.419047619048</v>
      </c>
      <c r="J8" s="13">
        <f t="shared" si="2"/>
        <v>103.21872509960161</v>
      </c>
      <c r="K8" s="12"/>
    </row>
    <row r="9" spans="1:11" ht="16.5" customHeight="1">
      <c r="A9" s="30">
        <v>3</v>
      </c>
      <c r="B9" s="65" t="s">
        <v>57</v>
      </c>
      <c r="C9" s="12">
        <v>198.5</v>
      </c>
      <c r="D9" s="12">
        <v>202</v>
      </c>
      <c r="E9" s="13">
        <f t="shared" si="0"/>
        <v>101.76322418136021</v>
      </c>
      <c r="F9" s="12">
        <v>144</v>
      </c>
      <c r="G9" s="13">
        <f t="shared" si="1"/>
        <v>71.28712871287128</v>
      </c>
      <c r="H9" s="16">
        <f>C9/'численность 1'!J8*1000</f>
        <v>3308.333333333333</v>
      </c>
      <c r="I9" s="13">
        <f>D9/'численность 1'!K8*1000</f>
        <v>3366.6666666666665</v>
      </c>
      <c r="J9" s="13">
        <f t="shared" si="2"/>
        <v>101.76322418136021</v>
      </c>
      <c r="K9" s="12"/>
    </row>
    <row r="10" spans="1:11" ht="16.5" customHeight="1">
      <c r="A10" s="30">
        <v>4</v>
      </c>
      <c r="B10" s="65" t="s">
        <v>58</v>
      </c>
      <c r="C10" s="12">
        <v>805.6</v>
      </c>
      <c r="D10" s="12">
        <v>955.3</v>
      </c>
      <c r="E10" s="13">
        <f t="shared" si="0"/>
        <v>118.58242303872888</v>
      </c>
      <c r="F10" s="12">
        <v>883.4</v>
      </c>
      <c r="G10" s="13">
        <f t="shared" si="1"/>
        <v>92.47356851250916</v>
      </c>
      <c r="H10" s="16">
        <f>C10/'численность 1'!J9*1000</f>
        <v>2615.5844155844156</v>
      </c>
      <c r="I10" s="13">
        <f>D10/'численность 1'!K9*1000</f>
        <v>3101.6233766233763</v>
      </c>
      <c r="J10" s="13">
        <f t="shared" si="2"/>
        <v>118.58242303872888</v>
      </c>
      <c r="K10" s="12"/>
    </row>
    <row r="11" spans="1:11" ht="16.5" customHeight="1">
      <c r="A11" s="30">
        <v>5</v>
      </c>
      <c r="B11" s="66" t="s">
        <v>59</v>
      </c>
      <c r="C11" s="12">
        <v>414</v>
      </c>
      <c r="D11" s="12">
        <v>355</v>
      </c>
      <c r="E11" s="13">
        <f t="shared" si="0"/>
        <v>85.74879227053141</v>
      </c>
      <c r="F11" s="12">
        <v>282</v>
      </c>
      <c r="G11" s="13">
        <f t="shared" si="1"/>
        <v>79.43661971830987</v>
      </c>
      <c r="H11" s="16">
        <f>C11/'численность 1'!J10*1000</f>
        <v>1478.5714285714287</v>
      </c>
      <c r="I11" s="128">
        <f>D11/'численность 1'!K10*1000</f>
        <v>1635.9447004608294</v>
      </c>
      <c r="J11" s="13">
        <f t="shared" si="2"/>
        <v>110.64360292971793</v>
      </c>
      <c r="K11" s="12"/>
    </row>
    <row r="12" spans="1:11" ht="16.5" customHeight="1">
      <c r="A12" s="30">
        <v>6</v>
      </c>
      <c r="B12" s="66" t="s">
        <v>73</v>
      </c>
      <c r="C12" s="15">
        <v>332.2</v>
      </c>
      <c r="D12" s="15">
        <v>280.6</v>
      </c>
      <c r="E12" s="13">
        <f t="shared" si="0"/>
        <v>84.46718844069838</v>
      </c>
      <c r="F12" s="15">
        <v>199.7</v>
      </c>
      <c r="G12" s="16">
        <f t="shared" si="1"/>
        <v>71.16892373485388</v>
      </c>
      <c r="H12" s="16">
        <f>C12/'численность 1'!J11*1000</f>
        <v>3908.235294117647</v>
      </c>
      <c r="I12" s="13">
        <f>D12/'численность 1'!K11*1000</f>
        <v>3301.1764705882356</v>
      </c>
      <c r="J12" s="13">
        <f t="shared" si="2"/>
        <v>84.46718844069838</v>
      </c>
      <c r="K12" s="129">
        <v>301.4</v>
      </c>
    </row>
    <row r="13" spans="1:11" ht="16.5" customHeight="1">
      <c r="A13" s="30">
        <v>7</v>
      </c>
      <c r="B13" s="66" t="s">
        <v>60</v>
      </c>
      <c r="C13" s="15">
        <v>216.313</v>
      </c>
      <c r="D13" s="15"/>
      <c r="E13" s="13">
        <f t="shared" si="0"/>
        <v>0</v>
      </c>
      <c r="F13" s="15"/>
      <c r="G13" s="16"/>
      <c r="H13" s="16">
        <f>C13/'численность 1'!J12*1000</f>
        <v>3605.2166666666662</v>
      </c>
      <c r="I13" s="13"/>
      <c r="J13" s="13"/>
      <c r="K13" s="15"/>
    </row>
    <row r="14" spans="1:11" ht="16.5" customHeight="1">
      <c r="A14" s="30">
        <v>8</v>
      </c>
      <c r="B14" s="66" t="s">
        <v>87</v>
      </c>
      <c r="C14" s="15">
        <v>5.51</v>
      </c>
      <c r="D14" s="15">
        <v>254.222</v>
      </c>
      <c r="E14" s="13">
        <f t="shared" si="0"/>
        <v>4613.829401088929</v>
      </c>
      <c r="F14" s="15">
        <v>173.342</v>
      </c>
      <c r="G14" s="16">
        <f t="shared" si="1"/>
        <v>68.18528687525077</v>
      </c>
      <c r="H14" s="16"/>
      <c r="I14" s="16">
        <f>D14/'численность 1'!K13*1000</f>
        <v>3911.1076923076926</v>
      </c>
      <c r="J14" s="13"/>
      <c r="K14" s="15">
        <v>75.764</v>
      </c>
    </row>
    <row r="15" spans="1:11" ht="16.5" customHeight="1">
      <c r="A15" s="30">
        <v>9</v>
      </c>
      <c r="B15" s="66" t="s">
        <v>72</v>
      </c>
      <c r="C15" s="15">
        <v>378.85</v>
      </c>
      <c r="D15" s="15">
        <v>389.299</v>
      </c>
      <c r="E15" s="16">
        <f t="shared" si="0"/>
        <v>102.75808367427742</v>
      </c>
      <c r="F15" s="15">
        <v>383.307</v>
      </c>
      <c r="G15" s="16">
        <f t="shared" si="1"/>
        <v>98.46082317190644</v>
      </c>
      <c r="H15" s="16">
        <f>C15/'численность 1'!J14*1000</f>
        <v>4857.051282051282</v>
      </c>
      <c r="I15" s="16">
        <f>D15/'численность 1'!K14*1000</f>
        <v>4991.01282051282</v>
      </c>
      <c r="J15" s="13">
        <f t="shared" si="2"/>
        <v>102.75808367427742</v>
      </c>
      <c r="K15" s="15"/>
    </row>
    <row r="16" spans="1:11" ht="16.5" customHeight="1">
      <c r="A16" s="30">
        <v>10</v>
      </c>
      <c r="B16" s="66" t="s">
        <v>61</v>
      </c>
      <c r="C16" s="15">
        <v>260</v>
      </c>
      <c r="D16" s="15">
        <v>276.8</v>
      </c>
      <c r="E16" s="13">
        <f t="shared" si="0"/>
        <v>106.46153846153848</v>
      </c>
      <c r="F16" s="15">
        <v>225.8</v>
      </c>
      <c r="G16" s="16">
        <f t="shared" si="1"/>
        <v>81.57514450867052</v>
      </c>
      <c r="H16" s="16">
        <f>C16/'численность 1'!J15*1000</f>
        <v>2600</v>
      </c>
      <c r="I16" s="13">
        <f>D16/'численность 1'!K15*1000</f>
        <v>2768.0000000000005</v>
      </c>
      <c r="J16" s="13">
        <f t="shared" si="2"/>
        <v>106.46153846153848</v>
      </c>
      <c r="K16" s="15">
        <v>6.4</v>
      </c>
    </row>
    <row r="17" spans="1:11" ht="16.5" customHeight="1">
      <c r="A17" s="30">
        <v>11</v>
      </c>
      <c r="B17" s="66" t="s">
        <v>62</v>
      </c>
      <c r="C17" s="15">
        <v>118.5</v>
      </c>
      <c r="D17" s="15">
        <v>116.2</v>
      </c>
      <c r="E17" s="13">
        <f t="shared" si="0"/>
        <v>98.05907172995781</v>
      </c>
      <c r="F17" s="15">
        <v>106</v>
      </c>
      <c r="G17" s="16">
        <f t="shared" si="1"/>
        <v>91.22203098106712</v>
      </c>
      <c r="H17" s="16">
        <f>C17/'численность 1'!J16*1000</f>
        <v>2821.4285714285716</v>
      </c>
      <c r="I17" s="13">
        <f>D17/'численность 1'!K16*1000</f>
        <v>2834.1463414634145</v>
      </c>
      <c r="J17" s="13">
        <f t="shared" si="2"/>
        <v>100.45075640629824</v>
      </c>
      <c r="K17" s="15"/>
    </row>
    <row r="18" spans="1:11" ht="57" customHeight="1">
      <c r="A18" s="166" t="s">
        <v>103</v>
      </c>
      <c r="B18" s="167"/>
      <c r="C18" s="15">
        <f>SUM(C7:C17)</f>
        <v>3371.473</v>
      </c>
      <c r="D18" s="67">
        <f>SUM(D7:D17)</f>
        <v>3423.3</v>
      </c>
      <c r="E18" s="13">
        <f>D18/C18*100</f>
        <v>101.53722126797398</v>
      </c>
      <c r="F18" s="67">
        <f>SUM(F7:F17)</f>
        <v>2913.1500000000005</v>
      </c>
      <c r="G18" s="13">
        <f>F18/D18*100</f>
        <v>85.0977127333275</v>
      </c>
      <c r="H18" s="13">
        <f>C18/'численность 1'!J20*1000</f>
        <v>2597.4368258859786</v>
      </c>
      <c r="I18" s="13">
        <f>D18/'численность 1'!K20*1000</f>
        <v>2762.9539951573847</v>
      </c>
      <c r="J18" s="13">
        <f t="shared" si="2"/>
        <v>106.37232704263937</v>
      </c>
      <c r="K18" s="67">
        <f>SUM(K7:K17)</f>
        <v>383.56399999999996</v>
      </c>
    </row>
    <row r="19" spans="1:11" ht="19.5" customHeight="1">
      <c r="A19" s="132">
        <v>1</v>
      </c>
      <c r="B19" s="130" t="s">
        <v>112</v>
      </c>
      <c r="C19" s="132"/>
      <c r="D19" s="67">
        <v>29.3</v>
      </c>
      <c r="E19" s="13"/>
      <c r="F19" s="67">
        <v>19.4</v>
      </c>
      <c r="G19" s="13">
        <f>F19/D19*100</f>
        <v>66.21160409556313</v>
      </c>
      <c r="H19" s="13"/>
      <c r="I19" s="13">
        <f>D19/'численность 1'!K21*1000</f>
        <v>1953.3333333333333</v>
      </c>
      <c r="J19" s="13"/>
      <c r="K19" s="67"/>
    </row>
    <row r="20" spans="1:11" ht="19.5" customHeight="1">
      <c r="A20" s="132">
        <v>2</v>
      </c>
      <c r="B20" s="132" t="s">
        <v>126</v>
      </c>
      <c r="C20" s="132"/>
      <c r="D20" s="67">
        <v>0.8</v>
      </c>
      <c r="E20" s="13"/>
      <c r="F20" s="67">
        <v>0.6</v>
      </c>
      <c r="G20" s="13">
        <f>F20/D20*100</f>
        <v>74.99999999999999</v>
      </c>
      <c r="H20" s="13"/>
      <c r="I20" s="13">
        <f>D20/'численность 1'!K25*1000</f>
        <v>2666.666666666667</v>
      </c>
      <c r="J20" s="13"/>
      <c r="K20" s="67"/>
    </row>
    <row r="21" spans="1:11" ht="21.75" customHeight="1">
      <c r="A21" s="166" t="s">
        <v>111</v>
      </c>
      <c r="B21" s="219"/>
      <c r="C21" s="15"/>
      <c r="D21" s="67">
        <f>SUM(D19:D20)</f>
        <v>30.1</v>
      </c>
      <c r="E21" s="67"/>
      <c r="F21" s="67">
        <f>SUM(F19:F20)</f>
        <v>20</v>
      </c>
      <c r="G21" s="13">
        <f>F21/D21*100</f>
        <v>66.44518272425249</v>
      </c>
      <c r="H21" s="13"/>
      <c r="I21" s="13">
        <f>D21/'численность 1'!K26*1000</f>
        <v>1967.3202614379084</v>
      </c>
      <c r="J21" s="13"/>
      <c r="K21" s="67"/>
    </row>
    <row r="22" spans="1:11" ht="18">
      <c r="A22" s="216" t="s">
        <v>94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8"/>
    </row>
    <row r="23" spans="1:11" ht="17.25" customHeight="1">
      <c r="A23" s="118">
        <v>1</v>
      </c>
      <c r="B23" s="66" t="s">
        <v>72</v>
      </c>
      <c r="C23" s="118">
        <v>28.746</v>
      </c>
      <c r="D23" s="118">
        <v>59.62</v>
      </c>
      <c r="E23" s="13">
        <f>D23/C23*100</f>
        <v>207.40276908091562</v>
      </c>
      <c r="F23" s="118">
        <v>46.79</v>
      </c>
      <c r="G23" s="13">
        <f>F23/D23*100</f>
        <v>78.48037571284804</v>
      </c>
      <c r="H23" s="118">
        <f>C23*1000/50</f>
        <v>574.92</v>
      </c>
      <c r="I23" s="126">
        <f>D23*1000/81</f>
        <v>736.0493827160494</v>
      </c>
      <c r="J23" s="13">
        <f t="shared" si="2"/>
        <v>128.02640066723188</v>
      </c>
      <c r="K23" s="118"/>
    </row>
    <row r="24" spans="1:11" ht="37.5" customHeight="1">
      <c r="A24" s="210" t="s">
        <v>91</v>
      </c>
      <c r="B24" s="211"/>
      <c r="C24" s="118">
        <f>C18+C23</f>
        <v>3400.219</v>
      </c>
      <c r="D24" s="126">
        <f>D18+D23+D21</f>
        <v>3513.02</v>
      </c>
      <c r="E24" s="13">
        <f>D24/C24*100</f>
        <v>103.31746278695577</v>
      </c>
      <c r="F24" s="118">
        <f>F18+F23</f>
        <v>2959.9400000000005</v>
      </c>
      <c r="G24" s="13">
        <f>F24/D24*100</f>
        <v>84.25628092068933</v>
      </c>
      <c r="H24" s="119" t="s">
        <v>95</v>
      </c>
      <c r="I24" s="119" t="s">
        <v>95</v>
      </c>
      <c r="J24" s="119" t="s">
        <v>95</v>
      </c>
      <c r="K24" s="118">
        <f>K18+K23</f>
        <v>383.56399999999996</v>
      </c>
    </row>
  </sheetData>
  <sheetProtection/>
  <mergeCells count="8">
    <mergeCell ref="A24:B24"/>
    <mergeCell ref="A3:A5"/>
    <mergeCell ref="B3:B5"/>
    <mergeCell ref="A18:B18"/>
    <mergeCell ref="C3:E3"/>
    <mergeCell ref="A6:K6"/>
    <mergeCell ref="A22:K22"/>
    <mergeCell ref="A21:B21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2013-01-11T12:24:42Z</cp:lastPrinted>
  <dcterms:created xsi:type="dcterms:W3CDTF">2002-11-05T10:10:22Z</dcterms:created>
  <dcterms:modified xsi:type="dcterms:W3CDTF">2013-03-11T07:17:04Z</dcterms:modified>
  <cp:category/>
  <cp:version/>
  <cp:contentType/>
  <cp:contentStatus/>
</cp:coreProperties>
</file>