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1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'молоко'!$A$1:$K$17</definedName>
    <definedName name="_xlnm.Print_Area" localSheetId="9">'мясо'!$A$1:$K$22</definedName>
    <definedName name="_xlnm.Print_Area" localSheetId="7">'на 100 га'!$A$1:$F$17</definedName>
    <definedName name="_xlnm.Print_Area" localSheetId="0">'пало1'!$A$1:$T$20</definedName>
    <definedName name="_xlnm.Print_Area" localSheetId="1">'привес'!$A$1:$T$21</definedName>
    <definedName name="_xlnm.Print_Area" localSheetId="4">'приплод 2'!$A$1:$P$11</definedName>
    <definedName name="_xlnm.Print_Area" localSheetId="3">'численность 1'!$A$1:$U$21</definedName>
    <definedName name="_xlnm.Print_Area" localSheetId="2">'численность 2'!$A$1:$M$21</definedName>
  </definedNames>
  <calcPr fullCalcOnLoad="1"/>
</workbook>
</file>

<file path=xl/sharedStrings.xml><?xml version="1.0" encoding="utf-8"?>
<sst xmlns="http://schemas.openxmlformats.org/spreadsheetml/2006/main" count="286" uniqueCount="113">
  <si>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</si>
  <si>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</si>
  <si>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</si>
  <si>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</si>
  <si>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</si>
  <si>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</si>
  <si>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</si>
  <si>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</si>
  <si>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</si>
  <si>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</si>
  <si>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</si>
  <si>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</si>
  <si>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</si>
  <si>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</si>
  <si>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</si>
  <si>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</si>
  <si>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</si>
  <si>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</si>
  <si>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</si>
  <si>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</si>
  <si>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</si>
  <si>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</si>
  <si>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</si>
  <si>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</si>
  <si>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</si>
  <si>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</si>
  <si>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</si>
  <si>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</si>
  <si>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</si>
  <si>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</si>
  <si>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</si>
  <si>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</si>
  <si>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</si>
  <si>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</si>
  <si>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</si>
  <si>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</si>
  <si>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</si>
  <si>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</si>
  <si>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</si>
  <si>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</si>
  <si>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</si>
  <si>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</si>
  <si>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</si>
  <si>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</si>
  <si>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</si>
  <si>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</si>
  <si>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</si>
  <si>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</si>
  <si>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</si>
  <si>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</si>
  <si>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</si>
  <si>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</si>
  <si>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</si>
  <si>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</si>
  <si>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</si>
  <si>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</si>
  <si>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</si>
  <si>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</si>
  <si>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</si>
  <si>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</si>
  <si>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</si>
  <si>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</si>
  <si>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</si>
  <si>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</si>
  <si>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</si>
  <si>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</si>
  <si>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</si>
  <si>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</si>
  <si>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</si>
  <si>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</si>
  <si>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</si>
  <si>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</si>
  <si>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</si>
  <si>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</si>
  <si>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</si>
  <si>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</si>
  <si>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</si>
  <si>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</si>
  <si>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</si>
  <si>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</si>
  <si>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</si>
  <si>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</si>
  <si>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</si>
  <si>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</si>
  <si>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</si>
  <si>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</si>
  <si>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</si>
  <si>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</si>
  <si>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</si>
  <si>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</si>
  <si>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</si>
  <si>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</si>
  <si>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</si>
  <si>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>2011 в %</t>
  </si>
  <si>
    <t>к 2010 г.</t>
  </si>
  <si>
    <t>2010 г.</t>
  </si>
  <si>
    <t>с 2010 г.</t>
  </si>
  <si>
    <t>разница с 2010 г.</t>
  </si>
  <si>
    <t>в % к 2010 г.</t>
  </si>
  <si>
    <t>2011 к 2010 г. %</t>
  </si>
  <si>
    <t xml:space="preserve">КРС </t>
  </si>
  <si>
    <t>ООО "А-ф "Трудовик"</t>
  </si>
  <si>
    <t>Показатели получения привесов за 2011 год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</si>
  <si>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1.01.2012 г., (голов)</t>
    </r>
  </si>
  <si>
    <t xml:space="preserve">      ЧИСЛЕННОСТЬ СКОТА по Ибресинскому району на 1.01.2012 г., (голов)</t>
  </si>
  <si>
    <t>по Ибресинскому району за 2011 год (ц)</t>
  </si>
  <si>
    <t xml:space="preserve">   Производство мяса за 2011 год</t>
  </si>
  <si>
    <t xml:space="preserve">            Производство молока за  2011 год по Ибресинскому району</t>
  </si>
  <si>
    <t>Поступление приплода (телят) за 2011 год</t>
  </si>
  <si>
    <t>СЛУЧЕНО И ОСЕМЕНЕНО за 2011 год по Ибресинскому р-ну</t>
  </si>
  <si>
    <t>Поступление приплода (поросят) за 2011 год</t>
  </si>
  <si>
    <t>ПАЛО И ПОГИБЛО - КУПЛЕНО- ПРОДАНО крс, свиней за 2011 год по Ибресинскому.р-ну</t>
  </si>
  <si>
    <t>КФХ Васильев О.И.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</si>
</sst>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4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5" sqref="B35"/>
    </sheetView>
  </sheetViews>
  <sheetFormatPr defaultColWidth="9.00390625" defaultRowHeight="12.75"/>
  <cols>
    <col min="1" max="1" width="4.00390625" style="73" customWidth="1"/>
    <col min="2" max="2" width="28.625" style="73" customWidth="1"/>
    <col min="3" max="4" width="8.75390625" style="73" customWidth="1"/>
    <col min="5" max="5" width="8.875" style="73" customWidth="1"/>
    <col min="6" max="7" width="8.75390625" style="73" customWidth="1"/>
    <col min="8" max="8" width="8.875" style="73" customWidth="1"/>
    <col min="9" max="14" width="8.75390625" style="73" customWidth="1"/>
    <col min="15" max="15" width="8.875" style="73" customWidth="1"/>
    <col min="16" max="18" width="8.75390625" style="73" customWidth="1"/>
    <col min="19" max="19" width="8.875" style="73" customWidth="1"/>
    <col min="20" max="20" width="8.75390625" style="73" customWidth="1"/>
    <col min="21" max="16384" width="9.125" style="73" customWidth="1"/>
  </cols>
  <sheetData>
    <row r="1" spans="3:18" ht="15">
      <c r="C1" s="131" t="s">
        <v>111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3:10" ht="15">
      <c r="C2" s="74"/>
      <c r="D2" s="74"/>
      <c r="E2" s="74"/>
      <c r="F2" s="74"/>
      <c r="G2" s="74"/>
      <c r="H2" s="74"/>
      <c r="I2" s="74"/>
      <c r="J2" s="74"/>
    </row>
    <row r="3" spans="1:20" s="20" customFormat="1" ht="18.75" customHeight="1">
      <c r="A3" s="34" t="s">
        <v>2</v>
      </c>
      <c r="B3" s="23" t="s">
        <v>3</v>
      </c>
      <c r="C3" s="132" t="s">
        <v>41</v>
      </c>
      <c r="D3" s="133"/>
      <c r="E3" s="134"/>
      <c r="F3" s="132" t="s">
        <v>55</v>
      </c>
      <c r="G3" s="133"/>
      <c r="H3" s="134"/>
      <c r="I3" s="103"/>
      <c r="J3" s="108" t="s">
        <v>43</v>
      </c>
      <c r="K3" s="108"/>
      <c r="L3" s="108"/>
      <c r="M3" s="110"/>
      <c r="N3" s="110"/>
      <c r="O3" s="110"/>
      <c r="P3" s="110"/>
      <c r="Q3" s="103"/>
      <c r="R3" s="108" t="s">
        <v>44</v>
      </c>
      <c r="S3" s="108"/>
      <c r="T3" s="107"/>
    </row>
    <row r="4" spans="1:20" s="20" customFormat="1" ht="18.75" customHeight="1">
      <c r="A4" s="39"/>
      <c r="B4" s="33"/>
      <c r="C4" s="135">
        <v>2010</v>
      </c>
      <c r="D4" s="135">
        <v>2011</v>
      </c>
      <c r="E4" s="112" t="s">
        <v>42</v>
      </c>
      <c r="F4" s="135">
        <v>2010</v>
      </c>
      <c r="G4" s="135">
        <v>2011</v>
      </c>
      <c r="H4" s="112" t="s">
        <v>42</v>
      </c>
      <c r="I4" s="127" t="s">
        <v>100</v>
      </c>
      <c r="J4" s="128"/>
      <c r="K4" s="127" t="s">
        <v>92</v>
      </c>
      <c r="L4" s="128"/>
      <c r="M4" s="127" t="s">
        <v>88</v>
      </c>
      <c r="N4" s="128"/>
      <c r="O4" s="127" t="s">
        <v>89</v>
      </c>
      <c r="P4" s="128"/>
      <c r="Q4" s="127" t="s">
        <v>91</v>
      </c>
      <c r="R4" s="128"/>
      <c r="S4" s="127" t="s">
        <v>92</v>
      </c>
      <c r="T4" s="128"/>
    </row>
    <row r="5" spans="1:20" s="20" customFormat="1" ht="18.75" customHeight="1">
      <c r="A5" s="30"/>
      <c r="B5" s="29"/>
      <c r="C5" s="136"/>
      <c r="D5" s="136"/>
      <c r="E5" s="113" t="s">
        <v>96</v>
      </c>
      <c r="F5" s="136"/>
      <c r="G5" s="136"/>
      <c r="H5" s="113" t="s">
        <v>96</v>
      </c>
      <c r="I5" s="114">
        <v>2010</v>
      </c>
      <c r="J5" s="115">
        <v>2011</v>
      </c>
      <c r="K5" s="114">
        <v>2010</v>
      </c>
      <c r="L5" s="115">
        <v>2011</v>
      </c>
      <c r="M5" s="114">
        <v>2010</v>
      </c>
      <c r="N5" s="115">
        <v>2011</v>
      </c>
      <c r="O5" s="114">
        <v>2010</v>
      </c>
      <c r="P5" s="115">
        <v>2011</v>
      </c>
      <c r="Q5" s="114">
        <v>2010</v>
      </c>
      <c r="R5" s="115">
        <v>2011</v>
      </c>
      <c r="S5" s="114">
        <v>2010</v>
      </c>
      <c r="T5" s="115">
        <v>2011</v>
      </c>
    </row>
    <row r="6" spans="1:20" s="20" customFormat="1" ht="15" customHeight="1">
      <c r="A6" s="31">
        <v>1</v>
      </c>
      <c r="B6" s="31" t="s">
        <v>61</v>
      </c>
      <c r="C6" s="3">
        <v>1</v>
      </c>
      <c r="D6" s="3">
        <v>1</v>
      </c>
      <c r="E6" s="11">
        <f aca="true" t="shared" si="0" ref="E6:E16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62</v>
      </c>
      <c r="C7" s="3">
        <v>5</v>
      </c>
      <c r="D7" s="3">
        <v>10</v>
      </c>
      <c r="E7" s="11">
        <f t="shared" si="0"/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39</v>
      </c>
      <c r="R7" s="3">
        <v>42</v>
      </c>
      <c r="S7" s="3"/>
      <c r="T7" s="3"/>
    </row>
    <row r="8" spans="1:20" s="20" customFormat="1" ht="13.5" customHeight="1">
      <c r="A8" s="31">
        <v>3</v>
      </c>
      <c r="B8" s="31" t="s">
        <v>63</v>
      </c>
      <c r="C8" s="3">
        <v>1</v>
      </c>
      <c r="D8" s="3"/>
      <c r="E8" s="11">
        <f t="shared" si="0"/>
        <v>-1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12</v>
      </c>
      <c r="R8" s="3">
        <v>17</v>
      </c>
      <c r="S8" s="3"/>
      <c r="T8" s="3"/>
    </row>
    <row r="9" spans="1:20" s="20" customFormat="1" ht="12.75" customHeight="1">
      <c r="A9" s="31">
        <v>4</v>
      </c>
      <c r="B9" s="22" t="s">
        <v>64</v>
      </c>
      <c r="C9" s="3">
        <v>5</v>
      </c>
      <c r="D9" s="3">
        <v>7</v>
      </c>
      <c r="E9" s="11">
        <f t="shared" si="0"/>
        <v>2</v>
      </c>
      <c r="F9" s="3"/>
      <c r="G9" s="3"/>
      <c r="H9" s="3"/>
      <c r="I9" s="3"/>
      <c r="J9" s="3"/>
      <c r="K9" s="3"/>
      <c r="L9" s="3">
        <v>2</v>
      </c>
      <c r="M9" s="3"/>
      <c r="N9" s="3"/>
      <c r="O9" s="3"/>
      <c r="P9" s="3"/>
      <c r="Q9" s="3"/>
      <c r="R9" s="3"/>
      <c r="S9" s="3">
        <v>401</v>
      </c>
      <c r="T9" s="3">
        <v>366</v>
      </c>
    </row>
    <row r="10" spans="1:20" s="20" customFormat="1" ht="13.5" customHeight="1">
      <c r="A10" s="31">
        <v>5</v>
      </c>
      <c r="B10" s="98" t="s">
        <v>65</v>
      </c>
      <c r="C10" s="3">
        <v>2</v>
      </c>
      <c r="D10" s="3"/>
      <c r="E10" s="11">
        <f t="shared" si="0"/>
        <v>-2</v>
      </c>
      <c r="F10" s="3">
        <v>131</v>
      </c>
      <c r="G10" s="3">
        <v>37</v>
      </c>
      <c r="H10" s="3">
        <f>G10-F10</f>
        <v>-94</v>
      </c>
      <c r="I10" s="3">
        <v>28</v>
      </c>
      <c r="J10" s="3"/>
      <c r="K10" s="11"/>
      <c r="L10" s="11"/>
      <c r="M10" s="11"/>
      <c r="N10" s="11"/>
      <c r="O10" s="11"/>
      <c r="P10" s="11"/>
      <c r="Q10" s="11">
        <v>5</v>
      </c>
      <c r="R10" s="11"/>
      <c r="S10" s="3">
        <v>323</v>
      </c>
      <c r="T10" s="3">
        <v>283</v>
      </c>
    </row>
    <row r="11" spans="1:20" s="20" customFormat="1" ht="12.75" customHeight="1">
      <c r="A11" s="31">
        <v>6</v>
      </c>
      <c r="B11" s="32" t="s">
        <v>80</v>
      </c>
      <c r="C11" s="3">
        <v>3</v>
      </c>
      <c r="D11" s="3">
        <v>1</v>
      </c>
      <c r="E11" s="11">
        <f t="shared" si="0"/>
        <v>-2</v>
      </c>
      <c r="F11" s="3"/>
      <c r="G11" s="3"/>
      <c r="H11" s="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3"/>
      <c r="T11" s="3"/>
    </row>
    <row r="12" spans="1:20" s="20" customFormat="1" ht="12.75" customHeight="1">
      <c r="A12" s="31">
        <v>7</v>
      </c>
      <c r="B12" s="31" t="s">
        <v>66</v>
      </c>
      <c r="C12" s="3">
        <v>2</v>
      </c>
      <c r="D12" s="3"/>
      <c r="E12" s="11">
        <f t="shared" si="0"/>
        <v>-2</v>
      </c>
      <c r="F12" s="3"/>
      <c r="G12" s="3"/>
      <c r="H12" s="3"/>
      <c r="I12" s="3">
        <v>36</v>
      </c>
      <c r="J12" s="3"/>
      <c r="K12" s="3"/>
      <c r="L12" s="3"/>
      <c r="M12" s="3"/>
      <c r="N12" s="3"/>
      <c r="O12" s="3"/>
      <c r="P12" s="3"/>
      <c r="Q12" s="3">
        <v>27</v>
      </c>
      <c r="R12" s="3">
        <v>148</v>
      </c>
      <c r="S12" s="3"/>
      <c r="T12" s="3"/>
    </row>
    <row r="13" spans="1:20" s="20" customFormat="1" ht="12.75" customHeight="1">
      <c r="A13" s="31">
        <v>8</v>
      </c>
      <c r="B13" s="32" t="s">
        <v>101</v>
      </c>
      <c r="C13" s="3"/>
      <c r="D13" s="3"/>
      <c r="E13" s="11">
        <f t="shared" si="0"/>
        <v>0</v>
      </c>
      <c r="F13" s="3"/>
      <c r="G13" s="3"/>
      <c r="H13" s="3"/>
      <c r="I13" s="3"/>
      <c r="J13" s="3">
        <v>148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79</v>
      </c>
      <c r="C14" s="3">
        <v>2</v>
      </c>
      <c r="D14" s="3">
        <v>1</v>
      </c>
      <c r="E14" s="11">
        <f t="shared" si="0"/>
        <v>-1</v>
      </c>
      <c r="F14" s="3"/>
      <c r="G14" s="3"/>
      <c r="H14" s="3"/>
      <c r="I14" s="3"/>
      <c r="J14" s="3">
        <v>30</v>
      </c>
      <c r="K14" s="3"/>
      <c r="L14" s="3"/>
      <c r="M14" s="3"/>
      <c r="N14" s="3"/>
      <c r="O14" s="3"/>
      <c r="P14" s="3"/>
      <c r="Q14" s="3">
        <v>22</v>
      </c>
      <c r="R14" s="3">
        <v>18</v>
      </c>
      <c r="S14" s="3"/>
      <c r="T14" s="3"/>
    </row>
    <row r="15" spans="1:20" s="20" customFormat="1" ht="12.75" customHeight="1">
      <c r="A15" s="31">
        <v>10</v>
      </c>
      <c r="B15" s="31" t="s">
        <v>67</v>
      </c>
      <c r="C15" s="3"/>
      <c r="D15" s="3">
        <v>1</v>
      </c>
      <c r="E15" s="11">
        <f t="shared" si="0"/>
        <v>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68</v>
      </c>
      <c r="C16" s="3">
        <v>1</v>
      </c>
      <c r="D16" s="3">
        <v>1</v>
      </c>
      <c r="E16" s="11">
        <f t="shared" si="0"/>
        <v>0</v>
      </c>
      <c r="F16" s="3"/>
      <c r="G16" s="3"/>
      <c r="H16" s="3"/>
      <c r="I16" s="3">
        <v>2</v>
      </c>
      <c r="J16" s="3">
        <v>2</v>
      </c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0" customFormat="1" ht="12.75" customHeight="1">
      <c r="A17" s="31">
        <v>12</v>
      </c>
      <c r="B17" s="31" t="s">
        <v>69</v>
      </c>
      <c r="C17" s="3"/>
      <c r="D17" s="3"/>
      <c r="E17" s="11"/>
      <c r="F17" s="3">
        <v>873</v>
      </c>
      <c r="G17" s="3">
        <v>875</v>
      </c>
      <c r="H17" s="3">
        <f>G17-F17</f>
        <v>2</v>
      </c>
      <c r="I17" s="3"/>
      <c r="J17" s="3"/>
      <c r="K17" s="3"/>
      <c r="L17" s="3">
        <v>13</v>
      </c>
      <c r="M17" s="3"/>
      <c r="N17" s="3"/>
      <c r="O17" s="3"/>
      <c r="P17" s="3"/>
      <c r="Q17" s="3"/>
      <c r="R17" s="3"/>
      <c r="S17" s="3">
        <v>1058</v>
      </c>
      <c r="T17" s="3">
        <v>1557</v>
      </c>
    </row>
    <row r="18" spans="1:20" s="20" customFormat="1" ht="12.75" customHeight="1">
      <c r="A18" s="31">
        <v>13</v>
      </c>
      <c r="B18" s="32" t="s">
        <v>77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93">
        <v>88</v>
      </c>
      <c r="N18" s="3">
        <v>5</v>
      </c>
      <c r="O18" s="3"/>
      <c r="P18" s="3"/>
      <c r="Q18" s="3"/>
      <c r="R18" s="3"/>
      <c r="S18" s="117"/>
      <c r="T18" s="22"/>
    </row>
    <row r="19" spans="1:20" s="20" customFormat="1" ht="12.75" customHeight="1">
      <c r="A19" s="31">
        <v>14</v>
      </c>
      <c r="B19" s="32" t="s">
        <v>112</v>
      </c>
      <c r="C19" s="3"/>
      <c r="D19" s="3"/>
      <c r="E19" s="11"/>
      <c r="F19" s="3"/>
      <c r="G19" s="3"/>
      <c r="H19" s="3"/>
      <c r="I19" s="3"/>
      <c r="J19" s="3"/>
      <c r="K19" s="3"/>
      <c r="L19" s="3"/>
      <c r="M19" s="93"/>
      <c r="N19" s="3"/>
      <c r="O19" s="3"/>
      <c r="P19" s="3"/>
      <c r="Q19" s="3"/>
      <c r="R19" s="3"/>
      <c r="S19" s="117"/>
      <c r="T19" s="22"/>
    </row>
    <row r="20" spans="1:20" s="20" customFormat="1" ht="13.5" customHeight="1">
      <c r="A20" s="129" t="s">
        <v>11</v>
      </c>
      <c r="B20" s="130"/>
      <c r="C20" s="3">
        <f>SUM(C6:C19)</f>
        <v>22</v>
      </c>
      <c r="D20" s="3">
        <f>SUM(D6:D19)</f>
        <v>22</v>
      </c>
      <c r="E20" s="11">
        <f>D20-C20</f>
        <v>0</v>
      </c>
      <c r="F20" s="3">
        <f>SUM(F6:F19)</f>
        <v>1004</v>
      </c>
      <c r="G20" s="3">
        <f>SUM(G10:G18)</f>
        <v>912</v>
      </c>
      <c r="H20" s="3">
        <f>G20-F20</f>
        <v>-92</v>
      </c>
      <c r="I20" s="3">
        <f>SUM(I10:I19)</f>
        <v>66</v>
      </c>
      <c r="J20" s="3">
        <f>SUM(J10:J19)</f>
        <v>180</v>
      </c>
      <c r="K20" s="3">
        <f>SUM(K6:K17)</f>
        <v>0</v>
      </c>
      <c r="L20" s="3">
        <f>SUM(L6:L17)</f>
        <v>15</v>
      </c>
      <c r="M20" s="3">
        <f>SUM(M6:M18)</f>
        <v>88</v>
      </c>
      <c r="N20" s="3">
        <f>SUM(N18)</f>
        <v>5</v>
      </c>
      <c r="O20" s="3">
        <f>SUM(O6:O17)</f>
        <v>0</v>
      </c>
      <c r="P20" s="3">
        <f>SUM(P6:P17)</f>
        <v>0</v>
      </c>
      <c r="Q20" s="3">
        <f>SUM(Q7:Q19)</f>
        <v>105</v>
      </c>
      <c r="R20" s="3">
        <f>SUM(R7:R19)</f>
        <v>225</v>
      </c>
      <c r="S20" s="3">
        <f>SUM(S7:S19)</f>
        <v>1782</v>
      </c>
      <c r="T20" s="3">
        <f>SUM(T6:T17)</f>
        <v>2206</v>
      </c>
    </row>
    <row r="21" ht="14.25">
      <c r="B21" s="76"/>
    </row>
  </sheetData>
  <sheetProtection/>
  <mergeCells count="14">
    <mergeCell ref="C4:C5"/>
    <mergeCell ref="D4:D5"/>
    <mergeCell ref="F4:F5"/>
    <mergeCell ref="G4:G5"/>
    <mergeCell ref="M4:N4"/>
    <mergeCell ref="O4:P4"/>
    <mergeCell ref="Q4:R4"/>
    <mergeCell ref="S4:T4"/>
    <mergeCell ref="I4:J4"/>
    <mergeCell ref="K4:L4"/>
    <mergeCell ref="A20:B20"/>
    <mergeCell ref="C1:R1"/>
    <mergeCell ref="F3:H3"/>
    <mergeCell ref="C3:E3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75" zoomScaleNormal="65" zoomScaleSheetLayoutView="75" zoomScalePageLayoutView="0" workbookViewId="0" topLeftCell="A1">
      <selection activeCell="B27" sqref="B27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100" t="s">
        <v>106</v>
      </c>
      <c r="D1" s="100"/>
      <c r="E1" s="100"/>
      <c r="F1" s="100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165" t="s">
        <v>60</v>
      </c>
      <c r="D2" s="165"/>
      <c r="E2" s="165"/>
      <c r="F2" s="165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184" t="s">
        <v>2</v>
      </c>
      <c r="B4" s="184" t="s">
        <v>3</v>
      </c>
      <c r="C4" s="24" t="s">
        <v>22</v>
      </c>
      <c r="D4" s="25"/>
      <c r="E4" s="27"/>
      <c r="F4" s="24"/>
      <c r="G4" s="25"/>
      <c r="H4" s="25" t="s">
        <v>23</v>
      </c>
      <c r="I4" s="25"/>
      <c r="J4" s="25"/>
      <c r="K4" s="27"/>
      <c r="L4" s="20"/>
      <c r="M4" s="20"/>
    </row>
    <row r="5" spans="1:13" ht="15">
      <c r="A5" s="185"/>
      <c r="B5" s="185"/>
      <c r="C5" s="18">
        <v>2010</v>
      </c>
      <c r="D5" s="19">
        <v>2011</v>
      </c>
      <c r="E5" s="19" t="s">
        <v>93</v>
      </c>
      <c r="F5" s="24" t="s">
        <v>26</v>
      </c>
      <c r="G5" s="27"/>
      <c r="H5" s="24" t="s">
        <v>24</v>
      </c>
      <c r="I5" s="27"/>
      <c r="J5" s="24" t="s">
        <v>25</v>
      </c>
      <c r="K5" s="27"/>
      <c r="L5" s="20"/>
      <c r="M5" s="20"/>
    </row>
    <row r="6" spans="1:13" ht="15">
      <c r="A6" s="186"/>
      <c r="B6" s="186"/>
      <c r="C6" s="40"/>
      <c r="D6" s="11"/>
      <c r="E6" s="11" t="s">
        <v>94</v>
      </c>
      <c r="F6" s="18">
        <v>2010</v>
      </c>
      <c r="G6" s="19">
        <v>2011</v>
      </c>
      <c r="H6" s="18">
        <v>2010</v>
      </c>
      <c r="I6" s="19">
        <v>2011</v>
      </c>
      <c r="J6" s="18">
        <v>2010</v>
      </c>
      <c r="K6" s="19">
        <v>2011</v>
      </c>
      <c r="L6" s="20"/>
      <c r="M6" s="20"/>
    </row>
    <row r="7" spans="1:13" ht="16.5">
      <c r="A7" s="31">
        <v>1</v>
      </c>
      <c r="B7" s="31" t="s">
        <v>61</v>
      </c>
      <c r="C7" s="87">
        <v>32.4</v>
      </c>
      <c r="D7" s="87">
        <v>39.7</v>
      </c>
      <c r="E7" s="86">
        <f aca="true" t="shared" si="0" ref="E7:E22">D7*100/C7</f>
        <v>122.53086419753089</v>
      </c>
      <c r="F7" s="87">
        <v>31.5</v>
      </c>
      <c r="G7" s="87">
        <v>34.8</v>
      </c>
      <c r="H7" s="87"/>
      <c r="I7" s="87"/>
      <c r="J7" s="87">
        <v>0.9</v>
      </c>
      <c r="K7" s="87">
        <v>4.9</v>
      </c>
      <c r="L7" s="20"/>
      <c r="M7" s="20"/>
    </row>
    <row r="8" spans="1:13" ht="16.5">
      <c r="A8" s="31">
        <v>2</v>
      </c>
      <c r="B8" s="31" t="s">
        <v>62</v>
      </c>
      <c r="C8" s="87">
        <v>9.7</v>
      </c>
      <c r="D8" s="87">
        <v>17.6</v>
      </c>
      <c r="E8" s="86">
        <f t="shared" si="0"/>
        <v>181.4432989690722</v>
      </c>
      <c r="F8" s="87">
        <v>8.9</v>
      </c>
      <c r="G8" s="87">
        <v>17.5</v>
      </c>
      <c r="H8" s="87"/>
      <c r="I8" s="87"/>
      <c r="J8" s="87">
        <v>0.8</v>
      </c>
      <c r="K8" s="87">
        <v>0.1</v>
      </c>
      <c r="L8" s="20"/>
      <c r="M8" s="20"/>
    </row>
    <row r="9" spans="1:13" ht="16.5">
      <c r="A9" s="31">
        <v>3</v>
      </c>
      <c r="B9" s="31" t="s">
        <v>63</v>
      </c>
      <c r="C9" s="87">
        <v>6.5</v>
      </c>
      <c r="D9" s="87">
        <v>10.42</v>
      </c>
      <c r="E9" s="86">
        <f t="shared" si="0"/>
        <v>160.30769230769232</v>
      </c>
      <c r="F9" s="87">
        <v>6</v>
      </c>
      <c r="G9" s="87">
        <v>9.92</v>
      </c>
      <c r="H9" s="87"/>
      <c r="I9" s="87"/>
      <c r="J9" s="87">
        <v>0.5</v>
      </c>
      <c r="K9" s="87">
        <v>0.5</v>
      </c>
      <c r="L9" s="20"/>
      <c r="M9" s="20"/>
    </row>
    <row r="10" spans="1:13" ht="16.5">
      <c r="A10" s="31">
        <v>4</v>
      </c>
      <c r="B10" s="41" t="s">
        <v>64</v>
      </c>
      <c r="C10" s="87">
        <v>89.2</v>
      </c>
      <c r="D10" s="87">
        <v>123.6</v>
      </c>
      <c r="E10" s="86">
        <f t="shared" si="0"/>
        <v>138.56502242152465</v>
      </c>
      <c r="F10" s="87">
        <v>62.9</v>
      </c>
      <c r="G10" s="87">
        <v>91.1</v>
      </c>
      <c r="H10" s="87">
        <v>21.9</v>
      </c>
      <c r="I10" s="87">
        <v>29.2</v>
      </c>
      <c r="J10" s="87">
        <v>4.4</v>
      </c>
      <c r="K10" s="87">
        <v>3.3</v>
      </c>
      <c r="L10" s="20"/>
      <c r="M10" s="20"/>
    </row>
    <row r="11" spans="1:13" ht="16.5">
      <c r="A11" s="31">
        <v>5</v>
      </c>
      <c r="B11" s="31" t="s">
        <v>65</v>
      </c>
      <c r="C11" s="87">
        <v>73</v>
      </c>
      <c r="D11" s="87">
        <v>73</v>
      </c>
      <c r="E11" s="86">
        <f t="shared" si="0"/>
        <v>100</v>
      </c>
      <c r="F11" s="87">
        <v>47</v>
      </c>
      <c r="G11" s="87">
        <v>47</v>
      </c>
      <c r="H11" s="87">
        <v>17</v>
      </c>
      <c r="I11" s="87">
        <v>19</v>
      </c>
      <c r="J11" s="87">
        <v>9</v>
      </c>
      <c r="K11" s="87">
        <v>7</v>
      </c>
      <c r="L11" s="20"/>
      <c r="M11" s="20"/>
    </row>
    <row r="12" spans="1:13" ht="16.5">
      <c r="A12" s="31">
        <v>6</v>
      </c>
      <c r="B12" s="32" t="s">
        <v>80</v>
      </c>
      <c r="C12" s="87">
        <v>26.7</v>
      </c>
      <c r="D12" s="125">
        <v>29.4</v>
      </c>
      <c r="E12" s="86">
        <f t="shared" si="0"/>
        <v>110.1123595505618</v>
      </c>
      <c r="F12" s="88">
        <v>24</v>
      </c>
      <c r="G12" s="88">
        <v>28.3</v>
      </c>
      <c r="H12" s="88"/>
      <c r="I12" s="88"/>
      <c r="J12" s="88">
        <v>2.7</v>
      </c>
      <c r="K12" s="88">
        <v>1.1</v>
      </c>
      <c r="L12" s="20"/>
      <c r="M12" s="20"/>
    </row>
    <row r="13" spans="1:13" ht="16.5">
      <c r="A13" s="31">
        <v>7</v>
      </c>
      <c r="B13" s="32" t="s">
        <v>66</v>
      </c>
      <c r="C13" s="87">
        <v>8.8</v>
      </c>
      <c r="D13" s="87">
        <v>1</v>
      </c>
      <c r="E13" s="86">
        <f t="shared" si="0"/>
        <v>11.363636363636363</v>
      </c>
      <c r="F13" s="88">
        <v>8.35</v>
      </c>
      <c r="G13" s="88">
        <v>1</v>
      </c>
      <c r="H13" s="88"/>
      <c r="I13" s="88"/>
      <c r="J13" s="88">
        <v>0.45</v>
      </c>
      <c r="K13" s="88"/>
      <c r="L13" s="20"/>
      <c r="M13" s="20"/>
    </row>
    <row r="14" spans="1:13" ht="16.5">
      <c r="A14" s="31">
        <v>8</v>
      </c>
      <c r="B14" s="32" t="s">
        <v>101</v>
      </c>
      <c r="C14" s="87"/>
      <c r="D14" s="87">
        <v>4.2</v>
      </c>
      <c r="E14" s="86"/>
      <c r="F14" s="88"/>
      <c r="G14" s="88">
        <v>4.2</v>
      </c>
      <c r="H14" s="88"/>
      <c r="I14" s="88"/>
      <c r="J14" s="88"/>
      <c r="K14" s="88"/>
      <c r="L14" s="20"/>
      <c r="M14" s="20"/>
    </row>
    <row r="15" spans="1:13" ht="16.5">
      <c r="A15" s="31">
        <v>9</v>
      </c>
      <c r="B15" s="32" t="s">
        <v>79</v>
      </c>
      <c r="C15" s="87">
        <v>11.5</v>
      </c>
      <c r="D15" s="87">
        <v>19.13</v>
      </c>
      <c r="E15" s="86">
        <f t="shared" si="0"/>
        <v>166.34782608695653</v>
      </c>
      <c r="F15" s="88">
        <v>11.5</v>
      </c>
      <c r="G15" s="88">
        <v>17.28</v>
      </c>
      <c r="H15" s="88"/>
      <c r="I15" s="88"/>
      <c r="J15" s="88"/>
      <c r="K15" s="88">
        <v>1.85</v>
      </c>
      <c r="L15" s="20"/>
      <c r="M15" s="20"/>
    </row>
    <row r="16" spans="1:13" ht="16.5">
      <c r="A16" s="31">
        <v>10</v>
      </c>
      <c r="B16" s="32" t="s">
        <v>67</v>
      </c>
      <c r="C16" s="87">
        <v>18.13</v>
      </c>
      <c r="D16" s="87">
        <v>16.2</v>
      </c>
      <c r="E16" s="86">
        <f t="shared" si="0"/>
        <v>89.35466078323222</v>
      </c>
      <c r="F16" s="88">
        <v>15.03</v>
      </c>
      <c r="G16" s="88">
        <v>16.2</v>
      </c>
      <c r="H16" s="88"/>
      <c r="I16" s="88"/>
      <c r="J16" s="88">
        <v>3.1</v>
      </c>
      <c r="K16" s="88"/>
      <c r="L16" s="20"/>
      <c r="M16" s="20"/>
    </row>
    <row r="17" spans="1:13" ht="16.5">
      <c r="A17" s="31">
        <v>11</v>
      </c>
      <c r="B17" s="32" t="s">
        <v>68</v>
      </c>
      <c r="C17" s="87">
        <v>6.6</v>
      </c>
      <c r="D17" s="87">
        <v>15.1</v>
      </c>
      <c r="E17" s="86">
        <f t="shared" si="0"/>
        <v>228.7878787878788</v>
      </c>
      <c r="F17" s="88">
        <v>6.4</v>
      </c>
      <c r="G17" s="88">
        <v>14.7</v>
      </c>
      <c r="H17" s="88"/>
      <c r="I17" s="88"/>
      <c r="J17" s="88">
        <v>0.2</v>
      </c>
      <c r="K17" s="88">
        <v>0.4</v>
      </c>
      <c r="L17" s="20"/>
      <c r="M17" s="20"/>
    </row>
    <row r="18" spans="1:13" ht="16.5">
      <c r="A18" s="31">
        <v>12</v>
      </c>
      <c r="B18" s="32" t="s">
        <v>69</v>
      </c>
      <c r="C18" s="87">
        <v>753</v>
      </c>
      <c r="D18" s="87">
        <v>907</v>
      </c>
      <c r="E18" s="86">
        <f t="shared" si="0"/>
        <v>120.4515272244356</v>
      </c>
      <c r="F18" s="88"/>
      <c r="G18" s="88"/>
      <c r="H18" s="88">
        <v>753</v>
      </c>
      <c r="I18" s="88">
        <v>907</v>
      </c>
      <c r="J18" s="88"/>
      <c r="K18" s="88"/>
      <c r="L18" s="20"/>
      <c r="M18" s="20"/>
    </row>
    <row r="19" spans="1:13" ht="16.5">
      <c r="A19" s="31">
        <v>13</v>
      </c>
      <c r="B19" s="32" t="s">
        <v>90</v>
      </c>
      <c r="C19" s="87"/>
      <c r="D19" s="87">
        <v>0.5</v>
      </c>
      <c r="E19" s="86"/>
      <c r="F19" s="88"/>
      <c r="G19" s="88"/>
      <c r="H19" s="88"/>
      <c r="I19" s="88">
        <v>0.5</v>
      </c>
      <c r="J19" s="88"/>
      <c r="K19" s="88"/>
      <c r="L19" s="20"/>
      <c r="M19" s="20"/>
    </row>
    <row r="20" spans="1:13" ht="18">
      <c r="A20" s="31">
        <v>14</v>
      </c>
      <c r="B20" s="32" t="s">
        <v>77</v>
      </c>
      <c r="C20" s="87">
        <v>3</v>
      </c>
      <c r="D20" s="87">
        <v>3.2</v>
      </c>
      <c r="E20" s="86">
        <f t="shared" si="0"/>
        <v>106.66666666666667</v>
      </c>
      <c r="F20" s="16"/>
      <c r="G20" s="88"/>
      <c r="H20" s="16"/>
      <c r="I20" s="88"/>
      <c r="J20" s="88">
        <v>3</v>
      </c>
      <c r="K20" s="88">
        <v>3.2</v>
      </c>
      <c r="L20" s="20"/>
      <c r="M20" s="20"/>
    </row>
    <row r="21" spans="1:13" ht="18">
      <c r="A21" s="31">
        <v>15</v>
      </c>
      <c r="B21" s="32" t="s">
        <v>112</v>
      </c>
      <c r="C21" s="87"/>
      <c r="D21" s="87">
        <v>3.12</v>
      </c>
      <c r="E21" s="86"/>
      <c r="F21" s="16"/>
      <c r="G21" s="88"/>
      <c r="H21" s="16"/>
      <c r="I21" s="88"/>
      <c r="J21" s="88"/>
      <c r="K21" s="88">
        <v>3.12</v>
      </c>
      <c r="L21" s="20"/>
      <c r="M21" s="20"/>
    </row>
    <row r="22" spans="1:13" ht="16.5">
      <c r="A22" s="129" t="s">
        <v>11</v>
      </c>
      <c r="B22" s="130"/>
      <c r="C22" s="90">
        <f>SUM(C7:C20)</f>
        <v>1038.53</v>
      </c>
      <c r="D22" s="90">
        <f>SUM(D7:D21)</f>
        <v>1263.1699999999998</v>
      </c>
      <c r="E22" s="86">
        <f t="shared" si="0"/>
        <v>121.63057398438175</v>
      </c>
      <c r="F22" s="89">
        <f>SUM(F7:F18)</f>
        <v>221.58</v>
      </c>
      <c r="G22" s="90">
        <f>SUM(G7:G21)</f>
        <v>282</v>
      </c>
      <c r="H22" s="90">
        <f>SUM(H7:H20)</f>
        <v>791.9</v>
      </c>
      <c r="I22" s="90">
        <f>SUM(I10:I21)</f>
        <v>955.7</v>
      </c>
      <c r="J22" s="90">
        <f>SUM(J7:J20)</f>
        <v>25.05</v>
      </c>
      <c r="K22" s="90">
        <f>SUM(K7:K21)</f>
        <v>25.470000000000002</v>
      </c>
      <c r="L22" s="20"/>
      <c r="M22" s="20"/>
    </row>
  </sheetData>
  <sheetProtection/>
  <mergeCells count="4">
    <mergeCell ref="C2:F2"/>
    <mergeCell ref="A22:B22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36" sqref="C36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102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 t="s">
        <v>58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81"/>
      <c r="B4" s="23" t="s">
        <v>3</v>
      </c>
      <c r="C4" s="26" t="s">
        <v>71</v>
      </c>
      <c r="D4" s="110"/>
      <c r="E4" s="110"/>
      <c r="F4" s="108"/>
      <c r="G4" s="108"/>
      <c r="H4" s="111"/>
      <c r="I4" s="103" t="s">
        <v>49</v>
      </c>
      <c r="J4" s="108"/>
      <c r="K4" s="110"/>
      <c r="L4" s="108"/>
      <c r="M4" s="108"/>
      <c r="N4" s="111"/>
      <c r="O4" s="103" t="s">
        <v>50</v>
      </c>
      <c r="P4" s="108"/>
      <c r="Q4" s="110"/>
      <c r="R4" s="108"/>
      <c r="S4" s="108"/>
      <c r="T4" s="111"/>
    </row>
    <row r="5" spans="1:20" ht="15" customHeight="1">
      <c r="A5" s="82" t="s">
        <v>2</v>
      </c>
      <c r="B5" s="33"/>
      <c r="C5" s="25" t="s">
        <v>51</v>
      </c>
      <c r="D5" s="108"/>
      <c r="E5" s="137" t="s">
        <v>99</v>
      </c>
      <c r="F5" s="103" t="s">
        <v>52</v>
      </c>
      <c r="G5" s="107"/>
      <c r="H5" s="137" t="s">
        <v>99</v>
      </c>
      <c r="I5" s="140" t="s">
        <v>51</v>
      </c>
      <c r="J5" s="140"/>
      <c r="K5" s="137" t="s">
        <v>99</v>
      </c>
      <c r="L5" s="140" t="s">
        <v>52</v>
      </c>
      <c r="M5" s="140"/>
      <c r="N5" s="137" t="s">
        <v>99</v>
      </c>
      <c r="O5" s="108" t="s">
        <v>51</v>
      </c>
      <c r="P5" s="108"/>
      <c r="Q5" s="137" t="s">
        <v>99</v>
      </c>
      <c r="R5" s="141" t="s">
        <v>52</v>
      </c>
      <c r="S5" s="142"/>
      <c r="T5" s="137" t="s">
        <v>99</v>
      </c>
    </row>
    <row r="6" spans="1:20" ht="15">
      <c r="A6" s="82" t="s">
        <v>76</v>
      </c>
      <c r="B6" s="33"/>
      <c r="C6" s="145">
        <v>2010</v>
      </c>
      <c r="D6" s="143">
        <v>2011</v>
      </c>
      <c r="E6" s="138"/>
      <c r="F6" s="143">
        <v>2010</v>
      </c>
      <c r="G6" s="143">
        <v>2011</v>
      </c>
      <c r="H6" s="138"/>
      <c r="I6" s="143">
        <v>2010</v>
      </c>
      <c r="J6" s="143">
        <v>2011</v>
      </c>
      <c r="K6" s="138"/>
      <c r="L6" s="143">
        <v>2010</v>
      </c>
      <c r="M6" s="143">
        <v>2011</v>
      </c>
      <c r="N6" s="138"/>
      <c r="O6" s="143">
        <v>2010</v>
      </c>
      <c r="P6" s="143">
        <v>2011</v>
      </c>
      <c r="Q6" s="138"/>
      <c r="R6" s="143">
        <v>2010</v>
      </c>
      <c r="S6" s="143">
        <v>2011</v>
      </c>
      <c r="T6" s="138"/>
    </row>
    <row r="7" spans="1:20" ht="15">
      <c r="A7" s="83"/>
      <c r="B7" s="29"/>
      <c r="C7" s="146"/>
      <c r="D7" s="144"/>
      <c r="E7" s="139"/>
      <c r="F7" s="144"/>
      <c r="G7" s="144"/>
      <c r="H7" s="139"/>
      <c r="I7" s="144"/>
      <c r="J7" s="144"/>
      <c r="K7" s="139"/>
      <c r="L7" s="144"/>
      <c r="M7" s="144"/>
      <c r="N7" s="139"/>
      <c r="O7" s="144"/>
      <c r="P7" s="144"/>
      <c r="Q7" s="139"/>
      <c r="R7" s="144"/>
      <c r="S7" s="144"/>
      <c r="T7" s="139"/>
    </row>
    <row r="8" spans="1:20" ht="15">
      <c r="A8" s="2">
        <v>1</v>
      </c>
      <c r="B8" s="22" t="s">
        <v>61</v>
      </c>
      <c r="C8" s="3">
        <v>269.3</v>
      </c>
      <c r="D8" s="3">
        <v>257</v>
      </c>
      <c r="E8" s="36">
        <f aca="true" t="shared" si="0" ref="E8:E18">D8/C8*100</f>
        <v>95.4326030449313</v>
      </c>
      <c r="F8" s="3"/>
      <c r="G8" s="3"/>
      <c r="H8" s="36"/>
      <c r="I8" s="3">
        <v>61693</v>
      </c>
      <c r="J8" s="3">
        <v>61478</v>
      </c>
      <c r="K8" s="36">
        <f>J8*100/I8</f>
        <v>99.6515001701976</v>
      </c>
      <c r="L8" s="3"/>
      <c r="M8" s="3"/>
      <c r="N8" s="36"/>
      <c r="O8" s="36">
        <f aca="true" t="shared" si="1" ref="O8:O18">C8/I8*100000</f>
        <v>436.5162984455287</v>
      </c>
      <c r="P8" s="36">
        <f aca="true" t="shared" si="2" ref="P8:P17">D8/J8*100000</f>
        <v>418.0357200949933</v>
      </c>
      <c r="Q8" s="36">
        <f aca="true" t="shared" si="3" ref="Q8:Q18">P8/O8*100</f>
        <v>95.76634860683407</v>
      </c>
      <c r="R8" s="36"/>
      <c r="S8" s="36"/>
      <c r="T8" s="36"/>
    </row>
    <row r="9" spans="1:20" ht="15">
      <c r="A9" s="2">
        <v>2</v>
      </c>
      <c r="B9" s="22" t="s">
        <v>62</v>
      </c>
      <c r="C9" s="3">
        <v>84.9</v>
      </c>
      <c r="D9" s="3">
        <v>144</v>
      </c>
      <c r="E9" s="36">
        <f t="shared" si="0"/>
        <v>169.61130742049468</v>
      </c>
      <c r="F9" s="3"/>
      <c r="G9" s="3"/>
      <c r="H9" s="36"/>
      <c r="I9" s="3">
        <v>37237</v>
      </c>
      <c r="J9" s="3">
        <v>41768</v>
      </c>
      <c r="K9" s="36">
        <f aca="true" t="shared" si="4" ref="K9:K21">J9*100/I9</f>
        <v>112.1680049413218</v>
      </c>
      <c r="L9" s="3"/>
      <c r="M9" s="3"/>
      <c r="N9" s="36"/>
      <c r="O9" s="36">
        <f t="shared" si="1"/>
        <v>227.99903321964712</v>
      </c>
      <c r="P9" s="36">
        <f t="shared" si="2"/>
        <v>344.7615399348784</v>
      </c>
      <c r="Q9" s="36">
        <f t="shared" si="3"/>
        <v>151.21184290406438</v>
      </c>
      <c r="R9" s="36"/>
      <c r="S9" s="36"/>
      <c r="T9" s="36"/>
    </row>
    <row r="10" spans="1:20" ht="15">
      <c r="A10" s="2">
        <v>3</v>
      </c>
      <c r="B10" s="37" t="s">
        <v>63</v>
      </c>
      <c r="C10" s="19">
        <v>81</v>
      </c>
      <c r="D10" s="19">
        <v>109</v>
      </c>
      <c r="E10" s="36">
        <f t="shared" si="0"/>
        <v>134.5679012345679</v>
      </c>
      <c r="F10" s="19"/>
      <c r="G10" s="19"/>
      <c r="H10" s="36"/>
      <c r="I10" s="3">
        <v>14190</v>
      </c>
      <c r="J10" s="3">
        <v>17087</v>
      </c>
      <c r="K10" s="36">
        <f t="shared" si="4"/>
        <v>120.41578576462297</v>
      </c>
      <c r="L10" s="19"/>
      <c r="M10" s="19"/>
      <c r="N10" s="92"/>
      <c r="O10" s="36">
        <f t="shared" si="1"/>
        <v>570.8245243128964</v>
      </c>
      <c r="P10" s="36">
        <f t="shared" si="2"/>
        <v>637.9118628196875</v>
      </c>
      <c r="Q10" s="36">
        <f t="shared" si="3"/>
        <v>111.75270781989339</v>
      </c>
      <c r="R10" s="92"/>
      <c r="S10" s="92"/>
      <c r="T10" s="92"/>
    </row>
    <row r="11" spans="1:20" ht="15">
      <c r="A11" s="2">
        <v>4</v>
      </c>
      <c r="B11" s="22" t="s">
        <v>64</v>
      </c>
      <c r="C11" s="3">
        <v>604</v>
      </c>
      <c r="D11" s="3">
        <v>669</v>
      </c>
      <c r="E11" s="36">
        <f t="shared" si="0"/>
        <v>110.76158940397352</v>
      </c>
      <c r="F11" s="3">
        <v>224</v>
      </c>
      <c r="G11" s="3">
        <v>302.2</v>
      </c>
      <c r="H11" s="36">
        <f>G11/F11*100</f>
        <v>134.91071428571428</v>
      </c>
      <c r="I11" s="3">
        <v>173102</v>
      </c>
      <c r="J11" s="3">
        <v>163716</v>
      </c>
      <c r="K11" s="36">
        <f t="shared" si="4"/>
        <v>94.5777633996141</v>
      </c>
      <c r="L11" s="3">
        <v>67178</v>
      </c>
      <c r="M11" s="3">
        <v>70805</v>
      </c>
      <c r="N11" s="36">
        <f>M11/L11*100</f>
        <v>105.39908898746613</v>
      </c>
      <c r="O11" s="36">
        <f t="shared" si="1"/>
        <v>348.9272221002646</v>
      </c>
      <c r="P11" s="36">
        <f t="shared" si="2"/>
        <v>408.6344645605805</v>
      </c>
      <c r="Q11" s="36">
        <f t="shared" si="3"/>
        <v>117.11166073570465</v>
      </c>
      <c r="R11" s="36">
        <f>F11/L11*100000</f>
        <v>333.4424960552562</v>
      </c>
      <c r="S11" s="36">
        <f>G11/M11*100000</f>
        <v>426.8060165242568</v>
      </c>
      <c r="T11" s="36">
        <f>S11/R11*100</f>
        <v>127.99988650922556</v>
      </c>
    </row>
    <row r="12" spans="1:20" ht="15">
      <c r="A12" s="2">
        <v>5</v>
      </c>
      <c r="B12" s="22" t="s">
        <v>65</v>
      </c>
      <c r="C12" s="93">
        <v>360</v>
      </c>
      <c r="D12" s="93">
        <v>220</v>
      </c>
      <c r="E12" s="94">
        <f t="shared" si="0"/>
        <v>61.111111111111114</v>
      </c>
      <c r="F12" s="93">
        <v>114</v>
      </c>
      <c r="G12" s="93">
        <v>175.8</v>
      </c>
      <c r="H12" s="36">
        <f>G12/F12*100</f>
        <v>154.21052631578948</v>
      </c>
      <c r="I12" s="3">
        <v>74236</v>
      </c>
      <c r="J12" s="3">
        <v>45082</v>
      </c>
      <c r="K12" s="36">
        <f t="shared" si="4"/>
        <v>60.727948704132764</v>
      </c>
      <c r="L12" s="3">
        <v>34942</v>
      </c>
      <c r="M12" s="3">
        <v>49046</v>
      </c>
      <c r="N12" s="36">
        <f>M12/L12*100</f>
        <v>140.36403182416578</v>
      </c>
      <c r="O12" s="36">
        <f t="shared" si="1"/>
        <v>484.9399213319683</v>
      </c>
      <c r="P12" s="36">
        <f t="shared" si="2"/>
        <v>487.99964509116717</v>
      </c>
      <c r="Q12" s="36">
        <f t="shared" si="3"/>
        <v>100.63094903607745</v>
      </c>
      <c r="R12" s="36">
        <f>F12/L12*100000</f>
        <v>326.2549367523324</v>
      </c>
      <c r="S12" s="36">
        <f>G12/M12*100000</f>
        <v>358.4390164335522</v>
      </c>
      <c r="T12" s="36">
        <f>S12/R12*100</f>
        <v>109.86470273878228</v>
      </c>
    </row>
    <row r="13" spans="1:20" ht="15">
      <c r="A13" s="2">
        <v>6</v>
      </c>
      <c r="B13" s="38" t="s">
        <v>80</v>
      </c>
      <c r="C13" s="93">
        <v>140.6</v>
      </c>
      <c r="D13" s="93">
        <v>165.62</v>
      </c>
      <c r="E13" s="94">
        <f t="shared" si="0"/>
        <v>117.79516358463728</v>
      </c>
      <c r="F13" s="93"/>
      <c r="G13" s="93"/>
      <c r="H13" s="94"/>
      <c r="I13" s="93">
        <v>43628</v>
      </c>
      <c r="J13" s="93">
        <v>42816</v>
      </c>
      <c r="K13" s="36">
        <f t="shared" si="4"/>
        <v>98.13880993857155</v>
      </c>
      <c r="L13" s="93"/>
      <c r="M13" s="93"/>
      <c r="N13" s="94"/>
      <c r="O13" s="36">
        <f t="shared" si="1"/>
        <v>322.2701017695058</v>
      </c>
      <c r="P13" s="36">
        <f t="shared" si="2"/>
        <v>386.8180119581465</v>
      </c>
      <c r="Q13" s="36">
        <f t="shared" si="3"/>
        <v>120.02913389551932</v>
      </c>
      <c r="R13" s="36"/>
      <c r="S13" s="36"/>
      <c r="T13" s="94"/>
    </row>
    <row r="14" spans="1:20" ht="15">
      <c r="A14" s="2">
        <v>7</v>
      </c>
      <c r="B14" s="38" t="s">
        <v>66</v>
      </c>
      <c r="C14" s="93">
        <v>120.2</v>
      </c>
      <c r="D14" s="93">
        <v>52.7</v>
      </c>
      <c r="E14" s="94">
        <f t="shared" si="0"/>
        <v>43.84359400998336</v>
      </c>
      <c r="F14" s="93"/>
      <c r="G14" s="93"/>
      <c r="H14" s="94"/>
      <c r="I14" s="93">
        <v>32524</v>
      </c>
      <c r="J14" s="93">
        <v>22350</v>
      </c>
      <c r="K14" s="36">
        <f t="shared" si="4"/>
        <v>68.71848481121633</v>
      </c>
      <c r="L14" s="93"/>
      <c r="M14" s="93"/>
      <c r="N14" s="94"/>
      <c r="O14" s="36">
        <f t="shared" si="1"/>
        <v>369.5732382240807</v>
      </c>
      <c r="P14" s="36">
        <f t="shared" si="2"/>
        <v>235.79418344519019</v>
      </c>
      <c r="Q14" s="94">
        <f t="shared" si="3"/>
        <v>63.80174727430421</v>
      </c>
      <c r="R14" s="36"/>
      <c r="S14" s="3"/>
      <c r="T14" s="94"/>
    </row>
    <row r="15" spans="1:20" ht="15">
      <c r="A15" s="2">
        <v>8</v>
      </c>
      <c r="B15" s="32" t="s">
        <v>101</v>
      </c>
      <c r="C15" s="93"/>
      <c r="D15" s="93">
        <v>76.6</v>
      </c>
      <c r="E15" s="94"/>
      <c r="F15" s="93"/>
      <c r="G15" s="93"/>
      <c r="H15" s="94"/>
      <c r="I15" s="93"/>
      <c r="J15" s="93">
        <v>24209</v>
      </c>
      <c r="K15" s="36"/>
      <c r="L15" s="93"/>
      <c r="M15" s="93"/>
      <c r="N15" s="94"/>
      <c r="O15" s="36"/>
      <c r="P15" s="36">
        <f t="shared" si="2"/>
        <v>316.41125201371386</v>
      </c>
      <c r="Q15" s="94"/>
      <c r="R15" s="36"/>
      <c r="S15" s="3"/>
      <c r="T15" s="94"/>
    </row>
    <row r="16" spans="1:20" s="72" customFormat="1" ht="15">
      <c r="A16" s="2">
        <v>9</v>
      </c>
      <c r="B16" s="32" t="s">
        <v>79</v>
      </c>
      <c r="C16" s="95">
        <v>261.8</v>
      </c>
      <c r="D16" s="95">
        <v>147.71</v>
      </c>
      <c r="E16" s="96">
        <f t="shared" si="0"/>
        <v>56.4209320091673</v>
      </c>
      <c r="F16" s="95"/>
      <c r="G16" s="95"/>
      <c r="H16" s="96"/>
      <c r="I16" s="95">
        <v>42116</v>
      </c>
      <c r="J16" s="95">
        <v>35910</v>
      </c>
      <c r="K16" s="36">
        <f t="shared" si="4"/>
        <v>85.2645075505746</v>
      </c>
      <c r="L16" s="95"/>
      <c r="M16" s="95"/>
      <c r="N16" s="96"/>
      <c r="O16" s="36">
        <f t="shared" si="1"/>
        <v>621.6164877956121</v>
      </c>
      <c r="P16" s="36">
        <f t="shared" si="2"/>
        <v>411.33389028125873</v>
      </c>
      <c r="Q16" s="96">
        <f t="shared" si="3"/>
        <v>66.17165058474215</v>
      </c>
      <c r="R16" s="36"/>
      <c r="S16" s="36"/>
      <c r="T16" s="36"/>
    </row>
    <row r="17" spans="1:20" ht="15">
      <c r="A17" s="2">
        <v>10</v>
      </c>
      <c r="B17" s="38" t="s">
        <v>67</v>
      </c>
      <c r="C17" s="93">
        <v>122</v>
      </c>
      <c r="D17" s="93">
        <v>218</v>
      </c>
      <c r="E17" s="94">
        <f t="shared" si="0"/>
        <v>178.68852459016392</v>
      </c>
      <c r="F17" s="93"/>
      <c r="G17" s="93"/>
      <c r="H17" s="94"/>
      <c r="I17" s="93">
        <v>38098</v>
      </c>
      <c r="J17" s="93">
        <v>46684</v>
      </c>
      <c r="K17" s="36">
        <f t="shared" si="4"/>
        <v>122.53661609533309</v>
      </c>
      <c r="L17" s="93"/>
      <c r="M17" s="93"/>
      <c r="N17" s="94"/>
      <c r="O17" s="36">
        <f t="shared" si="1"/>
        <v>320.22678355819204</v>
      </c>
      <c r="P17" s="36">
        <f t="shared" si="2"/>
        <v>466.96941136149434</v>
      </c>
      <c r="Q17" s="94">
        <f t="shared" si="3"/>
        <v>145.8245953610673</v>
      </c>
      <c r="R17" s="36"/>
      <c r="S17" s="36"/>
      <c r="T17" s="94"/>
    </row>
    <row r="18" spans="1:20" ht="15">
      <c r="A18" s="2">
        <v>11</v>
      </c>
      <c r="B18" s="38" t="s">
        <v>68</v>
      </c>
      <c r="C18" s="93">
        <v>67.8</v>
      </c>
      <c r="D18" s="93">
        <v>71.1</v>
      </c>
      <c r="E18" s="94">
        <f t="shared" si="0"/>
        <v>104.86725663716814</v>
      </c>
      <c r="F18" s="93"/>
      <c r="G18" s="93"/>
      <c r="H18" s="94"/>
      <c r="I18" s="93">
        <v>13202</v>
      </c>
      <c r="J18" s="93">
        <v>12771</v>
      </c>
      <c r="K18" s="36">
        <f t="shared" si="4"/>
        <v>96.73534312982882</v>
      </c>
      <c r="L18" s="93"/>
      <c r="M18" s="93"/>
      <c r="N18" s="94"/>
      <c r="O18" s="36">
        <f t="shared" si="1"/>
        <v>513.5585517345856</v>
      </c>
      <c r="P18" s="36">
        <f>D18/J18*100000</f>
        <v>556.7300916138125</v>
      </c>
      <c r="Q18" s="94">
        <f t="shared" si="3"/>
        <v>108.40635205730904</v>
      </c>
      <c r="R18" s="36"/>
      <c r="S18" s="36"/>
      <c r="T18" s="94"/>
    </row>
    <row r="19" spans="1:20" ht="15">
      <c r="A19" s="2">
        <v>12</v>
      </c>
      <c r="B19" s="84" t="s">
        <v>69</v>
      </c>
      <c r="C19" s="93"/>
      <c r="D19" s="93"/>
      <c r="E19" s="94"/>
      <c r="F19" s="93">
        <v>8116</v>
      </c>
      <c r="G19" s="93">
        <v>9384</v>
      </c>
      <c r="H19" s="94">
        <f>G19/F19*100</f>
        <v>115.62345983242976</v>
      </c>
      <c r="I19" s="3"/>
      <c r="J19" s="93"/>
      <c r="K19" s="36"/>
      <c r="L19" s="93">
        <v>2126536</v>
      </c>
      <c r="M19" s="93">
        <v>2426371</v>
      </c>
      <c r="N19" s="94">
        <f>M19/L19*100</f>
        <v>114.09969076469902</v>
      </c>
      <c r="O19" s="36"/>
      <c r="P19" s="36"/>
      <c r="Q19" s="94"/>
      <c r="R19" s="36">
        <f aca="true" t="shared" si="5" ref="R19:S21">F19/L19*100000</f>
        <v>381.653543603306</v>
      </c>
      <c r="S19" s="36">
        <f t="shared" si="5"/>
        <v>386.75041862930277</v>
      </c>
      <c r="T19" s="94">
        <f>S19/R19*100</f>
        <v>101.33547168929067</v>
      </c>
    </row>
    <row r="20" spans="1:20" ht="15">
      <c r="A20" s="2">
        <v>13</v>
      </c>
      <c r="B20" s="32" t="s">
        <v>90</v>
      </c>
      <c r="C20" s="102"/>
      <c r="D20" s="93"/>
      <c r="E20" s="94"/>
      <c r="F20" s="93">
        <v>12</v>
      </c>
      <c r="G20" s="93">
        <v>59</v>
      </c>
      <c r="H20" s="94"/>
      <c r="I20" s="3"/>
      <c r="J20" s="93"/>
      <c r="K20" s="36"/>
      <c r="L20" s="93">
        <v>11452</v>
      </c>
      <c r="M20" s="93">
        <v>23645</v>
      </c>
      <c r="N20" s="94">
        <f>M20/L20*100</f>
        <v>206.47048550471533</v>
      </c>
      <c r="O20" s="36"/>
      <c r="P20" s="36"/>
      <c r="Q20" s="94"/>
      <c r="R20" s="36">
        <f t="shared" si="5"/>
        <v>104.7851903597625</v>
      </c>
      <c r="S20" s="36">
        <f t="shared" si="5"/>
        <v>249.52421230704167</v>
      </c>
      <c r="T20" s="94"/>
    </row>
    <row r="21" spans="1:20" ht="15">
      <c r="A21" s="85"/>
      <c r="B21" s="27" t="s">
        <v>11</v>
      </c>
      <c r="C21" s="97">
        <f>SUM(C8:C19)</f>
        <v>2111.6</v>
      </c>
      <c r="D21" s="3">
        <f>SUM(D8:D19)</f>
        <v>2130.73</v>
      </c>
      <c r="E21" s="36">
        <f>D21/C21*100</f>
        <v>100.90594809623035</v>
      </c>
      <c r="F21" s="36">
        <f>SUM(F11:F20)</f>
        <v>8466</v>
      </c>
      <c r="G21" s="3">
        <f>SUM(G8:G20)</f>
        <v>9921</v>
      </c>
      <c r="H21" s="36">
        <f>G21/F21*100</f>
        <v>117.1863926293409</v>
      </c>
      <c r="I21" s="3">
        <f>SUM(I8:I18)</f>
        <v>530026</v>
      </c>
      <c r="J21" s="3">
        <f>SUM(J8:J19)</f>
        <v>513871</v>
      </c>
      <c r="K21" s="36">
        <f t="shared" si="4"/>
        <v>96.95203631519963</v>
      </c>
      <c r="L21" s="3">
        <f>SUM(L11:L20)</f>
        <v>2240108</v>
      </c>
      <c r="M21" s="3">
        <f>SUM(M8:M20)</f>
        <v>2569867</v>
      </c>
      <c r="N21" s="36">
        <f>M21/L21*100</f>
        <v>114.72067418178051</v>
      </c>
      <c r="O21" s="36">
        <f>C21/I21*100000</f>
        <v>398.39555040696115</v>
      </c>
      <c r="P21" s="36">
        <f>D21/J21*100000</f>
        <v>414.64297459868334</v>
      </c>
      <c r="Q21" s="36">
        <f>P21/O21*100</f>
        <v>104.07821427099913</v>
      </c>
      <c r="R21" s="36">
        <f t="shared" si="5"/>
        <v>377.9282070328752</v>
      </c>
      <c r="S21" s="36">
        <f t="shared" si="5"/>
        <v>386.0511069249887</v>
      </c>
      <c r="T21" s="36">
        <f>S21/R21*100</f>
        <v>102.14932353313519</v>
      </c>
    </row>
  </sheetData>
  <sheetProtection/>
  <mergeCells count="21">
    <mergeCell ref="J6:J7"/>
    <mergeCell ref="P6:P7"/>
    <mergeCell ref="C6:C7"/>
    <mergeCell ref="D6:D7"/>
    <mergeCell ref="K5:K7"/>
    <mergeCell ref="E5:E7"/>
    <mergeCell ref="I5:J5"/>
    <mergeCell ref="F6:F7"/>
    <mergeCell ref="I6:I7"/>
    <mergeCell ref="G6:G7"/>
    <mergeCell ref="H5:H7"/>
    <mergeCell ref="T5:T7"/>
    <mergeCell ref="L5:M5"/>
    <mergeCell ref="R5:S5"/>
    <mergeCell ref="L6:L7"/>
    <mergeCell ref="M6:M7"/>
    <mergeCell ref="R6:R7"/>
    <mergeCell ref="O6:O7"/>
    <mergeCell ref="Q5:Q7"/>
    <mergeCell ref="N5:N7"/>
    <mergeCell ref="S6:S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75" zoomScaleNormal="50" zoomScaleSheetLayoutView="75" zoomScalePageLayoutView="0" workbookViewId="0" topLeftCell="A1">
      <selection activeCell="B25" sqref="B25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13.75390625" style="0" customWidth="1"/>
    <col min="12" max="12" width="14.375" style="0" customWidth="1"/>
    <col min="13" max="13" width="9.125" style="75" customWidth="1"/>
  </cols>
  <sheetData>
    <row r="1" ht="15.75">
      <c r="C1" s="1" t="s">
        <v>103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57</v>
      </c>
      <c r="I2" s="20"/>
      <c r="J2" s="20"/>
      <c r="K2" s="20"/>
      <c r="L2" s="20"/>
    </row>
    <row r="3" spans="1:13" ht="15" customHeight="1">
      <c r="A3" s="23" t="s">
        <v>2</v>
      </c>
      <c r="B3" s="23" t="s">
        <v>3</v>
      </c>
      <c r="C3" s="25"/>
      <c r="D3" s="25" t="s">
        <v>54</v>
      </c>
      <c r="E3" s="27"/>
      <c r="F3" s="147" t="s">
        <v>10</v>
      </c>
      <c r="G3" s="148"/>
      <c r="H3" s="149"/>
      <c r="I3" s="25" t="s">
        <v>6</v>
      </c>
      <c r="J3" s="21" t="s">
        <v>7</v>
      </c>
      <c r="K3" s="152" t="s">
        <v>74</v>
      </c>
      <c r="L3" s="153"/>
      <c r="M3" s="150"/>
    </row>
    <row r="4" spans="1:13" ht="15" customHeight="1">
      <c r="A4" s="33"/>
      <c r="B4" s="33"/>
      <c r="C4" s="9">
        <v>2010</v>
      </c>
      <c r="D4" s="42">
        <v>2011</v>
      </c>
      <c r="E4" s="19" t="s">
        <v>4</v>
      </c>
      <c r="F4" s="9">
        <v>2010</v>
      </c>
      <c r="G4" s="42">
        <v>2011</v>
      </c>
      <c r="H4" s="19" t="s">
        <v>4</v>
      </c>
      <c r="I4" s="9">
        <v>2010</v>
      </c>
      <c r="J4" s="42">
        <v>2011</v>
      </c>
      <c r="K4" s="154" t="s">
        <v>1</v>
      </c>
      <c r="L4" s="154" t="s">
        <v>75</v>
      </c>
      <c r="M4" s="151"/>
    </row>
    <row r="5" spans="1:13" ht="15">
      <c r="A5" s="29"/>
      <c r="B5" s="29"/>
      <c r="C5" s="28"/>
      <c r="D5" s="35"/>
      <c r="E5" s="11">
        <v>2010</v>
      </c>
      <c r="F5" s="28"/>
      <c r="G5" s="35"/>
      <c r="H5" s="11">
        <v>2010</v>
      </c>
      <c r="I5" s="35"/>
      <c r="J5" s="29"/>
      <c r="K5" s="155"/>
      <c r="L5" s="155"/>
      <c r="M5" s="151"/>
    </row>
    <row r="6" spans="1:13" ht="15">
      <c r="A6" s="3">
        <v>1</v>
      </c>
      <c r="B6" s="22" t="s">
        <v>61</v>
      </c>
      <c r="C6" s="3"/>
      <c r="D6" s="3"/>
      <c r="E6" s="36"/>
      <c r="F6" s="3">
        <v>27</v>
      </c>
      <c r="G6" s="3">
        <v>14</v>
      </c>
      <c r="H6" s="94">
        <f aca="true" t="shared" si="0" ref="H6:H18">G6*100/F6</f>
        <v>51.851851851851855</v>
      </c>
      <c r="I6" s="36">
        <f>F6+(C6*0.2)+('численность 1'!M6*0.3)+'численность 1'!G6+(('численность 1'!C6-'численность 1'!G6)*0.6)</f>
        <v>316.8</v>
      </c>
      <c r="J6" s="36">
        <f>G6+(D6*0.2)+('численность 1'!N6*0.3)+'численность 1'!H6+(('численность 1'!D6-'численность 1'!H6)*0.6)</f>
        <v>282.2</v>
      </c>
      <c r="K6" s="3">
        <v>5125</v>
      </c>
      <c r="L6" s="3">
        <v>1146</v>
      </c>
      <c r="M6" s="80"/>
    </row>
    <row r="7" spans="1:13" ht="15">
      <c r="A7" s="3">
        <v>2</v>
      </c>
      <c r="B7" s="22" t="s">
        <v>62</v>
      </c>
      <c r="C7" s="3"/>
      <c r="D7" s="3"/>
      <c r="E7" s="36"/>
      <c r="F7" s="3">
        <v>5</v>
      </c>
      <c r="G7" s="3">
        <v>4</v>
      </c>
      <c r="H7" s="94">
        <f t="shared" si="0"/>
        <v>80</v>
      </c>
      <c r="I7" s="36">
        <f>F7+(C7*0.2)+('численность 1'!M7*0.3)+'численность 1'!G7+(('численность 1'!C7-'численность 1'!G7)*0.6)</f>
        <v>177.8</v>
      </c>
      <c r="J7" s="36">
        <f>G7+(D7*0.2)+('численность 1'!N7*0.3)+'численность 1'!H7+(('численность 1'!D7-'численность 1'!H7)*0.6)</f>
        <v>170.2</v>
      </c>
      <c r="K7" s="3">
        <v>9999</v>
      </c>
      <c r="L7" s="3">
        <v>2024</v>
      </c>
      <c r="M7" s="80"/>
    </row>
    <row r="8" spans="1:13" ht="15">
      <c r="A8" s="3">
        <v>3</v>
      </c>
      <c r="B8" s="22" t="s">
        <v>63</v>
      </c>
      <c r="C8" s="3"/>
      <c r="D8" s="3"/>
      <c r="E8" s="36"/>
      <c r="F8" s="3">
        <v>1</v>
      </c>
      <c r="G8" s="3">
        <v>1</v>
      </c>
      <c r="H8" s="94">
        <f t="shared" si="0"/>
        <v>100</v>
      </c>
      <c r="I8" s="36">
        <f>F8+(C8*0.2)+('численность 1'!M8*0.3)+'численность 1'!G8+(('численность 1'!C8-'численность 1'!G8)*0.6)</f>
        <v>92.8</v>
      </c>
      <c r="J8" s="36">
        <f>G8+(D8*0.2)+('численность 1'!N8*0.3)+'численность 1'!H8+(('численность 1'!D8-'численность 1'!H8)*0.6)</f>
        <v>95.19999999999999</v>
      </c>
      <c r="K8" s="3">
        <v>1363</v>
      </c>
      <c r="L8" s="3">
        <v>329</v>
      </c>
      <c r="M8" s="80"/>
    </row>
    <row r="9" spans="1:13" ht="15">
      <c r="A9" s="3">
        <v>4</v>
      </c>
      <c r="B9" s="22" t="s">
        <v>64</v>
      </c>
      <c r="C9" s="3"/>
      <c r="D9" s="3"/>
      <c r="E9" s="3"/>
      <c r="F9" s="3">
        <v>24</v>
      </c>
      <c r="G9" s="3">
        <v>20</v>
      </c>
      <c r="H9" s="94">
        <f t="shared" si="0"/>
        <v>83.33333333333333</v>
      </c>
      <c r="I9" s="36">
        <f>F9+(C9*0.2)+('численность 1'!M9*0.3)+'численность 1'!G9+(('численность 1'!C9-'численность 1'!G9)*0.6)</f>
        <v>816.2</v>
      </c>
      <c r="J9" s="36">
        <f>G9+(D9*0.2)+('численность 1'!N9*0.3)+'численность 1'!H9+(('численность 1'!D9-'численность 1'!H9)*0.6)</f>
        <v>738.1</v>
      </c>
      <c r="K9" s="93">
        <v>12089</v>
      </c>
      <c r="L9" s="93">
        <v>4041</v>
      </c>
      <c r="M9" s="80"/>
    </row>
    <row r="10" spans="1:13" ht="15">
      <c r="A10" s="3">
        <v>5</v>
      </c>
      <c r="B10" s="22" t="s">
        <v>65</v>
      </c>
      <c r="C10" s="91">
        <v>142</v>
      </c>
      <c r="D10" s="3">
        <v>145</v>
      </c>
      <c r="E10" s="94">
        <f>D10*100/C10</f>
        <v>102.11267605633803</v>
      </c>
      <c r="F10" s="3">
        <v>35</v>
      </c>
      <c r="G10" s="3">
        <v>16</v>
      </c>
      <c r="H10" s="94">
        <f t="shared" si="0"/>
        <v>45.714285714285715</v>
      </c>
      <c r="I10" s="36">
        <f>F10+(C10*0.2)+('численность 1'!M10*0.3)+'численность 1'!G10+(('численность 1'!C10-'численность 1'!G10)*0.6)</f>
        <v>629.6</v>
      </c>
      <c r="J10" s="36">
        <f>G10+(D10*0.2)+('численность 1'!N10*0.3)+'численность 1'!H10+(('численность 1'!D10-'численность 1'!H10)*0.6)</f>
        <v>454.29999999999995</v>
      </c>
      <c r="K10" s="3">
        <v>6131</v>
      </c>
      <c r="L10" s="3">
        <v>2187</v>
      </c>
      <c r="M10" s="80"/>
    </row>
    <row r="11" spans="1:13" ht="15">
      <c r="A11" s="3">
        <v>6</v>
      </c>
      <c r="B11" s="38" t="s">
        <v>80</v>
      </c>
      <c r="C11" s="93"/>
      <c r="D11" s="93"/>
      <c r="E11" s="94"/>
      <c r="F11" s="3">
        <v>13</v>
      </c>
      <c r="G11" s="3">
        <v>9</v>
      </c>
      <c r="H11" s="94">
        <f t="shared" si="0"/>
        <v>69.23076923076923</v>
      </c>
      <c r="I11" s="36">
        <f>F11+(C11*0.2)+('численность 1'!M11*0.3)+'численность 1'!G11+(('численность 1'!C11-'численность 1'!G11)*0.6)</f>
        <v>238.4</v>
      </c>
      <c r="J11" s="36">
        <f>G11+(D11*0.2)+('численность 1'!N11*0.3)+'численность 1'!H11+(('численность 1'!D11-'численность 1'!H11)*0.6)</f>
        <v>206.8</v>
      </c>
      <c r="K11" s="93">
        <v>11170</v>
      </c>
      <c r="L11" s="93">
        <v>1620</v>
      </c>
      <c r="M11" s="80"/>
    </row>
    <row r="12" spans="1:13" ht="15">
      <c r="A12" s="3">
        <v>7</v>
      </c>
      <c r="B12" s="38" t="s">
        <v>66</v>
      </c>
      <c r="C12" s="93"/>
      <c r="D12" s="93"/>
      <c r="E12" s="94"/>
      <c r="F12" s="93">
        <v>3</v>
      </c>
      <c r="G12" s="93">
        <v>3</v>
      </c>
      <c r="H12" s="94">
        <f t="shared" si="0"/>
        <v>100</v>
      </c>
      <c r="I12" s="36">
        <f>F12+(C12*0.2)+('численность 1'!M12*0.3)+'численность 1'!G12+(('численность 1'!C12-'численность 1'!G12)*0.6)</f>
        <v>115.19999999999999</v>
      </c>
      <c r="J12" s="36">
        <f>G12+(D12*0.2)+('численность 1'!N12*0.3)+'численность 1'!H12+(('численность 1'!D12-'численность 1'!H12)*0.6)</f>
        <v>63</v>
      </c>
      <c r="K12" s="93"/>
      <c r="L12" s="93"/>
      <c r="M12" s="80"/>
    </row>
    <row r="13" spans="1:13" ht="15">
      <c r="A13" s="3">
        <v>8</v>
      </c>
      <c r="B13" s="32" t="s">
        <v>101</v>
      </c>
      <c r="C13" s="93"/>
      <c r="D13" s="93"/>
      <c r="E13" s="94"/>
      <c r="F13" s="93"/>
      <c r="G13" s="93"/>
      <c r="H13" s="94"/>
      <c r="I13" s="36">
        <f>F13+(C13*0.2)+('численность 1'!M13*0.3)+'численность 1'!G13+(('численность 1'!C13-'численность 1'!G13)*0.6)</f>
        <v>0</v>
      </c>
      <c r="J13" s="36">
        <f>G13+(D13*0.2)+('численность 1'!N13*0.3)+'численность 1'!H13+(('численность 1'!D13-'численность 1'!H13)*0.6)</f>
        <v>87.8</v>
      </c>
      <c r="K13" s="93">
        <v>3514.5</v>
      </c>
      <c r="L13" s="93">
        <v>33.5</v>
      </c>
      <c r="M13" s="80"/>
    </row>
    <row r="14" spans="1:13" ht="15">
      <c r="A14" s="3">
        <v>9</v>
      </c>
      <c r="B14" s="32" t="s">
        <v>79</v>
      </c>
      <c r="C14" s="93">
        <v>102</v>
      </c>
      <c r="D14" s="93">
        <v>131</v>
      </c>
      <c r="E14" s="94">
        <f>D14*100/C14</f>
        <v>128.4313725490196</v>
      </c>
      <c r="F14" s="3">
        <v>5</v>
      </c>
      <c r="G14" s="3">
        <v>4</v>
      </c>
      <c r="H14" s="94">
        <f t="shared" si="0"/>
        <v>80</v>
      </c>
      <c r="I14" s="36">
        <f>F14+(C14*0.2)+('численность 1'!M14*0.3)+'численность 1'!G14+(('численность 1'!C14-'численность 1'!G14)*0.6)</f>
        <v>177.2</v>
      </c>
      <c r="J14" s="36">
        <f>G14+(D14*0.2)+('численность 1'!N14*0.3)+'численность 1'!H14+(('численность 1'!D14-'численность 1'!H14)*0.6)</f>
        <v>206.6</v>
      </c>
      <c r="K14" s="93">
        <v>7445</v>
      </c>
      <c r="L14" s="93">
        <v>2480</v>
      </c>
      <c r="M14" s="80"/>
    </row>
    <row r="15" spans="1:13" ht="15">
      <c r="A15" s="3">
        <v>10</v>
      </c>
      <c r="B15" s="38" t="s">
        <v>67</v>
      </c>
      <c r="C15" s="93"/>
      <c r="D15" s="93"/>
      <c r="E15" s="94"/>
      <c r="F15" s="3">
        <v>4</v>
      </c>
      <c r="G15" s="3">
        <v>5</v>
      </c>
      <c r="H15" s="94">
        <f t="shared" si="0"/>
        <v>125</v>
      </c>
      <c r="I15" s="36">
        <f>F15+(C15*0.2)+('численность 1'!M15*0.3)+'численность 1'!G15+(('численность 1'!C15-'численность 1'!G15)*0.6)</f>
        <v>188.6</v>
      </c>
      <c r="J15" s="36">
        <f>G15+(D15*0.2)+('численность 1'!N15*0.3)+'численность 1'!H15+(('численность 1'!D15-'численность 1'!H15)*0.6)</f>
        <v>189.6</v>
      </c>
      <c r="K15" s="93">
        <v>5670</v>
      </c>
      <c r="L15" s="93">
        <v>1160</v>
      </c>
      <c r="M15" s="80"/>
    </row>
    <row r="16" spans="1:13" ht="15">
      <c r="A16" s="3">
        <v>11</v>
      </c>
      <c r="B16" s="38" t="s">
        <v>68</v>
      </c>
      <c r="C16" s="93"/>
      <c r="D16" s="93"/>
      <c r="E16" s="94"/>
      <c r="F16" s="3">
        <v>2</v>
      </c>
      <c r="G16" s="3">
        <v>1</v>
      </c>
      <c r="H16" s="94">
        <f t="shared" si="0"/>
        <v>50</v>
      </c>
      <c r="I16" s="36">
        <f>F16+(C16*0.2)+('численность 1'!M16*0.3)+'численность 1'!G16+(('численность 1'!C16-'численность 1'!G16)*0.6)</f>
        <v>72.8</v>
      </c>
      <c r="J16" s="36">
        <f>G16+(D16*0.2)+('численность 1'!N16*0.3)+'численность 1'!H16+(('численность 1'!D16-'численность 1'!H16)*0.6)</f>
        <v>51.4</v>
      </c>
      <c r="K16" s="93">
        <v>2140</v>
      </c>
      <c r="L16" s="93">
        <v>380</v>
      </c>
      <c r="M16" s="80"/>
    </row>
    <row r="17" spans="1:13" ht="15">
      <c r="A17" s="3">
        <v>12</v>
      </c>
      <c r="B17" s="38" t="s">
        <v>69</v>
      </c>
      <c r="C17" s="93"/>
      <c r="D17" s="93"/>
      <c r="E17" s="94"/>
      <c r="F17" s="3">
        <v>1</v>
      </c>
      <c r="G17" s="3">
        <v>1</v>
      </c>
      <c r="H17" s="94">
        <f t="shared" si="0"/>
        <v>100</v>
      </c>
      <c r="I17" s="36">
        <f>F17+(C17*0.2)+('численность 1'!M17*0.3)+'численность 1'!G17+(('численность 1'!C17-'численность 1'!G17)*0.6)</f>
        <v>2685.4</v>
      </c>
      <c r="J17" s="36">
        <f>G17+(D17*0.2)+('численность 1'!N17*0.3)+'численность 1'!H17+(('численность 1'!D17-'численность 1'!H17)*0.6)</f>
        <v>2855.5</v>
      </c>
      <c r="K17" s="93">
        <v>7150</v>
      </c>
      <c r="L17" s="93">
        <v>7150</v>
      </c>
      <c r="M17" s="80"/>
    </row>
    <row r="18" spans="1:13" ht="15">
      <c r="A18" s="3">
        <v>13</v>
      </c>
      <c r="B18" s="32" t="s">
        <v>77</v>
      </c>
      <c r="C18" s="93"/>
      <c r="D18" s="93"/>
      <c r="E18" s="94"/>
      <c r="F18" s="3">
        <v>104</v>
      </c>
      <c r="G18" s="3">
        <v>147</v>
      </c>
      <c r="H18" s="94">
        <f t="shared" si="0"/>
        <v>141.34615384615384</v>
      </c>
      <c r="I18" s="36">
        <f>F18+(C18*0.2)+('численность 1'!M18*0.3)+'численность 1'!G18+(('численность 1'!C18-'численность 1'!G18)*0.6)</f>
        <v>104</v>
      </c>
      <c r="J18" s="36">
        <f>G18+(D18*0.2)+('численность 1'!N18*0.3)+'численность 1'!H18+(('численность 1'!D18-'численность 1'!H18)*0.6)</f>
        <v>147</v>
      </c>
      <c r="K18" s="93">
        <v>7762</v>
      </c>
      <c r="L18" s="93"/>
      <c r="M18" s="80"/>
    </row>
    <row r="19" spans="1:13" ht="15">
      <c r="A19" s="3">
        <v>14</v>
      </c>
      <c r="B19" s="32" t="s">
        <v>90</v>
      </c>
      <c r="C19" s="93"/>
      <c r="D19" s="93"/>
      <c r="E19" s="94"/>
      <c r="F19" s="3"/>
      <c r="G19" s="3"/>
      <c r="H19" s="94"/>
      <c r="I19" s="36">
        <f>F19+(C19*0.2)+('численность 1'!M19*0.3)+'численность 1'!G19+(('численность 1'!C19-'численность 1'!G19)*0.6)</f>
        <v>28.5</v>
      </c>
      <c r="J19" s="36">
        <f>G19+(D19*0.2)+('численность 1'!N19*0.3)+'численность 1'!H19+(('численность 1'!D19-'численность 1'!H19)*0.6)</f>
        <v>32.1</v>
      </c>
      <c r="K19" s="93">
        <v>15</v>
      </c>
      <c r="L19" s="93">
        <v>15</v>
      </c>
      <c r="M19" s="80"/>
    </row>
    <row r="20" spans="1:13" ht="15">
      <c r="A20" s="3">
        <v>15</v>
      </c>
      <c r="B20" s="32" t="s">
        <v>112</v>
      </c>
      <c r="C20" s="93"/>
      <c r="D20" s="93">
        <v>50</v>
      </c>
      <c r="E20" s="94"/>
      <c r="F20" s="3"/>
      <c r="G20" s="3">
        <v>7</v>
      </c>
      <c r="H20" s="94"/>
      <c r="I20" s="36">
        <f>F20+(C20*0.2)+('численность 1'!M20*0.3)+'численность 1'!G20+(('численность 1'!C20-'численность 1'!G20)*0.6)</f>
        <v>0</v>
      </c>
      <c r="J20" s="36">
        <f>G20+(D20*0.2)+('численность 1'!N20*0.3)+'численность 1'!H20+(('численность 1'!D20-'численность 1'!H20)*0.6)</f>
        <v>17</v>
      </c>
      <c r="K20" s="126">
        <v>282</v>
      </c>
      <c r="L20" s="93">
        <v>2</v>
      </c>
      <c r="M20" s="80"/>
    </row>
    <row r="21" spans="1:13" ht="15">
      <c r="A21" s="129" t="s">
        <v>11</v>
      </c>
      <c r="B21" s="130"/>
      <c r="C21" s="3">
        <f>SUM(C6:C20)</f>
        <v>244</v>
      </c>
      <c r="D21" s="3">
        <f>SUM(D6:D20)</f>
        <v>326</v>
      </c>
      <c r="E21" s="36">
        <f>D21/C21*100</f>
        <v>133.60655737704917</v>
      </c>
      <c r="F21" s="3">
        <f>SUM(F6:F20)</f>
        <v>224</v>
      </c>
      <c r="G21" s="3">
        <f>SUM(G6:G20)</f>
        <v>232</v>
      </c>
      <c r="H21" s="94">
        <f>G21*100/F21</f>
        <v>103.57142857142857</v>
      </c>
      <c r="I21" s="36">
        <f>F21+(C21*0.2)+('численность 1'!M21*0.3)+'численность 1'!G21+(('численность 1'!C21-'численность 1'!G21)*0.6)</f>
        <v>5643.3</v>
      </c>
      <c r="J21" s="36">
        <f>G21+(D21*0.2)+('численность 1'!N21*0.3)+'численность 1'!H21+(('численность 1'!D21-'численность 1'!H21)*0.6)</f>
        <v>5596.799999999999</v>
      </c>
      <c r="K21" s="3">
        <f>SUM(K7:K20)</f>
        <v>74730.5</v>
      </c>
      <c r="L21" s="3">
        <f>SUM(L7:L20)</f>
        <v>21421.5</v>
      </c>
      <c r="M21" s="80"/>
    </row>
  </sheetData>
  <sheetProtection/>
  <mergeCells count="6">
    <mergeCell ref="A21:B21"/>
    <mergeCell ref="F3:H3"/>
    <mergeCell ref="M3:M5"/>
    <mergeCell ref="K3:L3"/>
    <mergeCell ref="K4:K5"/>
    <mergeCell ref="L4:L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"/>
  <sheetViews>
    <sheetView view="pageBreakPreview" zoomScale="60" zoomScaleNormal="50" zoomScalePageLayoutView="0" workbookViewId="0" topLeftCell="A1">
      <selection activeCell="B26" sqref="B26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104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56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43" t="s">
        <v>3</v>
      </c>
      <c r="C3" s="132" t="s">
        <v>82</v>
      </c>
      <c r="D3" s="159"/>
      <c r="E3" s="160"/>
      <c r="F3" s="137" t="s">
        <v>81</v>
      </c>
      <c r="G3" s="132" t="s">
        <v>8</v>
      </c>
      <c r="H3" s="159"/>
      <c r="I3" s="160"/>
      <c r="J3" s="161" t="s">
        <v>73</v>
      </c>
      <c r="K3" s="162"/>
      <c r="L3" s="163"/>
      <c r="M3" s="132" t="s">
        <v>9</v>
      </c>
      <c r="N3" s="159"/>
      <c r="O3" s="159"/>
      <c r="P3" s="159"/>
      <c r="Q3" s="159"/>
      <c r="R3" s="159"/>
      <c r="S3" s="159"/>
      <c r="T3" s="159"/>
      <c r="U3" s="160"/>
    </row>
    <row r="4" spans="1:21" s="20" customFormat="1" ht="23.25" customHeight="1">
      <c r="A4" s="33"/>
      <c r="B4" s="158"/>
      <c r="C4" s="143">
        <v>2010</v>
      </c>
      <c r="D4" s="143">
        <v>2011</v>
      </c>
      <c r="E4" s="106" t="s">
        <v>4</v>
      </c>
      <c r="F4" s="138"/>
      <c r="G4" s="143">
        <v>2010</v>
      </c>
      <c r="H4" s="143">
        <v>2011</v>
      </c>
      <c r="I4" s="106" t="s">
        <v>4</v>
      </c>
      <c r="J4" s="143">
        <v>2010</v>
      </c>
      <c r="K4" s="143">
        <v>2011</v>
      </c>
      <c r="L4" s="137" t="s">
        <v>98</v>
      </c>
      <c r="M4" s="143">
        <v>2010</v>
      </c>
      <c r="N4" s="143">
        <v>2011</v>
      </c>
      <c r="O4" s="137" t="s">
        <v>98</v>
      </c>
      <c r="P4" s="103" t="s">
        <v>5</v>
      </c>
      <c r="Q4" s="107" t="s">
        <v>72</v>
      </c>
      <c r="R4" s="137" t="s">
        <v>98</v>
      </c>
      <c r="S4" s="103" t="s">
        <v>53</v>
      </c>
      <c r="T4" s="108"/>
      <c r="U4" s="137" t="s">
        <v>98</v>
      </c>
    </row>
    <row r="5" spans="1:21" s="20" customFormat="1" ht="23.25" customHeight="1">
      <c r="A5" s="29"/>
      <c r="B5" s="144"/>
      <c r="C5" s="157"/>
      <c r="D5" s="157"/>
      <c r="E5" s="109">
        <v>2010</v>
      </c>
      <c r="F5" s="139"/>
      <c r="G5" s="157"/>
      <c r="H5" s="157"/>
      <c r="I5" s="109">
        <v>2010</v>
      </c>
      <c r="J5" s="157"/>
      <c r="K5" s="157"/>
      <c r="L5" s="156"/>
      <c r="M5" s="157"/>
      <c r="N5" s="157"/>
      <c r="O5" s="156"/>
      <c r="P5" s="104">
        <v>2010</v>
      </c>
      <c r="Q5" s="104">
        <v>2011</v>
      </c>
      <c r="R5" s="156"/>
      <c r="S5" s="104">
        <v>2010</v>
      </c>
      <c r="T5" s="104">
        <v>2011</v>
      </c>
      <c r="U5" s="156"/>
    </row>
    <row r="6" spans="1:34" s="20" customFormat="1" ht="24.75" customHeight="1">
      <c r="A6" s="3">
        <v>1</v>
      </c>
      <c r="B6" s="22" t="s">
        <v>61</v>
      </c>
      <c r="C6" s="3">
        <v>363</v>
      </c>
      <c r="D6" s="3">
        <v>327</v>
      </c>
      <c r="E6" s="36">
        <f aca="true" t="shared" si="0" ref="E6:E16">D6*100/C6</f>
        <v>90.08264462809917</v>
      </c>
      <c r="F6" s="3">
        <v>5</v>
      </c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1">K6*100/J6</f>
        <v>100</v>
      </c>
      <c r="M6" s="69"/>
      <c r="N6" s="3"/>
      <c r="O6" s="36"/>
      <c r="P6" s="69"/>
      <c r="Q6" s="3"/>
      <c r="R6" s="36"/>
      <c r="S6" s="116"/>
      <c r="T6" s="36"/>
      <c r="U6" s="36"/>
      <c r="AH6" s="91"/>
    </row>
    <row r="7" spans="1:34" s="20" customFormat="1" ht="24.75" customHeight="1">
      <c r="A7" s="3">
        <v>2</v>
      </c>
      <c r="B7" s="22" t="s">
        <v>62</v>
      </c>
      <c r="C7" s="3">
        <v>218</v>
      </c>
      <c r="D7" s="3">
        <v>207</v>
      </c>
      <c r="E7" s="36">
        <f t="shared" si="0"/>
        <v>94.95412844036697</v>
      </c>
      <c r="F7" s="3">
        <v>12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9"/>
      <c r="N7" s="3"/>
      <c r="O7" s="36"/>
      <c r="P7" s="69"/>
      <c r="Q7" s="3"/>
      <c r="R7" s="36"/>
      <c r="S7" s="116"/>
      <c r="T7" s="36"/>
      <c r="U7" s="36"/>
      <c r="AH7" s="91"/>
    </row>
    <row r="8" spans="1:34" s="20" customFormat="1" ht="24.75" customHeight="1">
      <c r="A8" s="3">
        <v>3</v>
      </c>
      <c r="B8" s="22" t="s">
        <v>63</v>
      </c>
      <c r="C8" s="3">
        <v>113</v>
      </c>
      <c r="D8" s="3">
        <v>117</v>
      </c>
      <c r="E8" s="36">
        <f t="shared" si="0"/>
        <v>103.53982300884955</v>
      </c>
      <c r="F8" s="93">
        <v>4</v>
      </c>
      <c r="G8" s="3">
        <v>60</v>
      </c>
      <c r="H8" s="3">
        <v>60</v>
      </c>
      <c r="I8" s="36">
        <f t="shared" si="1"/>
        <v>100</v>
      </c>
      <c r="J8" s="3">
        <v>56</v>
      </c>
      <c r="K8" s="3">
        <v>60</v>
      </c>
      <c r="L8" s="36">
        <f t="shared" si="2"/>
        <v>107.14285714285714</v>
      </c>
      <c r="M8" s="69"/>
      <c r="N8" s="3"/>
      <c r="O8" s="105"/>
      <c r="P8" s="69"/>
      <c r="Q8" s="3"/>
      <c r="R8" s="36"/>
      <c r="S8" s="116"/>
      <c r="T8" s="36"/>
      <c r="U8" s="36"/>
      <c r="AH8" s="91"/>
    </row>
    <row r="9" spans="1:34" s="20" customFormat="1" ht="24.75" customHeight="1">
      <c r="A9" s="3">
        <v>4</v>
      </c>
      <c r="B9" s="22" t="s">
        <v>64</v>
      </c>
      <c r="C9" s="3">
        <v>905</v>
      </c>
      <c r="D9" s="3">
        <v>793</v>
      </c>
      <c r="E9" s="36">
        <f t="shared" si="0"/>
        <v>87.62430939226519</v>
      </c>
      <c r="F9" s="3">
        <v>42</v>
      </c>
      <c r="G9" s="3">
        <v>308</v>
      </c>
      <c r="H9" s="3">
        <v>308</v>
      </c>
      <c r="I9" s="36">
        <f t="shared" si="1"/>
        <v>100</v>
      </c>
      <c r="J9" s="3">
        <v>305</v>
      </c>
      <c r="K9" s="3">
        <v>308</v>
      </c>
      <c r="L9" s="36">
        <f t="shared" si="2"/>
        <v>100.98360655737704</v>
      </c>
      <c r="M9" s="3">
        <v>420</v>
      </c>
      <c r="N9" s="3">
        <v>397</v>
      </c>
      <c r="O9" s="36">
        <f>N9*100/M9</f>
        <v>94.52380952380952</v>
      </c>
      <c r="P9" s="3">
        <v>20</v>
      </c>
      <c r="Q9" s="3">
        <v>28</v>
      </c>
      <c r="R9" s="36">
        <f>Q9*100/P9</f>
        <v>140</v>
      </c>
      <c r="S9" s="3">
        <v>25</v>
      </c>
      <c r="T9" s="3">
        <v>39</v>
      </c>
      <c r="U9" s="36">
        <f>T9*100/S9</f>
        <v>156</v>
      </c>
      <c r="AH9" s="91"/>
    </row>
    <row r="10" spans="1:34" s="20" customFormat="1" ht="24.75" customHeight="1">
      <c r="A10" s="3">
        <v>5</v>
      </c>
      <c r="B10" s="22" t="s">
        <v>65</v>
      </c>
      <c r="C10" s="3">
        <v>538</v>
      </c>
      <c r="D10" s="3">
        <v>384</v>
      </c>
      <c r="E10" s="36">
        <f t="shared" si="0"/>
        <v>71.37546468401487</v>
      </c>
      <c r="F10" s="93">
        <v>2</v>
      </c>
      <c r="G10" s="3">
        <v>280</v>
      </c>
      <c r="H10" s="3">
        <v>280</v>
      </c>
      <c r="I10" s="36">
        <f t="shared" si="1"/>
        <v>100</v>
      </c>
      <c r="J10" s="3">
        <v>262</v>
      </c>
      <c r="K10" s="3">
        <v>280</v>
      </c>
      <c r="L10" s="36">
        <f t="shared" si="2"/>
        <v>106.87022900763358</v>
      </c>
      <c r="M10" s="3">
        <v>438</v>
      </c>
      <c r="N10" s="3">
        <v>223</v>
      </c>
      <c r="O10" s="36">
        <f>N10*100/M10</f>
        <v>50.91324200913242</v>
      </c>
      <c r="P10" s="3">
        <v>80</v>
      </c>
      <c r="Q10" s="3">
        <v>80</v>
      </c>
      <c r="R10" s="36">
        <f>Q10*100/P10</f>
        <v>100</v>
      </c>
      <c r="S10" s="3">
        <v>13</v>
      </c>
      <c r="T10" s="3">
        <v>11</v>
      </c>
      <c r="U10" s="36">
        <f>T10*100/S10</f>
        <v>84.61538461538461</v>
      </c>
      <c r="AH10" s="91"/>
    </row>
    <row r="11" spans="1:34" s="20" customFormat="1" ht="24.75" customHeight="1">
      <c r="A11" s="3">
        <v>6</v>
      </c>
      <c r="B11" s="38" t="s">
        <v>80</v>
      </c>
      <c r="C11" s="3">
        <v>319</v>
      </c>
      <c r="D11" s="3">
        <v>273</v>
      </c>
      <c r="E11" s="36">
        <f t="shared" si="0"/>
        <v>85.57993730407523</v>
      </c>
      <c r="F11" s="93">
        <v>22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91"/>
    </row>
    <row r="12" spans="1:34" s="20" customFormat="1" ht="24.75" customHeight="1">
      <c r="A12" s="3">
        <v>7</v>
      </c>
      <c r="B12" s="22" t="s">
        <v>66</v>
      </c>
      <c r="C12" s="3">
        <v>147</v>
      </c>
      <c r="D12" s="3">
        <v>60</v>
      </c>
      <c r="E12" s="36">
        <f t="shared" si="0"/>
        <v>40.816326530612244</v>
      </c>
      <c r="F12" s="3"/>
      <c r="G12" s="3">
        <v>60</v>
      </c>
      <c r="H12" s="3">
        <v>60</v>
      </c>
      <c r="I12" s="36">
        <f t="shared" si="1"/>
        <v>100</v>
      </c>
      <c r="J12" s="3">
        <v>54</v>
      </c>
      <c r="K12" s="3">
        <v>60</v>
      </c>
      <c r="L12" s="36">
        <f t="shared" si="2"/>
        <v>111.11111111111111</v>
      </c>
      <c r="M12" s="3"/>
      <c r="N12" s="3"/>
      <c r="O12" s="36"/>
      <c r="P12" s="3"/>
      <c r="Q12" s="3"/>
      <c r="R12" s="36"/>
      <c r="S12" s="3"/>
      <c r="T12" s="3"/>
      <c r="U12" s="36"/>
      <c r="AH12" s="91"/>
    </row>
    <row r="13" spans="1:34" s="20" customFormat="1" ht="24.75" customHeight="1">
      <c r="A13" s="3">
        <v>8</v>
      </c>
      <c r="B13" s="32" t="s">
        <v>101</v>
      </c>
      <c r="C13" s="3"/>
      <c r="D13" s="3">
        <v>143</v>
      </c>
      <c r="E13" s="36"/>
      <c r="F13" s="3">
        <v>16</v>
      </c>
      <c r="G13" s="3"/>
      <c r="H13" s="3">
        <v>5</v>
      </c>
      <c r="I13" s="36"/>
      <c r="J13" s="3"/>
      <c r="K13" s="3"/>
      <c r="L13" s="36"/>
      <c r="M13" s="3"/>
      <c r="N13" s="3"/>
      <c r="O13" s="36"/>
      <c r="P13" s="3"/>
      <c r="Q13" s="3"/>
      <c r="R13" s="36"/>
      <c r="S13" s="3"/>
      <c r="T13" s="3"/>
      <c r="U13" s="36"/>
      <c r="AH13" s="91"/>
    </row>
    <row r="14" spans="1:34" s="20" customFormat="1" ht="24.75" customHeight="1">
      <c r="A14" s="3">
        <v>9</v>
      </c>
      <c r="B14" s="32" t="s">
        <v>79</v>
      </c>
      <c r="C14" s="3">
        <v>201</v>
      </c>
      <c r="D14" s="3">
        <v>242</v>
      </c>
      <c r="E14" s="36">
        <f t="shared" si="0"/>
        <v>120.39800995024876</v>
      </c>
      <c r="F14" s="3">
        <v>20</v>
      </c>
      <c r="G14" s="3">
        <v>78</v>
      </c>
      <c r="H14" s="3">
        <v>78</v>
      </c>
      <c r="I14" s="36">
        <f t="shared" si="1"/>
        <v>100</v>
      </c>
      <c r="J14" s="3">
        <v>68</v>
      </c>
      <c r="K14" s="3">
        <v>78</v>
      </c>
      <c r="L14" s="36">
        <f t="shared" si="2"/>
        <v>114.70588235294117</v>
      </c>
      <c r="M14" s="3"/>
      <c r="N14" s="3"/>
      <c r="O14" s="36"/>
      <c r="P14" s="3"/>
      <c r="Q14" s="3"/>
      <c r="R14" s="36"/>
      <c r="S14" s="3"/>
      <c r="T14" s="3"/>
      <c r="U14" s="36"/>
      <c r="AH14" s="91"/>
    </row>
    <row r="15" spans="1:34" s="20" customFormat="1" ht="24.75" customHeight="1">
      <c r="A15" s="3">
        <v>10</v>
      </c>
      <c r="B15" s="22" t="s">
        <v>67</v>
      </c>
      <c r="C15" s="3">
        <v>241</v>
      </c>
      <c r="D15" s="3">
        <v>241</v>
      </c>
      <c r="E15" s="36">
        <f t="shared" si="0"/>
        <v>100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91"/>
    </row>
    <row r="16" spans="1:34" s="20" customFormat="1" ht="24.75" customHeight="1">
      <c r="A16" s="3">
        <v>11</v>
      </c>
      <c r="B16" s="22" t="s">
        <v>68</v>
      </c>
      <c r="C16" s="3">
        <v>90</v>
      </c>
      <c r="D16" s="3">
        <v>56</v>
      </c>
      <c r="E16" s="36">
        <f t="shared" si="0"/>
        <v>62.22222222222222</v>
      </c>
      <c r="F16" s="3">
        <v>6</v>
      </c>
      <c r="G16" s="3">
        <v>42</v>
      </c>
      <c r="H16" s="3">
        <v>42</v>
      </c>
      <c r="I16" s="36">
        <f t="shared" si="1"/>
        <v>100</v>
      </c>
      <c r="J16" s="3">
        <v>41</v>
      </c>
      <c r="K16" s="3">
        <v>42</v>
      </c>
      <c r="L16" s="36">
        <f t="shared" si="2"/>
        <v>102.4390243902439</v>
      </c>
      <c r="M16" s="3"/>
      <c r="N16" s="3"/>
      <c r="O16" s="36"/>
      <c r="P16" s="3"/>
      <c r="Q16" s="3"/>
      <c r="R16" s="36"/>
      <c r="S16" s="3"/>
      <c r="T16" s="3"/>
      <c r="U16" s="36"/>
      <c r="AH16" s="91"/>
    </row>
    <row r="17" spans="1:34" s="20" customFormat="1" ht="24.75" customHeight="1">
      <c r="A17" s="3">
        <v>12</v>
      </c>
      <c r="B17" s="22" t="s">
        <v>69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8948</v>
      </c>
      <c r="N17" s="3">
        <v>9515</v>
      </c>
      <c r="O17" s="36">
        <f>N17*100/M17</f>
        <v>106.33661153330353</v>
      </c>
      <c r="P17" s="3">
        <v>226</v>
      </c>
      <c r="Q17" s="3">
        <v>240</v>
      </c>
      <c r="R17" s="36">
        <f>Q17*100/P17</f>
        <v>106.19469026548673</v>
      </c>
      <c r="S17" s="3">
        <v>511</v>
      </c>
      <c r="T17" s="3">
        <v>379</v>
      </c>
      <c r="U17" s="36">
        <f>T17*100/S17</f>
        <v>74.16829745596868</v>
      </c>
      <c r="AH17" s="91"/>
    </row>
    <row r="18" spans="1:34" s="20" customFormat="1" ht="24.75" customHeight="1">
      <c r="A18" s="3">
        <v>13</v>
      </c>
      <c r="B18" s="32" t="s">
        <v>77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91"/>
    </row>
    <row r="19" spans="1:34" s="20" customFormat="1" ht="24.75" customHeight="1">
      <c r="A19" s="3">
        <v>14</v>
      </c>
      <c r="B19" s="32" t="s">
        <v>90</v>
      </c>
      <c r="C19" s="3"/>
      <c r="D19" s="3"/>
      <c r="E19" s="36"/>
      <c r="F19" s="3"/>
      <c r="G19" s="3"/>
      <c r="H19" s="3"/>
      <c r="I19" s="36"/>
      <c r="J19" s="3"/>
      <c r="K19" s="3"/>
      <c r="L19" s="36"/>
      <c r="M19" s="3">
        <v>95</v>
      </c>
      <c r="N19" s="3">
        <v>107</v>
      </c>
      <c r="O19" s="36">
        <f>N19*100/M19</f>
        <v>112.63157894736842</v>
      </c>
      <c r="P19" s="3">
        <v>11</v>
      </c>
      <c r="Q19" s="3">
        <v>10</v>
      </c>
      <c r="R19" s="36">
        <f>Q19*100/P19</f>
        <v>90.9090909090909</v>
      </c>
      <c r="S19" s="3">
        <v>10</v>
      </c>
      <c r="T19" s="3">
        <v>2</v>
      </c>
      <c r="U19" s="36">
        <f>T19*100/S19</f>
        <v>20</v>
      </c>
      <c r="AH19" s="91"/>
    </row>
    <row r="20" spans="1:34" s="20" customFormat="1" ht="24.75" customHeight="1">
      <c r="A20" s="3">
        <v>15</v>
      </c>
      <c r="B20" s="32" t="s">
        <v>112</v>
      </c>
      <c r="C20" s="3"/>
      <c r="D20" s="3"/>
      <c r="E20" s="36"/>
      <c r="F20" s="3"/>
      <c r="G20" s="3"/>
      <c r="H20" s="3"/>
      <c r="I20" s="36"/>
      <c r="J20" s="3"/>
      <c r="K20" s="3"/>
      <c r="L20" s="36"/>
      <c r="M20" s="3"/>
      <c r="N20" s="3"/>
      <c r="O20" s="36"/>
      <c r="P20" s="3"/>
      <c r="Q20" s="3"/>
      <c r="R20" s="36"/>
      <c r="S20" s="3"/>
      <c r="T20" s="3"/>
      <c r="U20" s="36"/>
      <c r="AH20" s="91"/>
    </row>
    <row r="21" spans="1:21" s="20" customFormat="1" ht="21.75" customHeight="1">
      <c r="A21" s="129" t="s">
        <v>11</v>
      </c>
      <c r="B21" s="130"/>
      <c r="C21" s="3">
        <f>SUM(C6:C20)</f>
        <v>3135</v>
      </c>
      <c r="D21" s="3">
        <f>SUM(D6:D20)</f>
        <v>2843</v>
      </c>
      <c r="E21" s="36">
        <f>D21*100/C21</f>
        <v>90.68580542264753</v>
      </c>
      <c r="F21" s="3">
        <f>SUM(F6:F20)</f>
        <v>145</v>
      </c>
      <c r="G21" s="3">
        <f>SUM(G6:G20)</f>
        <v>1298</v>
      </c>
      <c r="H21" s="3">
        <f>SUM(H6:H20)</f>
        <v>1303</v>
      </c>
      <c r="I21" s="36">
        <f>H21*100/G21</f>
        <v>100.38520801232666</v>
      </c>
      <c r="J21" s="3">
        <f>SUM(J6:J19)</f>
        <v>1256</v>
      </c>
      <c r="K21" s="3">
        <f>SUM(K6:K17)</f>
        <v>1298</v>
      </c>
      <c r="L21" s="36">
        <f t="shared" si="2"/>
        <v>103.34394904458598</v>
      </c>
      <c r="M21" s="3">
        <f>SUM(M9:M20)</f>
        <v>9901</v>
      </c>
      <c r="N21" s="3">
        <f>SUM(N6:N19)</f>
        <v>10242</v>
      </c>
      <c r="O21" s="36">
        <f>N21*100/M21</f>
        <v>103.44409655590344</v>
      </c>
      <c r="P21" s="3">
        <f>SUM(P9:P20)</f>
        <v>337</v>
      </c>
      <c r="Q21" s="3">
        <f>SUM(Q6:Q19)</f>
        <v>358</v>
      </c>
      <c r="R21" s="36">
        <f>Q21*100/P21</f>
        <v>106.23145400593472</v>
      </c>
      <c r="S21" s="3">
        <f>SUM(S9:S20)</f>
        <v>559</v>
      </c>
      <c r="T21" s="36">
        <f>SUM(T6:T19)</f>
        <v>431</v>
      </c>
      <c r="U21" s="36">
        <f>T21*100/S21</f>
        <v>77.10196779964222</v>
      </c>
    </row>
  </sheetData>
  <sheetProtection/>
  <mergeCells count="19">
    <mergeCell ref="A21:B21"/>
    <mergeCell ref="J3:L3"/>
    <mergeCell ref="J4:J5"/>
    <mergeCell ref="K4:K5"/>
    <mergeCell ref="L4:L5"/>
    <mergeCell ref="M3:U3"/>
    <mergeCell ref="O4:O5"/>
    <mergeCell ref="N4:N5"/>
    <mergeCell ref="R4:R5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view="pageBreakPreview" zoomScale="75" zoomScaleNormal="75" zoomScaleSheetLayoutView="75" zoomScalePageLayoutView="0" workbookViewId="0" topLeftCell="A1">
      <selection activeCell="B20" sqref="B20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110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2.75">
      <c r="A4" s="143" t="s">
        <v>2</v>
      </c>
      <c r="B4" s="137" t="s">
        <v>3</v>
      </c>
      <c r="C4" s="141" t="s">
        <v>86</v>
      </c>
      <c r="D4" s="174"/>
      <c r="E4" s="171"/>
      <c r="F4" s="166" t="s">
        <v>70</v>
      </c>
      <c r="G4" s="167"/>
      <c r="H4" s="166" t="s">
        <v>85</v>
      </c>
      <c r="I4" s="170"/>
      <c r="J4" s="171"/>
      <c r="K4" s="166" t="s">
        <v>83</v>
      </c>
      <c r="L4" s="167"/>
      <c r="M4" s="166" t="s">
        <v>84</v>
      </c>
      <c r="N4" s="167"/>
    </row>
    <row r="5" spans="1:14" ht="31.5" customHeight="1">
      <c r="A5" s="158"/>
      <c r="B5" s="138"/>
      <c r="C5" s="175"/>
      <c r="D5" s="176"/>
      <c r="E5" s="177"/>
      <c r="F5" s="168"/>
      <c r="G5" s="169"/>
      <c r="H5" s="168"/>
      <c r="I5" s="172"/>
      <c r="J5" s="173"/>
      <c r="K5" s="168"/>
      <c r="L5" s="169"/>
      <c r="M5" s="168"/>
      <c r="N5" s="169"/>
    </row>
    <row r="6" spans="1:14" ht="30">
      <c r="A6" s="144"/>
      <c r="B6" s="139"/>
      <c r="C6" s="3">
        <v>2010</v>
      </c>
      <c r="D6" s="19">
        <v>2011</v>
      </c>
      <c r="E6" s="101" t="s">
        <v>97</v>
      </c>
      <c r="F6" s="3">
        <v>2010</v>
      </c>
      <c r="G6" s="19">
        <v>2011</v>
      </c>
      <c r="H6" s="3">
        <v>2010</v>
      </c>
      <c r="I6" s="19">
        <v>2011</v>
      </c>
      <c r="J6" s="101" t="s">
        <v>97</v>
      </c>
      <c r="K6" s="22" t="s">
        <v>1</v>
      </c>
      <c r="L6" s="24" t="s">
        <v>35</v>
      </c>
      <c r="M6" s="38" t="s">
        <v>47</v>
      </c>
      <c r="N6" s="51" t="s">
        <v>48</v>
      </c>
    </row>
    <row r="7" spans="1:14" ht="16.5" customHeight="1">
      <c r="A7" s="31">
        <v>1</v>
      </c>
      <c r="B7" s="22" t="s">
        <v>64</v>
      </c>
      <c r="C7" s="31">
        <v>631</v>
      </c>
      <c r="D7" s="31">
        <v>587</v>
      </c>
      <c r="E7" s="31">
        <f>D7-C7</f>
        <v>-44</v>
      </c>
      <c r="F7" s="31">
        <v>353</v>
      </c>
      <c r="G7" s="31">
        <v>320</v>
      </c>
      <c r="H7" s="78">
        <f>F7*100/27</f>
        <v>1307.4074074074074</v>
      </c>
      <c r="I7" s="78">
        <f>G7*100/20</f>
        <v>1600</v>
      </c>
      <c r="J7" s="77">
        <f>I7-H7</f>
        <v>292.5925925925926</v>
      </c>
      <c r="K7" s="31">
        <v>74</v>
      </c>
      <c r="L7" s="31">
        <v>34</v>
      </c>
      <c r="M7" s="99">
        <f>G7/L7</f>
        <v>9.411764705882353</v>
      </c>
      <c r="N7" s="99">
        <f>(D7-G7)/(K7-L7)</f>
        <v>6.675</v>
      </c>
    </row>
    <row r="8" spans="1:15" ht="16.5" customHeight="1">
      <c r="A8" s="31">
        <v>2</v>
      </c>
      <c r="B8" s="31" t="s">
        <v>65</v>
      </c>
      <c r="C8" s="31">
        <v>745</v>
      </c>
      <c r="D8" s="31">
        <v>403</v>
      </c>
      <c r="E8" s="31">
        <f>D8-C8</f>
        <v>-342</v>
      </c>
      <c r="F8" s="31">
        <v>573</v>
      </c>
      <c r="G8" s="31">
        <v>391</v>
      </c>
      <c r="H8" s="78">
        <f>F8*100/80</f>
        <v>716.25</v>
      </c>
      <c r="I8" s="78">
        <f>G8*100/80</f>
        <v>488.75</v>
      </c>
      <c r="J8" s="77">
        <f>I8-H8</f>
        <v>-227.5</v>
      </c>
      <c r="K8" s="32">
        <v>53</v>
      </c>
      <c r="L8" s="32">
        <v>51</v>
      </c>
      <c r="M8" s="99">
        <f>G8/L8</f>
        <v>7.666666666666667</v>
      </c>
      <c r="N8" s="99">
        <f>(D8-G8)/(K8-L8)</f>
        <v>6</v>
      </c>
      <c r="O8" s="15"/>
    </row>
    <row r="9" spans="1:14" ht="16.5" customHeight="1">
      <c r="A9" s="31">
        <v>3</v>
      </c>
      <c r="B9" s="32" t="s">
        <v>69</v>
      </c>
      <c r="C9" s="31">
        <v>10264</v>
      </c>
      <c r="D9" s="31">
        <v>13106</v>
      </c>
      <c r="E9" s="31">
        <f>D9-C9</f>
        <v>2842</v>
      </c>
      <c r="F9" s="31">
        <v>5100</v>
      </c>
      <c r="G9" s="31">
        <v>5865</v>
      </c>
      <c r="H9" s="78">
        <f>F9*100/200</f>
        <v>2550</v>
      </c>
      <c r="I9" s="78">
        <f>G9*100/226</f>
        <v>2595.1327433628317</v>
      </c>
      <c r="J9" s="77">
        <f>I9-H9</f>
        <v>45.13274336283166</v>
      </c>
      <c r="K9" s="32">
        <v>1608</v>
      </c>
      <c r="L9" s="32">
        <v>690</v>
      </c>
      <c r="M9" s="123">
        <f>G9/L9</f>
        <v>8.5</v>
      </c>
      <c r="N9" s="123">
        <f>(D9-G9)/(K9-L9)</f>
        <v>7.887799564270153</v>
      </c>
    </row>
    <row r="10" spans="1:14" ht="16.5" customHeight="1">
      <c r="A10" s="31">
        <v>4</v>
      </c>
      <c r="B10" s="32" t="s">
        <v>90</v>
      </c>
      <c r="C10" s="31">
        <v>72</v>
      </c>
      <c r="D10" s="31">
        <v>27</v>
      </c>
      <c r="E10" s="31">
        <f>D10-C10</f>
        <v>-45</v>
      </c>
      <c r="F10" s="31">
        <v>67</v>
      </c>
      <c r="G10" s="31">
        <v>27</v>
      </c>
      <c r="H10" s="78"/>
      <c r="I10" s="78">
        <f>G10*100/10</f>
        <v>270</v>
      </c>
      <c r="J10" s="77"/>
      <c r="K10" s="32">
        <v>4</v>
      </c>
      <c r="L10" s="32">
        <v>4</v>
      </c>
      <c r="M10" s="99">
        <f>G10/L10</f>
        <v>6.75</v>
      </c>
      <c r="N10" s="99"/>
    </row>
    <row r="11" spans="1:14" ht="15" customHeight="1">
      <c r="A11" s="164" t="s">
        <v>11</v>
      </c>
      <c r="B11" s="164"/>
      <c r="C11" s="31">
        <f>SUM(C7:C10)</f>
        <v>11712</v>
      </c>
      <c r="D11" s="31">
        <f>SUM(D7:D10)</f>
        <v>14123</v>
      </c>
      <c r="E11" s="31">
        <f>D11-C11</f>
        <v>2411</v>
      </c>
      <c r="F11" s="31">
        <f>SUM(F7:F10)</f>
        <v>6093</v>
      </c>
      <c r="G11" s="31">
        <f>SUM(G7:G10)</f>
        <v>6603</v>
      </c>
      <c r="H11" s="78">
        <f>F11*100/307</f>
        <v>1984.6905537459284</v>
      </c>
      <c r="I11" s="78">
        <f>G11*100/337</f>
        <v>1959.347181008902</v>
      </c>
      <c r="J11" s="77">
        <f>I11-H11</f>
        <v>-25.343372737026357</v>
      </c>
      <c r="K11" s="77">
        <f>SUM(K7:K10)</f>
        <v>1739</v>
      </c>
      <c r="L11" s="77">
        <f>SUM(L7:L10)</f>
        <v>779</v>
      </c>
      <c r="M11" s="99">
        <f>G11/L11</f>
        <v>8.476251604621309</v>
      </c>
      <c r="N11" s="99">
        <f>(D11-G11)/(K11-L11)</f>
        <v>7.833333333333333</v>
      </c>
    </row>
    <row r="13" spans="2:17" ht="12.7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17" ht="15">
      <c r="B14" s="75"/>
      <c r="C14" s="118"/>
      <c r="D14" s="118"/>
      <c r="E14" s="118"/>
      <c r="F14" s="118"/>
      <c r="G14" s="118"/>
      <c r="H14" s="119"/>
      <c r="I14" s="120"/>
      <c r="J14" s="119"/>
      <c r="K14" s="118"/>
      <c r="L14" s="118"/>
      <c r="M14" s="121"/>
      <c r="N14" s="121"/>
      <c r="O14" s="75"/>
      <c r="P14" s="75"/>
      <c r="Q14" s="75"/>
    </row>
    <row r="15" spans="2:17" ht="15">
      <c r="B15" s="75"/>
      <c r="C15" s="118"/>
      <c r="D15" s="118"/>
      <c r="E15" s="118"/>
      <c r="F15" s="118"/>
      <c r="G15" s="118"/>
      <c r="H15" s="120"/>
      <c r="I15" s="120"/>
      <c r="J15" s="119"/>
      <c r="K15" s="122"/>
      <c r="L15" s="122"/>
      <c r="M15" s="121"/>
      <c r="N15" s="121"/>
      <c r="O15" s="75"/>
      <c r="P15" s="75"/>
      <c r="Q15" s="75"/>
    </row>
    <row r="16" spans="2:17" ht="15">
      <c r="B16" s="75"/>
      <c r="C16" s="118"/>
      <c r="D16" s="118"/>
      <c r="E16" s="118"/>
      <c r="F16" s="118"/>
      <c r="G16" s="118"/>
      <c r="H16" s="119"/>
      <c r="I16" s="120"/>
      <c r="J16" s="119"/>
      <c r="K16" s="122"/>
      <c r="L16" s="122"/>
      <c r="M16" s="121"/>
      <c r="N16" s="121"/>
      <c r="O16" s="75"/>
      <c r="P16" s="75"/>
      <c r="Q16" s="75"/>
    </row>
    <row r="17" spans="2:17" ht="15">
      <c r="B17" s="75"/>
      <c r="C17" s="118"/>
      <c r="D17" s="118"/>
      <c r="E17" s="118"/>
      <c r="F17" s="118"/>
      <c r="G17" s="118"/>
      <c r="H17" s="119"/>
      <c r="I17" s="120"/>
      <c r="J17" s="119"/>
      <c r="K17" s="122"/>
      <c r="L17" s="122"/>
      <c r="M17" s="121"/>
      <c r="N17" s="121"/>
      <c r="O17" s="75"/>
      <c r="P17" s="75"/>
      <c r="Q17" s="75"/>
    </row>
    <row r="18" spans="2:17" ht="15">
      <c r="B18" s="75"/>
      <c r="C18" s="118"/>
      <c r="D18" s="118"/>
      <c r="E18" s="118"/>
      <c r="F18" s="118"/>
      <c r="G18" s="118"/>
      <c r="H18" s="119"/>
      <c r="I18" s="120"/>
      <c r="J18" s="119"/>
      <c r="K18" s="122"/>
      <c r="L18" s="122"/>
      <c r="M18" s="121"/>
      <c r="N18" s="121"/>
      <c r="O18" s="75"/>
      <c r="P18" s="75"/>
      <c r="Q18" s="75"/>
    </row>
    <row r="19" spans="2:17" ht="15">
      <c r="B19" s="75"/>
      <c r="C19" s="118"/>
      <c r="D19" s="118"/>
      <c r="E19" s="118"/>
      <c r="F19" s="118"/>
      <c r="G19" s="118"/>
      <c r="H19" s="119"/>
      <c r="I19" s="120"/>
      <c r="J19" s="119"/>
      <c r="K19" s="120"/>
      <c r="L19" s="120"/>
      <c r="M19" s="121"/>
      <c r="N19" s="121"/>
      <c r="O19" s="75"/>
      <c r="P19" s="75"/>
      <c r="Q19" s="75"/>
    </row>
    <row r="20" spans="2:17" ht="15">
      <c r="B20" s="75"/>
      <c r="C20" s="118"/>
      <c r="D20" s="118"/>
      <c r="E20" s="118"/>
      <c r="F20" s="118"/>
      <c r="G20" s="118"/>
      <c r="H20" s="119"/>
      <c r="I20" s="120"/>
      <c r="J20" s="119"/>
      <c r="K20" s="122"/>
      <c r="L20" s="122"/>
      <c r="M20" s="121"/>
      <c r="N20" s="121"/>
      <c r="O20" s="75"/>
      <c r="P20" s="75"/>
      <c r="Q20" s="75"/>
    </row>
    <row r="21" spans="2:17" ht="15">
      <c r="B21" s="75"/>
      <c r="C21" s="118"/>
      <c r="D21" s="118"/>
      <c r="E21" s="118"/>
      <c r="F21" s="118"/>
      <c r="G21" s="118"/>
      <c r="H21" s="120"/>
      <c r="I21" s="120"/>
      <c r="J21" s="119"/>
      <c r="K21" s="122"/>
      <c r="L21" s="122"/>
      <c r="M21" s="121"/>
      <c r="N21" s="121"/>
      <c r="O21" s="75"/>
      <c r="P21" s="75"/>
      <c r="Q21" s="75"/>
    </row>
    <row r="22" spans="2:17" ht="12.7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 ht="12.7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 ht="12.7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</sheetData>
  <sheetProtection/>
  <mergeCells count="9">
    <mergeCell ref="A11:B11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zoomScalePageLayoutView="0" workbookViewId="0" topLeftCell="A1">
      <selection activeCell="F31" sqref="F30:F31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0"/>
      <c r="B1" s="20"/>
      <c r="C1" s="1" t="s">
        <v>109</v>
      </c>
      <c r="D1" s="1"/>
      <c r="E1" s="1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43" t="s">
        <v>2</v>
      </c>
      <c r="B2" s="143" t="s">
        <v>3</v>
      </c>
      <c r="C2" s="24" t="s">
        <v>37</v>
      </c>
      <c r="D2" s="25"/>
      <c r="E2" s="27"/>
      <c r="F2" s="49" t="s">
        <v>38</v>
      </c>
      <c r="G2" s="25"/>
      <c r="H2" s="27"/>
      <c r="I2" s="24" t="s">
        <v>39</v>
      </c>
      <c r="J2" s="25"/>
      <c r="K2" s="27"/>
      <c r="L2" s="24" t="s">
        <v>40</v>
      </c>
      <c r="M2" s="25"/>
      <c r="N2" s="27"/>
    </row>
    <row r="3" spans="1:14" ht="15">
      <c r="A3" s="158"/>
      <c r="B3" s="158"/>
      <c r="C3" s="18">
        <v>2010</v>
      </c>
      <c r="D3" s="19">
        <v>2011</v>
      </c>
      <c r="E3" s="9" t="s">
        <v>36</v>
      </c>
      <c r="F3" s="18">
        <v>2010</v>
      </c>
      <c r="G3" s="19">
        <v>2011</v>
      </c>
      <c r="H3" s="9" t="s">
        <v>36</v>
      </c>
      <c r="I3" s="18">
        <v>2010</v>
      </c>
      <c r="J3" s="19">
        <v>2011</v>
      </c>
      <c r="K3" s="9" t="s">
        <v>36</v>
      </c>
      <c r="L3" s="18">
        <v>2010</v>
      </c>
      <c r="M3" s="19">
        <v>2011</v>
      </c>
      <c r="N3" s="9" t="s">
        <v>36</v>
      </c>
    </row>
    <row r="4" spans="1:14" ht="15">
      <c r="A4" s="144"/>
      <c r="B4" s="144"/>
      <c r="C4" s="29"/>
      <c r="D4" s="29"/>
      <c r="E4" s="45" t="s">
        <v>96</v>
      </c>
      <c r="F4" s="29"/>
      <c r="G4" s="29"/>
      <c r="H4" s="45" t="s">
        <v>96</v>
      </c>
      <c r="I4" s="29"/>
      <c r="J4" s="29"/>
      <c r="K4" s="45" t="s">
        <v>96</v>
      </c>
      <c r="L4" s="29"/>
      <c r="M4" s="29"/>
      <c r="N4" s="45" t="s">
        <v>96</v>
      </c>
    </row>
    <row r="5" spans="1:14" ht="16.5" customHeight="1">
      <c r="A5" s="31">
        <v>1</v>
      </c>
      <c r="B5" s="31" t="s">
        <v>61</v>
      </c>
      <c r="C5" s="12">
        <v>163</v>
      </c>
      <c r="D5" s="12">
        <v>183</v>
      </c>
      <c r="E5" s="16">
        <f aca="true" t="shared" si="0" ref="E5:E15">D5-C5</f>
        <v>20</v>
      </c>
      <c r="F5" s="12">
        <v>25</v>
      </c>
      <c r="G5" s="12">
        <v>6</v>
      </c>
      <c r="H5" s="16">
        <f aca="true" t="shared" si="1" ref="H5:H15">G5-F5</f>
        <v>-19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62</v>
      </c>
      <c r="C6" s="12">
        <v>148</v>
      </c>
      <c r="D6" s="12">
        <v>153</v>
      </c>
      <c r="E6" s="16">
        <f t="shared" si="0"/>
        <v>5</v>
      </c>
      <c r="F6" s="12">
        <v>27</v>
      </c>
      <c r="G6" s="12">
        <v>9</v>
      </c>
      <c r="H6" s="16">
        <f t="shared" si="1"/>
        <v>-18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63</v>
      </c>
      <c r="C7" s="12">
        <v>60</v>
      </c>
      <c r="D7" s="12">
        <v>41</v>
      </c>
      <c r="E7" s="16">
        <f t="shared" si="0"/>
        <v>-19</v>
      </c>
      <c r="F7" s="12">
        <v>2</v>
      </c>
      <c r="G7" s="12">
        <v>2</v>
      </c>
      <c r="H7" s="16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64</v>
      </c>
      <c r="C8" s="12">
        <v>302</v>
      </c>
      <c r="D8" s="12">
        <v>266</v>
      </c>
      <c r="E8" s="16">
        <f t="shared" si="0"/>
        <v>-36</v>
      </c>
      <c r="F8" s="12">
        <v>39</v>
      </c>
      <c r="G8" s="12">
        <v>30</v>
      </c>
      <c r="H8" s="16">
        <f t="shared" si="1"/>
        <v>-9</v>
      </c>
      <c r="I8" s="16">
        <v>115</v>
      </c>
      <c r="J8" s="16">
        <v>115</v>
      </c>
      <c r="K8" s="12">
        <f>J8-I8</f>
        <v>0</v>
      </c>
      <c r="L8" s="12">
        <v>35</v>
      </c>
      <c r="M8" s="12">
        <v>56</v>
      </c>
      <c r="N8" s="12">
        <f>M8-L8</f>
        <v>21</v>
      </c>
    </row>
    <row r="9" spans="1:14" ht="16.5" customHeight="1">
      <c r="A9" s="31">
        <v>5</v>
      </c>
      <c r="B9" s="31" t="s">
        <v>65</v>
      </c>
      <c r="C9" s="12">
        <v>224</v>
      </c>
      <c r="D9" s="12">
        <v>203</v>
      </c>
      <c r="E9" s="16">
        <f t="shared" si="0"/>
        <v>-21</v>
      </c>
      <c r="F9" s="12">
        <v>40</v>
      </c>
      <c r="G9" s="12">
        <v>6</v>
      </c>
      <c r="H9" s="16">
        <f t="shared" si="1"/>
        <v>-34</v>
      </c>
      <c r="I9" s="12">
        <v>192</v>
      </c>
      <c r="J9" s="12">
        <v>170</v>
      </c>
      <c r="K9" s="12">
        <f>J9-I9</f>
        <v>-22</v>
      </c>
      <c r="L9" s="12">
        <v>34</v>
      </c>
      <c r="M9" s="16">
        <v>20</v>
      </c>
      <c r="N9" s="12">
        <f>M9-L9</f>
        <v>-14</v>
      </c>
    </row>
    <row r="10" spans="1:14" ht="16.5" customHeight="1">
      <c r="A10" s="31">
        <v>6</v>
      </c>
      <c r="B10" s="32" t="s">
        <v>80</v>
      </c>
      <c r="C10" s="12">
        <v>100</v>
      </c>
      <c r="D10" s="12">
        <v>72</v>
      </c>
      <c r="E10" s="16">
        <f t="shared" si="0"/>
        <v>-28</v>
      </c>
      <c r="F10" s="12">
        <v>13</v>
      </c>
      <c r="G10" s="12">
        <v>14</v>
      </c>
      <c r="H10" s="16">
        <f t="shared" si="1"/>
        <v>1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66</v>
      </c>
      <c r="C11" s="12">
        <v>72</v>
      </c>
      <c r="D11" s="12">
        <v>66</v>
      </c>
      <c r="E11" s="16">
        <f t="shared" si="0"/>
        <v>-6</v>
      </c>
      <c r="F11" s="12">
        <v>20</v>
      </c>
      <c r="G11" s="12">
        <v>10</v>
      </c>
      <c r="H11" s="16">
        <f t="shared" si="1"/>
        <v>-10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101</v>
      </c>
      <c r="C12" s="12"/>
      <c r="D12" s="12"/>
      <c r="E12" s="16">
        <f t="shared" si="0"/>
        <v>0</v>
      </c>
      <c r="F12" s="12"/>
      <c r="G12" s="12"/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79</v>
      </c>
      <c r="C13" s="12">
        <v>93</v>
      </c>
      <c r="D13" s="12">
        <v>120</v>
      </c>
      <c r="E13" s="16">
        <f t="shared" si="0"/>
        <v>27</v>
      </c>
      <c r="F13" s="12">
        <v>22</v>
      </c>
      <c r="G13" s="12">
        <v>39</v>
      </c>
      <c r="H13" s="16">
        <f t="shared" si="1"/>
        <v>17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67</v>
      </c>
      <c r="C14" s="12">
        <v>139</v>
      </c>
      <c r="D14" s="12">
        <v>102</v>
      </c>
      <c r="E14" s="16">
        <f t="shared" si="0"/>
        <v>-37</v>
      </c>
      <c r="F14" s="12">
        <v>38</v>
      </c>
      <c r="G14" s="12">
        <v>18</v>
      </c>
      <c r="H14" s="16">
        <f t="shared" si="1"/>
        <v>-20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68</v>
      </c>
      <c r="C15" s="12">
        <v>44</v>
      </c>
      <c r="D15" s="12">
        <v>47</v>
      </c>
      <c r="E15" s="16">
        <f t="shared" si="0"/>
        <v>3</v>
      </c>
      <c r="F15" s="12">
        <v>4</v>
      </c>
      <c r="G15" s="12">
        <v>7</v>
      </c>
      <c r="H15" s="16">
        <f t="shared" si="1"/>
        <v>3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69</v>
      </c>
      <c r="C16" s="16"/>
      <c r="D16" s="16"/>
      <c r="E16" s="16"/>
      <c r="F16" s="16"/>
      <c r="G16" s="16"/>
      <c r="H16" s="16"/>
      <c r="I16" s="12">
        <v>1815</v>
      </c>
      <c r="J16" s="12">
        <v>2424</v>
      </c>
      <c r="K16" s="12">
        <f>J16-I16</f>
        <v>609</v>
      </c>
      <c r="L16" s="12">
        <v>1051</v>
      </c>
      <c r="M16" s="12">
        <v>984</v>
      </c>
      <c r="N16" s="12">
        <f>M16-L16</f>
        <v>-67</v>
      </c>
    </row>
    <row r="17" spans="1:14" ht="16.5" customHeight="1">
      <c r="A17" s="31">
        <v>13</v>
      </c>
      <c r="B17" s="32" t="s">
        <v>90</v>
      </c>
      <c r="C17" s="12"/>
      <c r="D17" s="16"/>
      <c r="E17" s="16"/>
      <c r="F17" s="16"/>
      <c r="G17" s="16"/>
      <c r="H17" s="16"/>
      <c r="I17" s="12">
        <v>13</v>
      </c>
      <c r="J17" s="12"/>
      <c r="K17" s="12"/>
      <c r="L17" s="12">
        <v>4</v>
      </c>
      <c r="M17" s="12"/>
      <c r="N17" s="12"/>
    </row>
    <row r="18" spans="1:14" ht="21" customHeight="1">
      <c r="A18" s="129" t="s">
        <v>11</v>
      </c>
      <c r="B18" s="130"/>
      <c r="C18" s="12">
        <f>SUM(C5:C15)</f>
        <v>1345</v>
      </c>
      <c r="D18" s="12">
        <f>SUM(D5:D17)</f>
        <v>1253</v>
      </c>
      <c r="E18" s="12">
        <f>D18-C18</f>
        <v>-92</v>
      </c>
      <c r="F18" s="12">
        <f>SUM(F5:F16)</f>
        <v>230</v>
      </c>
      <c r="G18" s="12">
        <f>SUM(G5:G17)</f>
        <v>141</v>
      </c>
      <c r="H18" s="12">
        <f>G18-F18</f>
        <v>-89</v>
      </c>
      <c r="I18" s="12">
        <f>SUM(I8:I17)</f>
        <v>2135</v>
      </c>
      <c r="J18" s="12">
        <f>SUM(J5:J17)</f>
        <v>2709</v>
      </c>
      <c r="K18" s="12">
        <f>J18-I18</f>
        <v>574</v>
      </c>
      <c r="L18" s="12">
        <f>SUM(L8:L17)</f>
        <v>1124</v>
      </c>
      <c r="M18" s="12">
        <f>SUM(M5:M17)</f>
        <v>1060</v>
      </c>
      <c r="N18" s="12">
        <f>M18-L18</f>
        <v>-64</v>
      </c>
    </row>
  </sheetData>
  <sheetProtection/>
  <mergeCells count="3">
    <mergeCell ref="B2:B4"/>
    <mergeCell ref="A2:A4"/>
    <mergeCell ref="A18:B18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zoomScalePageLayoutView="0" workbookViewId="0" topLeftCell="A1">
      <selection activeCell="B33" sqref="B33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8" t="s">
        <v>108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">
      <c r="A2" s="165" t="s">
        <v>87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140" t="s">
        <v>2</v>
      </c>
      <c r="B4" s="140" t="s">
        <v>3</v>
      </c>
      <c r="C4" s="24" t="s">
        <v>27</v>
      </c>
      <c r="D4" s="25"/>
      <c r="E4" s="27"/>
      <c r="F4" s="5" t="s">
        <v>28</v>
      </c>
      <c r="G4" s="7"/>
      <c r="H4" s="23" t="s">
        <v>30</v>
      </c>
      <c r="I4" s="34" t="s">
        <v>31</v>
      </c>
      <c r="J4" s="21"/>
      <c r="K4" s="23" t="s">
        <v>30</v>
      </c>
      <c r="L4" s="50" t="s">
        <v>33</v>
      </c>
      <c r="M4" s="21"/>
      <c r="N4" s="23" t="s">
        <v>30</v>
      </c>
    </row>
    <row r="5" spans="1:14" ht="15">
      <c r="A5" s="180"/>
      <c r="B5" s="180"/>
      <c r="C5" s="18">
        <v>2010</v>
      </c>
      <c r="D5" s="19">
        <v>2011</v>
      </c>
      <c r="E5" s="19" t="s">
        <v>93</v>
      </c>
      <c r="F5" s="18">
        <v>2010</v>
      </c>
      <c r="G5" s="19">
        <v>2011</v>
      </c>
      <c r="H5" s="44" t="s">
        <v>29</v>
      </c>
      <c r="I5" s="30" t="s">
        <v>32</v>
      </c>
      <c r="J5" s="28"/>
      <c r="K5" s="44" t="s">
        <v>29</v>
      </c>
      <c r="L5" s="52" t="s">
        <v>34</v>
      </c>
      <c r="M5" s="28"/>
      <c r="N5" s="44" t="s">
        <v>29</v>
      </c>
    </row>
    <row r="6" spans="1:14" ht="15">
      <c r="A6" s="180"/>
      <c r="B6" s="180"/>
      <c r="C6" s="40"/>
      <c r="D6" s="11"/>
      <c r="E6" s="11" t="s">
        <v>94</v>
      </c>
      <c r="F6" s="29"/>
      <c r="G6" s="28"/>
      <c r="H6" s="29" t="s">
        <v>95</v>
      </c>
      <c r="I6" s="18">
        <v>2010</v>
      </c>
      <c r="J6" s="19">
        <v>2011</v>
      </c>
      <c r="K6" s="29" t="s">
        <v>95</v>
      </c>
      <c r="L6" s="18">
        <v>2010</v>
      </c>
      <c r="M6" s="19">
        <v>2011</v>
      </c>
      <c r="N6" s="29" t="s">
        <v>95</v>
      </c>
    </row>
    <row r="7" spans="1:14" ht="16.5" customHeight="1">
      <c r="A7" s="31">
        <v>1</v>
      </c>
      <c r="B7" s="31" t="s">
        <v>61</v>
      </c>
      <c r="C7" s="36">
        <v>167</v>
      </c>
      <c r="D7" s="36">
        <v>151</v>
      </c>
      <c r="E7" s="36">
        <f aca="true" t="shared" si="0" ref="E7:E18">D7*100/C7</f>
        <v>90.41916167664671</v>
      </c>
      <c r="F7" s="36">
        <v>159</v>
      </c>
      <c r="G7" s="36">
        <v>143</v>
      </c>
      <c r="H7" s="36">
        <f aca="true" t="shared" si="1" ref="H7:H18">G7-F7</f>
        <v>-16</v>
      </c>
      <c r="I7" s="36">
        <f>F7*100/180</f>
        <v>88.33333333333333</v>
      </c>
      <c r="J7" s="36">
        <f>G7*100/180</f>
        <v>79.44444444444444</v>
      </c>
      <c r="K7" s="36">
        <f aca="true" t="shared" si="2" ref="K7:K18">J7-I7</f>
        <v>-8.888888888888886</v>
      </c>
      <c r="L7" s="36">
        <f>(C7-F7)*100/180</f>
        <v>4.444444444444445</v>
      </c>
      <c r="M7" s="36">
        <f>(D7-G7)*100/180</f>
        <v>4.444444444444445</v>
      </c>
      <c r="N7" s="36">
        <f>M7-L7</f>
        <v>0</v>
      </c>
    </row>
    <row r="8" spans="1:14" ht="16.5" customHeight="1">
      <c r="A8" s="31">
        <v>2</v>
      </c>
      <c r="B8" s="31" t="s">
        <v>62</v>
      </c>
      <c r="C8" s="36">
        <v>96</v>
      </c>
      <c r="D8" s="36">
        <v>102</v>
      </c>
      <c r="E8" s="36">
        <f t="shared" si="0"/>
        <v>106.25</v>
      </c>
      <c r="F8" s="36">
        <v>92</v>
      </c>
      <c r="G8" s="36">
        <v>93</v>
      </c>
      <c r="H8" s="36">
        <f t="shared" si="1"/>
        <v>1</v>
      </c>
      <c r="I8" s="36">
        <f>F8*100/105</f>
        <v>87.61904761904762</v>
      </c>
      <c r="J8" s="36">
        <f>G8*100/105</f>
        <v>88.57142857142857</v>
      </c>
      <c r="K8" s="36">
        <f>J8-I8</f>
        <v>0.952380952380949</v>
      </c>
      <c r="L8" s="36">
        <f>(C8-F8)*100/105</f>
        <v>3.8095238095238093</v>
      </c>
      <c r="M8" s="36">
        <f>(D8-G8)*100/105</f>
        <v>8.571428571428571</v>
      </c>
      <c r="N8" s="36">
        <f>M8-L8</f>
        <v>4.761904761904762</v>
      </c>
    </row>
    <row r="9" spans="1:14" ht="16.5" customHeight="1">
      <c r="A9" s="31">
        <v>3</v>
      </c>
      <c r="B9" s="31" t="s">
        <v>63</v>
      </c>
      <c r="C9" s="36">
        <v>54</v>
      </c>
      <c r="D9" s="36">
        <v>60</v>
      </c>
      <c r="E9" s="36">
        <f t="shared" si="0"/>
        <v>111.11111111111111</v>
      </c>
      <c r="F9" s="36">
        <v>44</v>
      </c>
      <c r="G9" s="36">
        <v>54</v>
      </c>
      <c r="H9" s="36">
        <f t="shared" si="1"/>
        <v>10</v>
      </c>
      <c r="I9" s="36">
        <f>F9*100/54</f>
        <v>81.48148148148148</v>
      </c>
      <c r="J9" s="36">
        <f>G9*100/60</f>
        <v>90</v>
      </c>
      <c r="K9" s="36">
        <f>J9-I9</f>
        <v>8.518518518518519</v>
      </c>
      <c r="L9" s="36">
        <f>(C9-F9)*100/54</f>
        <v>18.51851851851852</v>
      </c>
      <c r="M9" s="36">
        <f>(D9-G9)*100/60</f>
        <v>10</v>
      </c>
      <c r="N9" s="36">
        <f>M9-L9</f>
        <v>-8.518518518518519</v>
      </c>
    </row>
    <row r="10" spans="1:14" ht="16.5" customHeight="1">
      <c r="A10" s="31">
        <v>4</v>
      </c>
      <c r="B10" s="22" t="s">
        <v>64</v>
      </c>
      <c r="C10" s="36">
        <v>216</v>
      </c>
      <c r="D10" s="36">
        <v>209</v>
      </c>
      <c r="E10" s="36">
        <f t="shared" si="0"/>
        <v>96.75925925925925</v>
      </c>
      <c r="F10" s="36">
        <v>185</v>
      </c>
      <c r="G10" s="36">
        <v>167</v>
      </c>
      <c r="H10" s="36">
        <f t="shared" si="1"/>
        <v>-18</v>
      </c>
      <c r="I10" s="36">
        <f>F10*100/304</f>
        <v>60.85526315789474</v>
      </c>
      <c r="J10" s="36">
        <f>G10*100/308</f>
        <v>54.22077922077922</v>
      </c>
      <c r="K10" s="36">
        <f t="shared" si="2"/>
        <v>-6.634483937115519</v>
      </c>
      <c r="L10" s="36">
        <f>(C10-F10)*100/304</f>
        <v>10.197368421052632</v>
      </c>
      <c r="M10" s="36">
        <f>(D10-G10)*100/308</f>
        <v>13.636363636363637</v>
      </c>
      <c r="N10" s="36">
        <f aca="true" t="shared" si="3" ref="N10:N18">M10-L10</f>
        <v>3.438995215311005</v>
      </c>
    </row>
    <row r="11" spans="1:14" ht="16.5" customHeight="1">
      <c r="A11" s="31">
        <v>5</v>
      </c>
      <c r="B11" s="31" t="s">
        <v>65</v>
      </c>
      <c r="C11" s="36">
        <v>225</v>
      </c>
      <c r="D11" s="36">
        <v>108</v>
      </c>
      <c r="E11" s="36">
        <f t="shared" si="0"/>
        <v>48</v>
      </c>
      <c r="F11" s="36">
        <v>189</v>
      </c>
      <c r="G11" s="36">
        <v>100</v>
      </c>
      <c r="H11" s="36">
        <f t="shared" si="1"/>
        <v>-89</v>
      </c>
      <c r="I11" s="36">
        <f>F11*100/250</f>
        <v>75.6</v>
      </c>
      <c r="J11" s="36">
        <f>G11*100/280</f>
        <v>35.714285714285715</v>
      </c>
      <c r="K11" s="36">
        <f t="shared" si="2"/>
        <v>-39.88571428571428</v>
      </c>
      <c r="L11" s="36">
        <f>(C11-F11)*100/250</f>
        <v>14.4</v>
      </c>
      <c r="M11" s="36">
        <f>(D11-G11)*100/280</f>
        <v>2.857142857142857</v>
      </c>
      <c r="N11" s="36">
        <f t="shared" si="3"/>
        <v>-11.542857142857143</v>
      </c>
    </row>
    <row r="12" spans="1:14" ht="16.5" customHeight="1">
      <c r="A12" s="31">
        <v>6</v>
      </c>
      <c r="B12" s="32" t="s">
        <v>80</v>
      </c>
      <c r="C12" s="94">
        <v>123</v>
      </c>
      <c r="D12" s="94">
        <v>101</v>
      </c>
      <c r="E12" s="36">
        <f t="shared" si="0"/>
        <v>82.11382113821138</v>
      </c>
      <c r="F12" s="94">
        <v>102</v>
      </c>
      <c r="G12" s="94">
        <v>86</v>
      </c>
      <c r="H12" s="36">
        <f t="shared" si="1"/>
        <v>-16</v>
      </c>
      <c r="I12" s="94">
        <f>F12*100/85</f>
        <v>120</v>
      </c>
      <c r="J12" s="94">
        <f>G12*100/85</f>
        <v>101.17647058823529</v>
      </c>
      <c r="K12" s="36">
        <f t="shared" si="2"/>
        <v>-18.82352941176471</v>
      </c>
      <c r="L12" s="36">
        <f>(C12-F12)*100/85</f>
        <v>24.705882352941178</v>
      </c>
      <c r="M12" s="36">
        <f>(D12-G12)*100/85</f>
        <v>17.647058823529413</v>
      </c>
      <c r="N12" s="94">
        <f t="shared" si="3"/>
        <v>-7.0588235294117645</v>
      </c>
    </row>
    <row r="13" spans="1:14" ht="16.5" customHeight="1">
      <c r="A13" s="31">
        <v>7</v>
      </c>
      <c r="B13" s="32" t="s">
        <v>66</v>
      </c>
      <c r="C13" s="94">
        <v>46</v>
      </c>
      <c r="D13" s="94">
        <v>66</v>
      </c>
      <c r="E13" s="36">
        <f t="shared" si="0"/>
        <v>143.47826086956522</v>
      </c>
      <c r="F13" s="94">
        <v>38</v>
      </c>
      <c r="G13" s="94">
        <v>58</v>
      </c>
      <c r="H13" s="36">
        <f t="shared" si="1"/>
        <v>20</v>
      </c>
      <c r="I13" s="94">
        <f>F13*100/52</f>
        <v>73.07692307692308</v>
      </c>
      <c r="J13" s="94">
        <f>G13*100/60</f>
        <v>96.66666666666667</v>
      </c>
      <c r="K13" s="36">
        <f t="shared" si="2"/>
        <v>23.58974358974359</v>
      </c>
      <c r="L13" s="36">
        <f>(C13-F13)*100/52</f>
        <v>15.384615384615385</v>
      </c>
      <c r="M13" s="36">
        <f>(D13-G13)*100/60</f>
        <v>13.333333333333334</v>
      </c>
      <c r="N13" s="94">
        <f t="shared" si="3"/>
        <v>-2.051282051282051</v>
      </c>
    </row>
    <row r="14" spans="1:14" ht="16.5" customHeight="1">
      <c r="A14" s="31">
        <v>8</v>
      </c>
      <c r="B14" s="32" t="s">
        <v>101</v>
      </c>
      <c r="C14" s="124"/>
      <c r="D14" s="94">
        <v>9</v>
      </c>
      <c r="E14" s="36"/>
      <c r="F14" s="94"/>
      <c r="G14" s="94"/>
      <c r="H14" s="36"/>
      <c r="I14" s="94"/>
      <c r="J14" s="94"/>
      <c r="K14" s="36"/>
      <c r="L14" s="36"/>
      <c r="M14" s="36"/>
      <c r="N14" s="94"/>
    </row>
    <row r="15" spans="1:14" ht="16.5" customHeight="1">
      <c r="A15" s="31">
        <v>9</v>
      </c>
      <c r="B15" s="32" t="s">
        <v>79</v>
      </c>
      <c r="C15" s="94">
        <v>81</v>
      </c>
      <c r="D15" s="94">
        <v>92</v>
      </c>
      <c r="E15" s="36">
        <f t="shared" si="0"/>
        <v>113.58024691358025</v>
      </c>
      <c r="F15" s="94">
        <v>62</v>
      </c>
      <c r="G15" s="94">
        <v>80</v>
      </c>
      <c r="H15" s="36">
        <f t="shared" si="1"/>
        <v>18</v>
      </c>
      <c r="I15" s="94">
        <f>F15*100/60</f>
        <v>103.33333333333333</v>
      </c>
      <c r="J15" s="94">
        <f>G15*100/78</f>
        <v>102.56410256410257</v>
      </c>
      <c r="K15" s="36">
        <f t="shared" si="2"/>
        <v>-0.7692307692307594</v>
      </c>
      <c r="L15" s="36">
        <f>(C15-F15)*100/60</f>
        <v>31.666666666666668</v>
      </c>
      <c r="M15" s="36">
        <f>(D15-G15)*100/78</f>
        <v>15.384615384615385</v>
      </c>
      <c r="N15" s="94">
        <f t="shared" si="3"/>
        <v>-16.282051282051285</v>
      </c>
    </row>
    <row r="16" spans="1:14" ht="16.5" customHeight="1">
      <c r="A16" s="31">
        <v>10</v>
      </c>
      <c r="B16" s="32" t="s">
        <v>67</v>
      </c>
      <c r="C16" s="94">
        <v>127</v>
      </c>
      <c r="D16" s="94">
        <v>75</v>
      </c>
      <c r="E16" s="36">
        <f t="shared" si="0"/>
        <v>59.05511811023622</v>
      </c>
      <c r="F16" s="94">
        <v>99</v>
      </c>
      <c r="G16" s="94">
        <v>75</v>
      </c>
      <c r="H16" s="36">
        <f t="shared" si="1"/>
        <v>-24</v>
      </c>
      <c r="I16" s="94">
        <f>F16*100/100</f>
        <v>99</v>
      </c>
      <c r="J16" s="94">
        <f>G16*100/100</f>
        <v>75</v>
      </c>
      <c r="K16" s="36">
        <f t="shared" si="2"/>
        <v>-24</v>
      </c>
      <c r="L16" s="36">
        <f>(C16-F16)*100/100</f>
        <v>28</v>
      </c>
      <c r="M16" s="36">
        <f>(D16-G16)*100/100</f>
        <v>0</v>
      </c>
      <c r="N16" s="94">
        <f t="shared" si="3"/>
        <v>-28</v>
      </c>
    </row>
    <row r="17" spans="1:14" ht="16.5" customHeight="1">
      <c r="A17" s="31">
        <v>11</v>
      </c>
      <c r="B17" s="32" t="s">
        <v>68</v>
      </c>
      <c r="C17" s="94">
        <v>46</v>
      </c>
      <c r="D17" s="94">
        <v>35</v>
      </c>
      <c r="E17" s="36">
        <f t="shared" si="0"/>
        <v>76.08695652173913</v>
      </c>
      <c r="F17" s="94">
        <v>42</v>
      </c>
      <c r="G17" s="94">
        <v>35</v>
      </c>
      <c r="H17" s="36">
        <f t="shared" si="1"/>
        <v>-7</v>
      </c>
      <c r="I17" s="94">
        <f>F17*100/42</f>
        <v>100</v>
      </c>
      <c r="J17" s="94">
        <f>G17*100/42</f>
        <v>83.33333333333333</v>
      </c>
      <c r="K17" s="36">
        <f t="shared" si="2"/>
        <v>-16.66666666666667</v>
      </c>
      <c r="L17" s="36">
        <f>(C17-F17)*100/42</f>
        <v>9.523809523809524</v>
      </c>
      <c r="M17" s="36">
        <f>(D17-G17)*100/42</f>
        <v>0</v>
      </c>
      <c r="N17" s="94">
        <f t="shared" si="3"/>
        <v>-9.523809523809524</v>
      </c>
    </row>
    <row r="18" spans="1:14" ht="16.5" customHeight="1">
      <c r="A18" s="129" t="s">
        <v>78</v>
      </c>
      <c r="B18" s="179"/>
      <c r="C18" s="36">
        <f>SUM(C7:C17)</f>
        <v>1181</v>
      </c>
      <c r="D18" s="3">
        <f>SUM(D7:D17)</f>
        <v>1008</v>
      </c>
      <c r="E18" s="36">
        <f t="shared" si="0"/>
        <v>85.35139712108382</v>
      </c>
      <c r="F18" s="3">
        <f>SUM(F7:F17)</f>
        <v>1012</v>
      </c>
      <c r="G18" s="3">
        <f>SUM(G7:G17)</f>
        <v>891</v>
      </c>
      <c r="H18" s="36">
        <f t="shared" si="1"/>
        <v>-121</v>
      </c>
      <c r="I18" s="36">
        <f>F18*100/1232</f>
        <v>82.14285714285714</v>
      </c>
      <c r="J18" s="36">
        <f>G18*100/1298</f>
        <v>68.64406779661017</v>
      </c>
      <c r="K18" s="36">
        <f t="shared" si="2"/>
        <v>-13.498789346246966</v>
      </c>
      <c r="L18" s="36">
        <f>(C18-F18)*100/1232</f>
        <v>13.717532467532468</v>
      </c>
      <c r="M18" s="36">
        <f>(D18-G18)*100/1298</f>
        <v>9.01386748844376</v>
      </c>
      <c r="N18" s="36">
        <f t="shared" si="3"/>
        <v>-4.703664979088709</v>
      </c>
    </row>
  </sheetData>
  <sheetProtection/>
  <mergeCells count="5">
    <mergeCell ref="A2:N2"/>
    <mergeCell ref="A1:N1"/>
    <mergeCell ref="A18:B18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E21" sqref="E21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65" t="s">
        <v>12</v>
      </c>
      <c r="B1" s="165"/>
      <c r="C1" s="165"/>
      <c r="D1" s="165"/>
      <c r="E1" s="165"/>
      <c r="F1" s="165"/>
      <c r="G1" s="79"/>
      <c r="H1" s="79"/>
      <c r="I1" s="79"/>
    </row>
    <row r="2" spans="1:9" ht="15.75">
      <c r="A2" s="181" t="s">
        <v>105</v>
      </c>
      <c r="B2" s="181"/>
      <c r="C2" s="181"/>
      <c r="D2" s="181"/>
      <c r="E2" s="181"/>
      <c r="F2" s="181"/>
      <c r="G2" s="79"/>
      <c r="H2" s="79"/>
      <c r="I2" s="79"/>
    </row>
    <row r="3" spans="1:9" ht="15">
      <c r="A3" s="4" t="s">
        <v>2</v>
      </c>
      <c r="B3" s="4" t="s">
        <v>3</v>
      </c>
      <c r="C3" s="5" t="s">
        <v>45</v>
      </c>
      <c r="D3" s="6"/>
      <c r="E3" s="5" t="s">
        <v>46</v>
      </c>
      <c r="F3" s="7"/>
      <c r="G3" s="79"/>
      <c r="H3" s="79"/>
      <c r="I3" s="79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9"/>
      <c r="H4" s="79"/>
      <c r="I4" s="79"/>
    </row>
    <row r="5" spans="1:9" ht="15">
      <c r="A5" s="3">
        <v>1</v>
      </c>
      <c r="B5" s="22" t="s">
        <v>61</v>
      </c>
      <c r="C5" s="36">
        <f>(молоко!C6*1000)/1875</f>
        <v>235.09333333333333</v>
      </c>
      <c r="D5" s="36">
        <f>(молоко!D6*1000)/1875</f>
        <v>208.53333333333333</v>
      </c>
      <c r="E5" s="36">
        <f>(мясо!C7*1000)/1875</f>
        <v>17.28</v>
      </c>
      <c r="F5" s="36">
        <f>(мясо!D7*1000)/1875</f>
        <v>21.173333333333332</v>
      </c>
      <c r="H5" s="79"/>
      <c r="I5" s="79"/>
    </row>
    <row r="6" spans="1:9" ht="15">
      <c r="A6" s="3">
        <v>2</v>
      </c>
      <c r="B6" s="22" t="s">
        <v>62</v>
      </c>
      <c r="C6" s="36">
        <f>(молоко!C7*1000)/799</f>
        <v>372.9662077596996</v>
      </c>
      <c r="D6" s="36">
        <f>(молоко!D7*1000)/799</f>
        <v>314.1426783479349</v>
      </c>
      <c r="E6" s="36">
        <f>(мясо!C8*1000)/799</f>
        <v>12.14017521902378</v>
      </c>
      <c r="F6" s="36">
        <f>(мясо!D8*1000)/799</f>
        <v>22.02753441802253</v>
      </c>
      <c r="H6" s="79"/>
      <c r="I6" s="79"/>
    </row>
    <row r="7" spans="1:9" ht="15">
      <c r="A7" s="3">
        <v>3</v>
      </c>
      <c r="B7" s="22" t="s">
        <v>63</v>
      </c>
      <c r="C7" s="36">
        <f>(молоко!C8*1000)/2025</f>
        <v>99.25925925925925</v>
      </c>
      <c r="D7" s="36">
        <f>(молоко!D8*1000)/2025</f>
        <v>98.0246913580247</v>
      </c>
      <c r="E7" s="36">
        <f>(мясо!C9*1000)/2025</f>
        <v>3.2098765432098766</v>
      </c>
      <c r="F7" s="36">
        <f>(мясо!D9*1000)/2025</f>
        <v>5.145679012345679</v>
      </c>
      <c r="H7" s="79"/>
      <c r="I7" s="79"/>
    </row>
    <row r="8" spans="1:9" ht="15">
      <c r="A8" s="3">
        <v>4</v>
      </c>
      <c r="B8" s="38" t="s">
        <v>64</v>
      </c>
      <c r="C8" s="36">
        <f>(молоко!C9*1000)/2478</f>
        <v>344.6327683615819</v>
      </c>
      <c r="D8" s="36">
        <f>(молоко!D9*1000)/2478</f>
        <v>325.1008878127522</v>
      </c>
      <c r="E8" s="36">
        <f>(мясо!C10*1000)/2478</f>
        <v>35.99677158999193</v>
      </c>
      <c r="F8" s="36">
        <f>(мясо!D10*1000)/2478</f>
        <v>49.87893462469734</v>
      </c>
      <c r="H8" s="79"/>
      <c r="I8" s="79"/>
    </row>
    <row r="9" spans="1:9" ht="15">
      <c r="A9" s="3">
        <v>5</v>
      </c>
      <c r="B9" s="22" t="s">
        <v>65</v>
      </c>
      <c r="C9" s="36">
        <f>(молоко!C10*1000)/2157</f>
        <v>250.34770514603616</v>
      </c>
      <c r="D9" s="36">
        <f>(молоко!D10*1000)/2157</f>
        <v>191.93324061196105</v>
      </c>
      <c r="E9" s="36">
        <f>(мясо!C11*1000)/2157</f>
        <v>33.843300880853036</v>
      </c>
      <c r="F9" s="36">
        <f>(мясо!D11*1000)/2157</f>
        <v>33.843300880853036</v>
      </c>
      <c r="H9" s="79"/>
      <c r="I9" s="79"/>
    </row>
    <row r="10" spans="1:9" ht="15">
      <c r="A10" s="3">
        <v>6</v>
      </c>
      <c r="B10" s="38" t="s">
        <v>80</v>
      </c>
      <c r="C10" s="36">
        <f>(молоко!C11*1000)/859</f>
        <v>386.2107101280559</v>
      </c>
      <c r="D10" s="36">
        <f>(молоко!D11*1000)/859</f>
        <v>386.7287543655413</v>
      </c>
      <c r="E10" s="36">
        <f>(мясо!C12*1000)/859</f>
        <v>31.082654249126893</v>
      </c>
      <c r="F10" s="36">
        <f>(мясо!D12*1000)/859</f>
        <v>34.22584400465658</v>
      </c>
      <c r="H10" s="79"/>
      <c r="I10" s="79"/>
    </row>
    <row r="11" spans="1:9" ht="15">
      <c r="A11" s="3">
        <v>7</v>
      </c>
      <c r="B11" s="38" t="s">
        <v>66</v>
      </c>
      <c r="C11" s="36">
        <f>(молоко!C12*1000)/1482</f>
        <v>97.97570850202429</v>
      </c>
      <c r="D11" s="36">
        <f>(молоко!D12*1000)/1482</f>
        <v>145.96018893387316</v>
      </c>
      <c r="E11" s="36">
        <f>(мясо!C13*1000)/1482</f>
        <v>5.937921727395412</v>
      </c>
      <c r="F11" s="36">
        <f>(мясо!D13*1000)/1482</f>
        <v>0.6747638326585695</v>
      </c>
      <c r="H11" s="79"/>
      <c r="I11" s="79"/>
    </row>
    <row r="12" spans="1:9" ht="15">
      <c r="A12" s="3">
        <v>8</v>
      </c>
      <c r="B12" s="32" t="s">
        <v>101</v>
      </c>
      <c r="C12" s="36"/>
      <c r="D12" s="36"/>
      <c r="E12" s="36"/>
      <c r="F12" s="36"/>
      <c r="H12" s="79"/>
      <c r="I12" s="79"/>
    </row>
    <row r="13" spans="1:9" ht="15.75" customHeight="1">
      <c r="A13" s="3">
        <v>9</v>
      </c>
      <c r="B13" s="32" t="s">
        <v>79</v>
      </c>
      <c r="C13" s="36">
        <f>(молоко!C14*1000)/1077</f>
        <v>291.76230269266483</v>
      </c>
      <c r="D13" s="36">
        <f>(молоко!D14*1000)/1077</f>
        <v>351.7641597028784</v>
      </c>
      <c r="E13" s="36">
        <f>(мясо!C15*1000)/1077</f>
        <v>10.677808727948003</v>
      </c>
      <c r="F13" s="36">
        <f>(мясо!D15*1000)/1077</f>
        <v>17.76230269266481</v>
      </c>
      <c r="H13" s="79"/>
      <c r="I13" s="79"/>
    </row>
    <row r="14" spans="1:9" ht="15">
      <c r="A14" s="3">
        <v>10</v>
      </c>
      <c r="B14" s="38" t="s">
        <v>67</v>
      </c>
      <c r="C14" s="36">
        <f>(молоко!C15*1000)/1084</f>
        <v>151.29151291512915</v>
      </c>
      <c r="D14" s="36">
        <f>(молоко!D15*1000)/1084</f>
        <v>239.85239852398524</v>
      </c>
      <c r="E14" s="36">
        <f>(мясо!C16*1000)/1084</f>
        <v>16.725092250922508</v>
      </c>
      <c r="F14" s="36">
        <f>(мясо!D16*1000)/1084</f>
        <v>14.944649446494465</v>
      </c>
      <c r="H14" s="79"/>
      <c r="I14" s="79"/>
    </row>
    <row r="15" spans="1:9" ht="15">
      <c r="A15" s="3">
        <v>11</v>
      </c>
      <c r="B15" s="38" t="s">
        <v>68</v>
      </c>
      <c r="C15" s="36">
        <f>(молоко!C16*1000)/674</f>
        <v>157.86350148367953</v>
      </c>
      <c r="D15" s="36">
        <f>(молоко!D16*1000)/674</f>
        <v>175.81602373887242</v>
      </c>
      <c r="E15" s="36">
        <f>(мясо!C17*1000)/674</f>
        <v>9.792284866468842</v>
      </c>
      <c r="F15" s="36">
        <f>(мясо!D17*1000)/674</f>
        <v>22.403560830860535</v>
      </c>
      <c r="H15" s="79"/>
      <c r="I15" s="79"/>
    </row>
    <row r="16" spans="1:9" ht="15">
      <c r="A16" s="3">
        <v>12</v>
      </c>
      <c r="B16" s="38" t="s">
        <v>69</v>
      </c>
      <c r="C16" s="36"/>
      <c r="D16" s="36"/>
      <c r="E16" s="36">
        <f>(мясо!C18*1000)/983</f>
        <v>766.0223804679553</v>
      </c>
      <c r="F16" s="36">
        <f>(мясо!D18*1000)/983</f>
        <v>922.6856561546286</v>
      </c>
      <c r="H16" s="79"/>
      <c r="I16" s="79"/>
    </row>
    <row r="17" spans="1:6" ht="15">
      <c r="A17" s="129" t="s">
        <v>11</v>
      </c>
      <c r="B17" s="130"/>
      <c r="C17" s="36">
        <f>(молоко!C17*1000)/22877</f>
        <v>148.41906718538272</v>
      </c>
      <c r="D17" s="36">
        <f>(молоко!D17*1000)/22877</f>
        <v>147.3739126633737</v>
      </c>
      <c r="E17" s="36">
        <f>(мясо!C22*1000)/22877</f>
        <v>45.39624950823972</v>
      </c>
      <c r="F17" s="36">
        <f>(мясо!D22*1000)/22877</f>
        <v>55.21571884425404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75" zoomScaleSheetLayoutView="70" zoomScalePageLayoutView="0" workbookViewId="0" topLeftCell="A1">
      <selection activeCell="D43" sqref="D43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107</v>
      </c>
      <c r="D1" s="43"/>
      <c r="E1" s="43"/>
      <c r="F1" s="14"/>
      <c r="G1" s="14"/>
      <c r="H1" s="14"/>
      <c r="I1" s="14"/>
      <c r="J1" s="14"/>
      <c r="K1" s="14"/>
    </row>
    <row r="2" spans="1:11" ht="18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43" t="s">
        <v>2</v>
      </c>
      <c r="B3" s="182" t="s">
        <v>3</v>
      </c>
      <c r="C3" s="54" t="s">
        <v>13</v>
      </c>
      <c r="D3" s="55"/>
      <c r="E3" s="56"/>
      <c r="F3" s="57" t="s">
        <v>14</v>
      </c>
      <c r="G3" s="58" t="s">
        <v>17</v>
      </c>
      <c r="H3" s="59" t="s">
        <v>19</v>
      </c>
      <c r="I3" s="60"/>
      <c r="J3" s="53"/>
      <c r="K3" s="53" t="s">
        <v>20</v>
      </c>
    </row>
    <row r="4" spans="1:11" ht="18">
      <c r="A4" s="158"/>
      <c r="B4" s="158"/>
      <c r="C4" s="61">
        <v>2010</v>
      </c>
      <c r="D4" s="57">
        <v>2011</v>
      </c>
      <c r="E4" s="57" t="s">
        <v>93</v>
      </c>
      <c r="F4" s="62" t="s">
        <v>15</v>
      </c>
      <c r="G4" s="63" t="s">
        <v>18</v>
      </c>
      <c r="H4" s="61">
        <v>2010</v>
      </c>
      <c r="I4" s="57">
        <v>2011</v>
      </c>
      <c r="J4" s="57" t="s">
        <v>93</v>
      </c>
      <c r="K4" s="64" t="s">
        <v>21</v>
      </c>
    </row>
    <row r="5" spans="1:11" ht="18">
      <c r="A5" s="144"/>
      <c r="B5" s="144"/>
      <c r="C5" s="65"/>
      <c r="D5" s="66"/>
      <c r="E5" s="66" t="s">
        <v>94</v>
      </c>
      <c r="F5" s="66" t="s">
        <v>16</v>
      </c>
      <c r="G5" s="67"/>
      <c r="H5" s="65"/>
      <c r="I5" s="66"/>
      <c r="J5" s="66" t="s">
        <v>94</v>
      </c>
      <c r="K5" s="68" t="s">
        <v>0</v>
      </c>
    </row>
    <row r="6" spans="1:11" ht="16.5" customHeight="1">
      <c r="A6" s="31">
        <v>1</v>
      </c>
      <c r="B6" s="69" t="s">
        <v>61</v>
      </c>
      <c r="C6" s="12">
        <v>440.8</v>
      </c>
      <c r="D6" s="12">
        <v>391</v>
      </c>
      <c r="E6" s="13">
        <f aca="true" t="shared" si="0" ref="E6:E16">D6/C6*100</f>
        <v>88.70235934664247</v>
      </c>
      <c r="F6" s="12">
        <v>319</v>
      </c>
      <c r="G6" s="13">
        <f aca="true" t="shared" si="1" ref="G6:G16">F6/D6*100</f>
        <v>81.58567774936061</v>
      </c>
      <c r="H6" s="17">
        <f>C6/'численность 1'!J6*1000</f>
        <v>2448.8888888888887</v>
      </c>
      <c r="I6" s="17">
        <f>D6/'численность 1'!K6*1000</f>
        <v>2172.222222222222</v>
      </c>
      <c r="J6" s="13">
        <f aca="true" t="shared" si="2" ref="J6:J17">I6/H6*100</f>
        <v>88.70235934664248</v>
      </c>
      <c r="K6" s="12">
        <v>527</v>
      </c>
    </row>
    <row r="7" spans="1:11" ht="16.5" customHeight="1">
      <c r="A7" s="31">
        <v>2</v>
      </c>
      <c r="B7" s="69" t="s">
        <v>62</v>
      </c>
      <c r="C7" s="12">
        <v>298</v>
      </c>
      <c r="D7" s="12">
        <v>251</v>
      </c>
      <c r="E7" s="13">
        <f t="shared" si="0"/>
        <v>84.22818791946308</v>
      </c>
      <c r="F7" s="12">
        <v>209</v>
      </c>
      <c r="G7" s="13">
        <f t="shared" si="1"/>
        <v>83.26693227091634</v>
      </c>
      <c r="H7" s="17">
        <f>C7/'численность 1'!J7*1000</f>
        <v>2838.095238095238</v>
      </c>
      <c r="I7" s="13">
        <f>D7/'численность 1'!K7*1000</f>
        <v>2390.4761904761904</v>
      </c>
      <c r="J7" s="13">
        <f t="shared" si="2"/>
        <v>84.22818791946308</v>
      </c>
      <c r="K7" s="12"/>
    </row>
    <row r="8" spans="1:11" ht="16.5" customHeight="1">
      <c r="A8" s="31">
        <v>3</v>
      </c>
      <c r="B8" s="69" t="s">
        <v>63</v>
      </c>
      <c r="C8" s="12">
        <v>201</v>
      </c>
      <c r="D8" s="12">
        <v>198.5</v>
      </c>
      <c r="E8" s="13">
        <f t="shared" si="0"/>
        <v>98.75621890547264</v>
      </c>
      <c r="F8" s="12">
        <v>135.5</v>
      </c>
      <c r="G8" s="13">
        <f t="shared" si="1"/>
        <v>68.26196473551637</v>
      </c>
      <c r="H8" s="17">
        <f>C8/'численность 1'!J8*1000</f>
        <v>3589.285714285714</v>
      </c>
      <c r="I8" s="13">
        <f>D8/'численность 1'!K8*1000</f>
        <v>3308.333333333333</v>
      </c>
      <c r="J8" s="13">
        <f t="shared" si="2"/>
        <v>92.17247097844113</v>
      </c>
      <c r="K8" s="12"/>
    </row>
    <row r="9" spans="1:11" ht="16.5" customHeight="1">
      <c r="A9" s="31">
        <v>4</v>
      </c>
      <c r="B9" s="69" t="s">
        <v>64</v>
      </c>
      <c r="C9" s="12">
        <v>854</v>
      </c>
      <c r="D9" s="12">
        <v>805.6</v>
      </c>
      <c r="E9" s="13">
        <f t="shared" si="0"/>
        <v>94.33255269320844</v>
      </c>
      <c r="F9" s="12">
        <v>735.2</v>
      </c>
      <c r="G9" s="13">
        <f t="shared" si="1"/>
        <v>91.26117179741807</v>
      </c>
      <c r="H9" s="17">
        <f>C9/'численность 1'!J9*1000</f>
        <v>2800</v>
      </c>
      <c r="I9" s="13">
        <f>D9/'численность 1'!K9*1000</f>
        <v>2615.5844155844156</v>
      </c>
      <c r="J9" s="13">
        <f t="shared" si="2"/>
        <v>93.41372912801485</v>
      </c>
      <c r="K9" s="12"/>
    </row>
    <row r="10" spans="1:11" ht="16.5" customHeight="1">
      <c r="A10" s="31">
        <v>5</v>
      </c>
      <c r="B10" s="70" t="s">
        <v>65</v>
      </c>
      <c r="C10" s="12">
        <v>540</v>
      </c>
      <c r="D10" s="12">
        <v>414</v>
      </c>
      <c r="E10" s="13">
        <f t="shared" si="0"/>
        <v>76.66666666666667</v>
      </c>
      <c r="F10" s="12">
        <v>345</v>
      </c>
      <c r="G10" s="13">
        <f t="shared" si="1"/>
        <v>83.33333333333334</v>
      </c>
      <c r="H10" s="17">
        <f>C10/'численность 1'!J10*1000</f>
        <v>2061.0687022900765</v>
      </c>
      <c r="I10" s="13">
        <f>D10/'численность 1'!K10*1000</f>
        <v>1478.5714285714287</v>
      </c>
      <c r="J10" s="13">
        <f t="shared" si="2"/>
        <v>71.73809523809524</v>
      </c>
      <c r="K10" s="12"/>
    </row>
    <row r="11" spans="1:11" ht="16.5" customHeight="1">
      <c r="A11" s="31">
        <v>6</v>
      </c>
      <c r="B11" s="70" t="s">
        <v>80</v>
      </c>
      <c r="C11" s="16">
        <v>331.755</v>
      </c>
      <c r="D11" s="16">
        <v>332.2</v>
      </c>
      <c r="E11" s="13">
        <f t="shared" si="0"/>
        <v>100.13413512983979</v>
      </c>
      <c r="F11" s="16">
        <v>241.4</v>
      </c>
      <c r="G11" s="17">
        <f t="shared" si="1"/>
        <v>72.66706803130644</v>
      </c>
      <c r="H11" s="17">
        <f>C11/'численность 1'!J11*1000</f>
        <v>3903</v>
      </c>
      <c r="I11" s="13">
        <f>D11/'численность 1'!K11*1000</f>
        <v>3908.235294117647</v>
      </c>
      <c r="J11" s="13">
        <f t="shared" si="2"/>
        <v>100.13413512983979</v>
      </c>
      <c r="K11" s="16">
        <v>300.3</v>
      </c>
    </row>
    <row r="12" spans="1:11" ht="16.5" customHeight="1">
      <c r="A12" s="31">
        <v>7</v>
      </c>
      <c r="B12" s="70" t="s">
        <v>66</v>
      </c>
      <c r="C12" s="16">
        <v>145.2</v>
      </c>
      <c r="D12" s="16">
        <v>216.313</v>
      </c>
      <c r="E12" s="13">
        <f t="shared" si="0"/>
        <v>148.9758953168044</v>
      </c>
      <c r="F12" s="16">
        <v>183.443</v>
      </c>
      <c r="G12" s="17">
        <f t="shared" si="1"/>
        <v>84.80442691840067</v>
      </c>
      <c r="H12" s="17">
        <f>C12/'численность 1'!J12*1000</f>
        <v>2688.8888888888887</v>
      </c>
      <c r="I12" s="13">
        <f>D12/'численность 1'!K12*1000</f>
        <v>3605.2166666666662</v>
      </c>
      <c r="J12" s="13">
        <f t="shared" si="2"/>
        <v>134.07830578512397</v>
      </c>
      <c r="K12" s="16">
        <v>57.5</v>
      </c>
    </row>
    <row r="13" spans="1:11" ht="16.5" customHeight="1">
      <c r="A13" s="31">
        <v>8</v>
      </c>
      <c r="B13" s="70" t="s">
        <v>101</v>
      </c>
      <c r="C13" s="16"/>
      <c r="D13" s="16">
        <v>5.51</v>
      </c>
      <c r="E13" s="13"/>
      <c r="F13" s="16">
        <v>1.05</v>
      </c>
      <c r="G13" s="17">
        <f t="shared" si="1"/>
        <v>19.056261343012707</v>
      </c>
      <c r="H13" s="17"/>
      <c r="I13" s="13"/>
      <c r="J13" s="13"/>
      <c r="K13" s="16">
        <v>79.7</v>
      </c>
    </row>
    <row r="14" spans="1:11" ht="16.5" customHeight="1">
      <c r="A14" s="31">
        <v>9</v>
      </c>
      <c r="B14" s="70" t="s">
        <v>79</v>
      </c>
      <c r="C14" s="16">
        <v>314.228</v>
      </c>
      <c r="D14" s="16">
        <v>378.85</v>
      </c>
      <c r="E14" s="17">
        <f t="shared" si="0"/>
        <v>120.56532199549372</v>
      </c>
      <c r="F14" s="16">
        <v>365</v>
      </c>
      <c r="G14" s="17">
        <f t="shared" si="1"/>
        <v>96.34419955127359</v>
      </c>
      <c r="H14" s="17">
        <f>C14/'численность 1'!J14*1000</f>
        <v>4621</v>
      </c>
      <c r="I14" s="17">
        <f>D14/'численность 1'!K14*1000</f>
        <v>4857.051282051282</v>
      </c>
      <c r="J14" s="13">
        <f t="shared" si="2"/>
        <v>105.1082294319689</v>
      </c>
      <c r="K14" s="16"/>
    </row>
    <row r="15" spans="1:11" ht="16.5" customHeight="1">
      <c r="A15" s="31">
        <v>10</v>
      </c>
      <c r="B15" s="70" t="s">
        <v>67</v>
      </c>
      <c r="C15" s="16">
        <v>164</v>
      </c>
      <c r="D15" s="16">
        <v>260</v>
      </c>
      <c r="E15" s="13">
        <f t="shared" si="0"/>
        <v>158.53658536585365</v>
      </c>
      <c r="F15" s="16">
        <v>207</v>
      </c>
      <c r="G15" s="17">
        <f t="shared" si="1"/>
        <v>79.61538461538461</v>
      </c>
      <c r="H15" s="17">
        <f>C15/'численность 1'!J15*1000</f>
        <v>1640</v>
      </c>
      <c r="I15" s="13">
        <f>D15/'численность 1'!K15*1000</f>
        <v>2600</v>
      </c>
      <c r="J15" s="13">
        <f t="shared" si="2"/>
        <v>158.53658536585365</v>
      </c>
      <c r="K15" s="16"/>
    </row>
    <row r="16" spans="1:11" ht="16.5" customHeight="1">
      <c r="A16" s="31">
        <v>11</v>
      </c>
      <c r="B16" s="70" t="s">
        <v>68</v>
      </c>
      <c r="C16" s="16">
        <v>106.4</v>
      </c>
      <c r="D16" s="16">
        <v>118.5</v>
      </c>
      <c r="E16" s="13">
        <f t="shared" si="0"/>
        <v>111.37218045112782</v>
      </c>
      <c r="F16" s="16">
        <v>93.8</v>
      </c>
      <c r="G16" s="17">
        <f t="shared" si="1"/>
        <v>79.1561181434599</v>
      </c>
      <c r="H16" s="17">
        <f>C16/'численность 1'!J16*1000</f>
        <v>2595.121951219512</v>
      </c>
      <c r="I16" s="13">
        <f>D16/'численность 1'!K16*1000</f>
        <v>2821.4285714285716</v>
      </c>
      <c r="J16" s="13">
        <f t="shared" si="2"/>
        <v>108.72046186895813</v>
      </c>
      <c r="K16" s="16"/>
    </row>
    <row r="17" spans="1:11" ht="18">
      <c r="A17" s="183" t="s">
        <v>11</v>
      </c>
      <c r="B17" s="160"/>
      <c r="C17" s="16">
        <f>SUM(C6:C16)</f>
        <v>3395.3830000000003</v>
      </c>
      <c r="D17" s="71">
        <f>SUM(D6:D16)</f>
        <v>3371.473</v>
      </c>
      <c r="E17" s="13">
        <f>D17/C17*100</f>
        <v>99.29580845518751</v>
      </c>
      <c r="F17" s="71">
        <f>SUM(F6:F16)</f>
        <v>2835.3930000000005</v>
      </c>
      <c r="G17" s="13">
        <f>F17/D17*100</f>
        <v>84.0995315697323</v>
      </c>
      <c r="H17" s="13">
        <f>C17/'численность 1'!J21*1000</f>
        <v>2703.330414012739</v>
      </c>
      <c r="I17" s="13">
        <f>D17/'численность 1'!K21*1000</f>
        <v>2597.4368258859786</v>
      </c>
      <c r="J17" s="13">
        <f t="shared" si="2"/>
        <v>96.08284701056668</v>
      </c>
      <c r="K17" s="71">
        <f>SUM(K6:K16)</f>
        <v>964.5</v>
      </c>
    </row>
  </sheetData>
  <sheetProtection/>
  <mergeCells count="3">
    <mergeCell ref="A3:A5"/>
    <mergeCell ref="B3:B5"/>
    <mergeCell ref="A17:B17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2012-01-25T09:43:48Z</cp:lastPrinted>
  <dcterms:created xsi:type="dcterms:W3CDTF">2002-11-05T10:10:22Z</dcterms:created>
  <dcterms:modified xsi:type="dcterms:W3CDTF">2012-02-06T06:29:39Z</dcterms:modified>
  <cp:category/>
  <cp:version/>
  <cp:contentType/>
  <cp:contentStatus/>
</cp:coreProperties>
</file>