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случка" sheetId="5" r:id="rId5"/>
    <sheet name="приплод 2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'молоко'!$A$1:$K$25</definedName>
    <definedName name="_xlnm.Print_Area" localSheetId="9">'мясо'!$A$1:$K$25</definedName>
    <definedName name="_xlnm.Print_Area" localSheetId="7">'на 100 га'!$A$1:$F$24</definedName>
    <definedName name="_xlnm.Print_Area" localSheetId="1">'привес'!$A$1:$S$25</definedName>
    <definedName name="_xlnm.Print_Area" localSheetId="5">'приплод 2'!$A$1:$O$25</definedName>
    <definedName name="_xlnm.Print_Area" localSheetId="3">'численность 1'!$A$1:$W$24</definedName>
    <definedName name="_xlnm.Print_Area" localSheetId="2">'численность 2'!$A$1:$N$24</definedName>
  </definedNames>
  <calcPr fullCalcOnLoad="1"/>
</workbook>
</file>

<file path=xl/sharedStrings.xml><?xml version="1.0" encoding="utf-8"?>
<sst xmlns="http://schemas.openxmlformats.org/spreadsheetml/2006/main" count="440" uniqueCount="134">
  <si>
    <t>молока</t>
  </si>
  <si>
    <t>всего</t>
  </si>
  <si>
    <t>№</t>
  </si>
  <si>
    <t>Наименование хозяйств</t>
  </si>
  <si>
    <t xml:space="preserve"> в т.ч. </t>
  </si>
  <si>
    <t>нетелей</t>
  </si>
  <si>
    <t xml:space="preserve">в % к </t>
  </si>
  <si>
    <t xml:space="preserve">          в т.ч. коров</t>
  </si>
  <si>
    <t xml:space="preserve">     свиней</t>
  </si>
  <si>
    <t xml:space="preserve">         лошадей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</si>
  <si>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</si>
  <si>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</si>
  <si>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</si>
  <si>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</si>
  <si>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</si>
  <si>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</si>
  <si>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</si>
  <si>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</si>
  <si>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</si>
  <si>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</si>
  <si>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</si>
  <si>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</si>
  <si>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</si>
  <si>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</si>
  <si>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</si>
  <si>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</si>
  <si>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</si>
  <si>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</si>
  <si>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</si>
  <si>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</si>
  <si>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</si>
  <si>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</si>
  <si>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</si>
  <si>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</si>
  <si>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</si>
  <si>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</si>
  <si>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</si>
  <si>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</si>
  <si>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</si>
  <si>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</si>
  <si>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</si>
  <si>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</si>
  <si>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</si>
  <si>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</si>
  <si>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</si>
  <si>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</si>
  <si>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</si>
  <si>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</si>
  <si>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разница</t>
  </si>
  <si>
    <t xml:space="preserve">получ. поросят на </t>
  </si>
  <si>
    <t>100 основн.с/маток</t>
  </si>
  <si>
    <t>в т.ч.осн.</t>
  </si>
  <si>
    <t xml:space="preserve">    Опоросилось</t>
  </si>
  <si>
    <t xml:space="preserve">    с/маток, гол.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</si>
  <si>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</si>
  <si>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</si>
  <si>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</si>
  <si>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</si>
  <si>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</si>
  <si>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</si>
  <si>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</si>
  <si>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</si>
  <si>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 Свиней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</si>
  <si>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</si>
  <si>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</si>
  <si>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</si>
  <si>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</si>
  <si>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</si>
  <si>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</si>
  <si>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</si>
  <si>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</si>
  <si>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</si>
  <si>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</si>
  <si>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>в %</t>
  </si>
  <si>
    <t xml:space="preserve">          в т.ч. разовых</t>
  </si>
  <si>
    <t>овец и коз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</si>
  <si>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</si>
  <si>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</si>
  <si>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</si>
  <si>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</si>
  <si>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         Кр. рогатого скота</t>
  </si>
  <si>
    <t xml:space="preserve">           Свиней</t>
  </si>
  <si>
    <t xml:space="preserve">             КРС</t>
  </si>
  <si>
    <t xml:space="preserve">      на 1 с/м</t>
  </si>
  <si>
    <t xml:space="preserve">Получ.поросят </t>
  </si>
  <si>
    <t>по Ибресинскому району</t>
  </si>
  <si>
    <t xml:space="preserve">                      по Ибресинскому 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</si>
  <si>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</si>
  <si>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</si>
  <si>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</si>
  <si>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</si>
  <si>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СХПК им.Калинина</t>
  </si>
  <si>
    <t>Колхоз им.Ленина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</si>
  <si>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</si>
  <si>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</si>
  <si>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</si>
  <si>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</si>
  <si>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</si>
  <si>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Начальник отдела сельского хозяйства админстрации Ибресинского  района                                                                                 </t>
  </si>
  <si>
    <t>Н.П. Чугаров</t>
  </si>
  <si>
    <t>исп. Иванова А.И.</t>
  </si>
  <si>
    <t xml:space="preserve">                       Валовый привес ,центнер</t>
  </si>
  <si>
    <t>2009 в %</t>
  </si>
  <si>
    <t>к 2008 г.</t>
  </si>
  <si>
    <t xml:space="preserve"> </t>
  </si>
  <si>
    <t>2008 г.</t>
  </si>
  <si>
    <t>2008г.</t>
  </si>
  <si>
    <t>с 2008г.</t>
  </si>
  <si>
    <t>с 2008 г.</t>
  </si>
  <si>
    <t>2009 к</t>
  </si>
  <si>
    <t>2009 к 2008 г. %</t>
  </si>
  <si>
    <t xml:space="preserve">          Начальник отдела сельского хозяйства администрации Ибресинского  района                                                                                 </t>
  </si>
  <si>
    <t xml:space="preserve">Начальник отдела сельского хозяйства администрации Ибресинского  района                                                                                 </t>
  </si>
  <si>
    <t>ООО "Агрофирма"Путиловка"</t>
  </si>
  <si>
    <t>СПК "Патман"</t>
  </si>
  <si>
    <t>Колхоз "Красный фронтовик"</t>
  </si>
  <si>
    <t>Колхоз "Красный партизан"</t>
  </si>
  <si>
    <t>ЗАО "Агрофирма"Ибресинская"</t>
  </si>
  <si>
    <t>Среднегодовое поголовье коров, гол</t>
  </si>
  <si>
    <t>в % к 2008 г.</t>
  </si>
  <si>
    <t xml:space="preserve"> всего усл. гол.</t>
  </si>
  <si>
    <t>Наличие кормов, ц.к.ед.</t>
  </si>
  <si>
    <t>в т.ч. конц.</t>
  </si>
  <si>
    <t>из них покуп.</t>
  </si>
  <si>
    <t xml:space="preserve">   Производство мяса за 2009 г.</t>
  </si>
  <si>
    <t xml:space="preserve">            Производство молока за  2009г. по Ибресинскому району</t>
  </si>
  <si>
    <t>Поступление приплода (телят) за 2009 г.</t>
  </si>
  <si>
    <t>Поступление приплода (поросят) за  2009 г.</t>
  </si>
  <si>
    <t>СЛУЧЕНО И ОСЕМЕНЕНО за 2009 г.по Ибресинскому р-ну</t>
  </si>
  <si>
    <t xml:space="preserve">      ЧИСЛЕННОСТЬ СКОТА по Ибресинскому району на 1.01.2010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</si>
  <si>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01.01.2010 г., (голов)</t>
    </r>
  </si>
  <si>
    <t>Показатели получения привесов за 2009 год</t>
  </si>
  <si>
    <t>ПАЛО И ПОГИБЛО - КУПЛЕНО- ПРОДАНО крс, свиней за  2009 г.по Ибресинскому.р-ну</t>
  </si>
  <si>
    <t>по Ибресинскому району за 2009 год (ц)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</si>
</sst>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2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5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3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sz val="10"/>
      <color indexed="10"/>
      <name val="Arial Cyr"/>
      <family val="2"/>
    </font>
    <font>
      <sz val="12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1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8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2" fontId="0" fillId="0" borderId="0" xfId="0" applyNumberFormat="1" applyAlignment="1">
      <alignment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72" fontId="18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4" fillId="0" borderId="4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7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21" fillId="0" borderId="1" xfId="0" applyFont="1" applyFill="1" applyBorder="1" applyAlignment="1">
      <alignment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8" fillId="0" borderId="5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8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4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5" sqref="P15"/>
    </sheetView>
  </sheetViews>
  <sheetFormatPr defaultColWidth="9.00390625" defaultRowHeight="12.75"/>
  <cols>
    <col min="1" max="1" width="4.00390625" style="118" customWidth="1"/>
    <col min="2" max="2" width="25.875" style="118" customWidth="1"/>
    <col min="3" max="3" width="5.375" style="118" customWidth="1"/>
    <col min="4" max="4" width="5.125" style="118" customWidth="1"/>
    <col min="5" max="5" width="7.00390625" style="118" customWidth="1"/>
    <col min="6" max="7" width="5.875" style="118" customWidth="1"/>
    <col min="8" max="8" width="6.875" style="118" customWidth="1"/>
    <col min="9" max="9" width="6.25390625" style="118" customWidth="1"/>
    <col min="10" max="10" width="5.875" style="118" customWidth="1"/>
    <col min="11" max="11" width="6.375" style="118" customWidth="1"/>
    <col min="12" max="12" width="7.00390625" style="118" customWidth="1"/>
    <col min="13" max="13" width="6.75390625" style="118" customWidth="1"/>
    <col min="14" max="15" width="6.00390625" style="118" customWidth="1"/>
    <col min="16" max="17" width="5.875" style="118" customWidth="1"/>
    <col min="18" max="18" width="6.125" style="118" customWidth="1"/>
    <col min="19" max="16384" width="9.125" style="118" customWidth="1"/>
  </cols>
  <sheetData>
    <row r="1" spans="3:16" ht="14.25">
      <c r="C1" s="203" t="s">
        <v>132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4"/>
      <c r="P1" s="204"/>
    </row>
    <row r="2" spans="3:10" ht="15">
      <c r="C2" s="119"/>
      <c r="D2" s="119"/>
      <c r="E2" s="119"/>
      <c r="F2" s="119"/>
      <c r="G2" s="119"/>
      <c r="H2" s="119"/>
      <c r="I2" s="119"/>
      <c r="J2" s="119"/>
    </row>
    <row r="3" spans="1:18" ht="18.75" customHeight="1">
      <c r="A3" s="131" t="s">
        <v>2</v>
      </c>
      <c r="B3" s="128" t="s">
        <v>3</v>
      </c>
      <c r="C3" s="123" t="s">
        <v>59</v>
      </c>
      <c r="D3" s="123"/>
      <c r="E3" s="128"/>
      <c r="F3" s="123" t="s">
        <v>77</v>
      </c>
      <c r="G3" s="123"/>
      <c r="H3" s="128"/>
      <c r="I3" s="134"/>
      <c r="J3" s="135" t="s">
        <v>63</v>
      </c>
      <c r="K3" s="135"/>
      <c r="L3" s="135"/>
      <c r="M3" s="136"/>
      <c r="N3" s="136"/>
      <c r="O3" s="134"/>
      <c r="P3" s="135" t="s">
        <v>64</v>
      </c>
      <c r="Q3" s="135"/>
      <c r="R3" s="137"/>
    </row>
    <row r="4" spans="1:18" ht="18.75" customHeight="1">
      <c r="A4" s="132"/>
      <c r="B4" s="129"/>
      <c r="C4" s="206">
        <v>2008</v>
      </c>
      <c r="D4" s="206">
        <v>2009</v>
      </c>
      <c r="E4" s="128" t="s">
        <v>60</v>
      </c>
      <c r="F4" s="206">
        <v>2008</v>
      </c>
      <c r="G4" s="206">
        <v>2009</v>
      </c>
      <c r="H4" s="128" t="s">
        <v>60</v>
      </c>
      <c r="I4" s="124" t="s">
        <v>61</v>
      </c>
      <c r="J4" s="130"/>
      <c r="K4" s="130" t="s">
        <v>62</v>
      </c>
      <c r="L4" s="133"/>
      <c r="M4" s="134" t="s">
        <v>76</v>
      </c>
      <c r="N4" s="135"/>
      <c r="O4" s="134" t="s">
        <v>82</v>
      </c>
      <c r="P4" s="137"/>
      <c r="Q4" s="135" t="s">
        <v>81</v>
      </c>
      <c r="R4" s="137"/>
    </row>
    <row r="5" spans="1:18" ht="18.75" customHeight="1">
      <c r="A5" s="133"/>
      <c r="B5" s="130"/>
      <c r="C5" s="207"/>
      <c r="D5" s="207"/>
      <c r="E5" s="130" t="s">
        <v>108</v>
      </c>
      <c r="F5" s="207"/>
      <c r="G5" s="207"/>
      <c r="H5" s="130" t="s">
        <v>108</v>
      </c>
      <c r="I5" s="137">
        <v>2008</v>
      </c>
      <c r="J5" s="123">
        <v>2009</v>
      </c>
      <c r="K5" s="137">
        <v>2008</v>
      </c>
      <c r="L5" s="123">
        <v>2009</v>
      </c>
      <c r="M5" s="137">
        <v>2008</v>
      </c>
      <c r="N5" s="123">
        <v>2009</v>
      </c>
      <c r="O5" s="137">
        <v>2008</v>
      </c>
      <c r="P5" s="123">
        <v>2009</v>
      </c>
      <c r="Q5" s="137">
        <v>2008</v>
      </c>
      <c r="R5" s="123">
        <v>2009</v>
      </c>
    </row>
    <row r="6" spans="1:34" ht="13.5" customHeight="1">
      <c r="A6" s="125" t="s">
        <v>10</v>
      </c>
      <c r="B6" s="125" t="s">
        <v>117</v>
      </c>
      <c r="C6" s="139">
        <v>6</v>
      </c>
      <c r="D6" s="139">
        <v>1</v>
      </c>
      <c r="E6" s="172">
        <f aca="true" t="shared" si="0" ref="E6:E17">D6-C6</f>
        <v>-5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>
        <v>3</v>
      </c>
      <c r="Q6" s="139"/>
      <c r="R6" s="13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ht="15" customHeight="1">
      <c r="A7" s="125" t="s">
        <v>11</v>
      </c>
      <c r="B7" s="125" t="s">
        <v>89</v>
      </c>
      <c r="C7" s="139">
        <v>10</v>
      </c>
      <c r="D7" s="139"/>
      <c r="E7" s="172">
        <f t="shared" si="0"/>
        <v>-10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ht="13.5" customHeight="1">
      <c r="A8" s="125" t="s">
        <v>12</v>
      </c>
      <c r="B8" s="125" t="s">
        <v>90</v>
      </c>
      <c r="C8" s="188">
        <v>11</v>
      </c>
      <c r="D8" s="175">
        <v>3</v>
      </c>
      <c r="E8" s="172">
        <f t="shared" si="0"/>
        <v>-8</v>
      </c>
      <c r="F8" s="139"/>
      <c r="G8" s="139"/>
      <c r="H8" s="139"/>
      <c r="I8" s="139"/>
      <c r="J8" s="139"/>
      <c r="K8" s="139"/>
      <c r="L8" s="139"/>
      <c r="M8" s="139"/>
      <c r="N8" s="139"/>
      <c r="O8" s="139">
        <v>16</v>
      </c>
      <c r="P8" s="139">
        <v>24</v>
      </c>
      <c r="Q8" s="139"/>
      <c r="R8" s="13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ht="13.5" customHeight="1">
      <c r="A9" s="125" t="s">
        <v>13</v>
      </c>
      <c r="B9" s="125" t="s">
        <v>115</v>
      </c>
      <c r="C9" s="188">
        <v>2</v>
      </c>
      <c r="D9" s="175">
        <v>4</v>
      </c>
      <c r="E9" s="172">
        <f t="shared" si="0"/>
        <v>2</v>
      </c>
      <c r="F9" s="139"/>
      <c r="G9" s="139"/>
      <c r="H9" s="139"/>
      <c r="I9" s="139"/>
      <c r="J9" s="139"/>
      <c r="K9" s="139"/>
      <c r="L9" s="139"/>
      <c r="M9" s="139"/>
      <c r="N9" s="139"/>
      <c r="O9" s="139">
        <v>10</v>
      </c>
      <c r="P9" s="139">
        <v>13</v>
      </c>
      <c r="Q9" s="139"/>
      <c r="R9" s="13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ht="12.75" customHeight="1">
      <c r="A10" s="126" t="s">
        <v>14</v>
      </c>
      <c r="B10" s="125" t="s">
        <v>116</v>
      </c>
      <c r="C10" s="188">
        <v>26</v>
      </c>
      <c r="D10" s="175">
        <v>6</v>
      </c>
      <c r="E10" s="172">
        <f t="shared" si="0"/>
        <v>-20</v>
      </c>
      <c r="F10" s="139"/>
      <c r="G10" s="139"/>
      <c r="H10" s="139"/>
      <c r="I10" s="139"/>
      <c r="J10" s="139"/>
      <c r="K10" s="139"/>
      <c r="L10" s="139">
        <v>1</v>
      </c>
      <c r="M10" s="139"/>
      <c r="N10" s="139"/>
      <c r="O10" s="139"/>
      <c r="P10" s="139"/>
      <c r="Q10" s="188">
        <v>275</v>
      </c>
      <c r="R10" s="175">
        <v>524</v>
      </c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ht="13.5" customHeight="1">
      <c r="A11" s="125" t="s">
        <v>15</v>
      </c>
      <c r="B11" s="127" t="s">
        <v>91</v>
      </c>
      <c r="C11" s="188">
        <v>1</v>
      </c>
      <c r="D11" s="175">
        <v>4</v>
      </c>
      <c r="E11" s="172">
        <f t="shared" si="0"/>
        <v>3</v>
      </c>
      <c r="F11" s="188">
        <v>73</v>
      </c>
      <c r="G11" s="175">
        <v>115</v>
      </c>
      <c r="H11" s="139">
        <f>G11-F11</f>
        <v>42</v>
      </c>
      <c r="I11" s="139"/>
      <c r="J11" s="139"/>
      <c r="K11" s="172">
        <v>6</v>
      </c>
      <c r="L11" s="172"/>
      <c r="M11" s="172"/>
      <c r="N11" s="172"/>
      <c r="O11" s="172">
        <v>22</v>
      </c>
      <c r="P11" s="172">
        <v>3</v>
      </c>
      <c r="Q11" s="188">
        <v>336</v>
      </c>
      <c r="R11" s="175">
        <v>500</v>
      </c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ht="12.75" customHeight="1">
      <c r="A12" s="125" t="s">
        <v>16</v>
      </c>
      <c r="B12" s="125" t="s">
        <v>92</v>
      </c>
      <c r="C12" s="188">
        <v>10</v>
      </c>
      <c r="D12" s="175"/>
      <c r="E12" s="172">
        <f t="shared" si="0"/>
        <v>-10</v>
      </c>
      <c r="F12" s="188"/>
      <c r="G12" s="175"/>
      <c r="H12" s="139"/>
      <c r="I12" s="139"/>
      <c r="J12" s="139"/>
      <c r="K12" s="139"/>
      <c r="L12" s="180"/>
      <c r="M12" s="139"/>
      <c r="N12" s="139"/>
      <c r="O12" s="139"/>
      <c r="P12" s="139"/>
      <c r="Q12" s="188"/>
      <c r="R12" s="175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ht="12.75" customHeight="1">
      <c r="A13" s="127" t="s">
        <v>17</v>
      </c>
      <c r="B13" s="127" t="s">
        <v>114</v>
      </c>
      <c r="C13" s="188">
        <v>5</v>
      </c>
      <c r="D13" s="175">
        <v>15</v>
      </c>
      <c r="E13" s="172">
        <f t="shared" si="0"/>
        <v>10</v>
      </c>
      <c r="F13" s="188"/>
      <c r="G13" s="175"/>
      <c r="H13" s="139"/>
      <c r="I13" s="146">
        <v>115</v>
      </c>
      <c r="J13" s="176"/>
      <c r="K13" s="146"/>
      <c r="L13" s="146"/>
      <c r="M13" s="178"/>
      <c r="N13" s="146"/>
      <c r="O13" s="189"/>
      <c r="P13" s="146"/>
      <c r="Q13" s="188"/>
      <c r="R13" s="175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ht="12.75" customHeight="1">
      <c r="A14" s="125" t="s">
        <v>18</v>
      </c>
      <c r="B14" s="125" t="s">
        <v>93</v>
      </c>
      <c r="C14" s="188">
        <v>6</v>
      </c>
      <c r="D14" s="175">
        <v>4</v>
      </c>
      <c r="E14" s="172">
        <f t="shared" si="0"/>
        <v>-2</v>
      </c>
      <c r="F14" s="188">
        <v>2</v>
      </c>
      <c r="G14" s="175"/>
      <c r="H14" s="139">
        <f>G14-F14</f>
        <v>-2</v>
      </c>
      <c r="I14" s="139"/>
      <c r="J14" s="177"/>
      <c r="K14" s="139"/>
      <c r="L14" s="139"/>
      <c r="M14" s="179"/>
      <c r="N14" s="139"/>
      <c r="O14" s="139">
        <v>1</v>
      </c>
      <c r="P14" s="139">
        <v>2</v>
      </c>
      <c r="Q14" s="188">
        <v>19</v>
      </c>
      <c r="R14" s="175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ht="13.5" customHeight="1">
      <c r="A15" s="125" t="s">
        <v>19</v>
      </c>
      <c r="B15" s="127" t="s">
        <v>113</v>
      </c>
      <c r="C15" s="188">
        <v>1</v>
      </c>
      <c r="D15" s="175">
        <v>4</v>
      </c>
      <c r="E15" s="172">
        <f t="shared" si="0"/>
        <v>3</v>
      </c>
      <c r="F15" s="188"/>
      <c r="G15" s="175"/>
      <c r="H15" s="139"/>
      <c r="I15" s="139"/>
      <c r="J15" s="177">
        <v>13</v>
      </c>
      <c r="K15" s="139"/>
      <c r="L15" s="139"/>
      <c r="M15" s="179"/>
      <c r="N15" s="139">
        <v>58</v>
      </c>
      <c r="O15" s="139">
        <v>9</v>
      </c>
      <c r="P15" s="139">
        <v>23</v>
      </c>
      <c r="Q15" s="188"/>
      <c r="R15" s="175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ht="12.75" customHeight="1">
      <c r="A16" s="125" t="s">
        <v>20</v>
      </c>
      <c r="B16" s="125" t="s">
        <v>94</v>
      </c>
      <c r="C16" s="188">
        <v>3</v>
      </c>
      <c r="D16" s="175">
        <v>3</v>
      </c>
      <c r="E16" s="172">
        <f t="shared" si="0"/>
        <v>0</v>
      </c>
      <c r="F16" s="188"/>
      <c r="G16" s="175"/>
      <c r="H16" s="139"/>
      <c r="I16" s="139"/>
      <c r="J16" s="139"/>
      <c r="K16" s="139"/>
      <c r="L16" s="139"/>
      <c r="M16" s="139"/>
      <c r="N16" s="139"/>
      <c r="O16" s="139">
        <v>9</v>
      </c>
      <c r="P16" s="139">
        <v>20</v>
      </c>
      <c r="Q16" s="188"/>
      <c r="R16" s="175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ht="12.75" customHeight="1">
      <c r="A17" s="125" t="s">
        <v>21</v>
      </c>
      <c r="B17" s="125" t="s">
        <v>95</v>
      </c>
      <c r="C17" s="188">
        <v>2</v>
      </c>
      <c r="D17" s="175">
        <v>1</v>
      </c>
      <c r="E17" s="172">
        <f t="shared" si="0"/>
        <v>-1</v>
      </c>
      <c r="F17" s="188"/>
      <c r="G17" s="175"/>
      <c r="H17" s="139"/>
      <c r="I17" s="139"/>
      <c r="J17" s="139"/>
      <c r="K17" s="139"/>
      <c r="L17" s="139"/>
      <c r="M17" s="139"/>
      <c r="N17" s="139"/>
      <c r="O17" s="139"/>
      <c r="P17" s="139"/>
      <c r="Q17" s="188"/>
      <c r="R17" s="175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ht="12.75" customHeight="1">
      <c r="A18" s="125" t="s">
        <v>22</v>
      </c>
      <c r="B18" s="125" t="s">
        <v>96</v>
      </c>
      <c r="C18" s="139"/>
      <c r="D18" s="139"/>
      <c r="E18" s="172"/>
      <c r="F18" s="118">
        <v>418</v>
      </c>
      <c r="G18" s="175">
        <v>576</v>
      </c>
      <c r="H18" s="139">
        <f>G18-F18</f>
        <v>158</v>
      </c>
      <c r="I18" s="139"/>
      <c r="J18" s="139"/>
      <c r="K18" s="139">
        <v>11</v>
      </c>
      <c r="L18" s="139">
        <v>12</v>
      </c>
      <c r="M18" s="139"/>
      <c r="N18" s="139"/>
      <c r="O18" s="139"/>
      <c r="P18" s="139"/>
      <c r="Q18" s="188">
        <v>908</v>
      </c>
      <c r="R18" s="175">
        <v>1857</v>
      </c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ht="13.5" customHeight="1">
      <c r="A19" s="120"/>
      <c r="B19" s="125" t="s">
        <v>23</v>
      </c>
      <c r="C19" s="139">
        <f>SUM(C6:C17)</f>
        <v>83</v>
      </c>
      <c r="D19" s="139">
        <f>SUM(D6:D18)</f>
        <v>45</v>
      </c>
      <c r="E19" s="172">
        <f>D19-C19</f>
        <v>-38</v>
      </c>
      <c r="F19" s="175">
        <f>SUM(F6:F18)</f>
        <v>493</v>
      </c>
      <c r="G19" s="139">
        <f>SUM(G11:G18)</f>
        <v>691</v>
      </c>
      <c r="H19" s="139">
        <f>G19-F19</f>
        <v>198</v>
      </c>
      <c r="I19" s="139">
        <f aca="true" t="shared" si="1" ref="I19:R19">SUM(I6:I18)</f>
        <v>115</v>
      </c>
      <c r="J19" s="139">
        <f t="shared" si="1"/>
        <v>13</v>
      </c>
      <c r="K19" s="139">
        <f t="shared" si="1"/>
        <v>17</v>
      </c>
      <c r="L19" s="139">
        <f t="shared" si="1"/>
        <v>13</v>
      </c>
      <c r="M19" s="139">
        <f t="shared" si="1"/>
        <v>0</v>
      </c>
      <c r="N19" s="139">
        <f t="shared" si="1"/>
        <v>58</v>
      </c>
      <c r="O19" s="139">
        <f t="shared" si="1"/>
        <v>67</v>
      </c>
      <c r="P19" s="139">
        <f t="shared" si="1"/>
        <v>88</v>
      </c>
      <c r="Q19" s="139">
        <f>SUM(Q6:Q18)</f>
        <v>1538</v>
      </c>
      <c r="R19" s="139">
        <f t="shared" si="1"/>
        <v>2881</v>
      </c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2" spans="2:18" ht="15">
      <c r="B22" s="122" t="s">
        <v>98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19"/>
      <c r="P22" s="205" t="s">
        <v>99</v>
      </c>
      <c r="Q22" s="205"/>
      <c r="R22" s="205"/>
    </row>
    <row r="24" ht="14.25">
      <c r="B24" s="145" t="s">
        <v>100</v>
      </c>
    </row>
    <row r="25" ht="14.25">
      <c r="B25" s="144"/>
    </row>
  </sheetData>
  <mergeCells count="6">
    <mergeCell ref="C1:P1"/>
    <mergeCell ref="P22:R22"/>
    <mergeCell ref="C4:C5"/>
    <mergeCell ref="D4:D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Normal="65" zoomScaleSheetLayoutView="75" workbookViewId="0" topLeftCell="A1">
      <selection activeCell="H22" sqref="H22"/>
    </sheetView>
  </sheetViews>
  <sheetFormatPr defaultColWidth="9.00390625" defaultRowHeight="12.75"/>
  <cols>
    <col min="1" max="1" width="3.875" style="0" customWidth="1"/>
    <col min="2" max="2" width="34.37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32"/>
      <c r="B1" s="32"/>
      <c r="C1" s="1" t="s">
        <v>124</v>
      </c>
      <c r="D1" s="1"/>
      <c r="E1" s="1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 t="s">
        <v>88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47" t="s">
        <v>2</v>
      </c>
      <c r="B4" s="33" t="s">
        <v>3</v>
      </c>
      <c r="C4" s="36" t="s">
        <v>34</v>
      </c>
      <c r="D4" s="37"/>
      <c r="E4" s="40"/>
      <c r="F4" s="36"/>
      <c r="G4" s="37"/>
      <c r="H4" s="37" t="s">
        <v>35</v>
      </c>
      <c r="I4" s="37"/>
      <c r="J4" s="37"/>
      <c r="K4" s="40"/>
      <c r="L4" s="32"/>
      <c r="M4" s="32"/>
    </row>
    <row r="5" spans="1:13" ht="15">
      <c r="A5" s="53"/>
      <c r="B5" s="39"/>
      <c r="C5" s="30">
        <v>2008</v>
      </c>
      <c r="D5" s="31">
        <v>2009</v>
      </c>
      <c r="E5" s="31" t="s">
        <v>102</v>
      </c>
      <c r="F5" s="36" t="s">
        <v>38</v>
      </c>
      <c r="G5" s="40"/>
      <c r="H5" s="36" t="s">
        <v>36</v>
      </c>
      <c r="I5" s="40"/>
      <c r="J5" s="36" t="s">
        <v>37</v>
      </c>
      <c r="K5" s="40"/>
      <c r="L5" s="32"/>
      <c r="M5" s="32"/>
    </row>
    <row r="6" spans="1:13" ht="15">
      <c r="A6" s="43"/>
      <c r="B6" s="41"/>
      <c r="C6" s="54"/>
      <c r="D6" s="21"/>
      <c r="E6" s="21" t="s">
        <v>103</v>
      </c>
      <c r="F6" s="10">
        <v>2008</v>
      </c>
      <c r="G6" s="10">
        <v>2009</v>
      </c>
      <c r="H6" s="10">
        <v>2008</v>
      </c>
      <c r="I6" s="10">
        <v>2009</v>
      </c>
      <c r="J6" s="10">
        <v>2008</v>
      </c>
      <c r="K6" s="10">
        <v>2009</v>
      </c>
      <c r="L6" s="32"/>
      <c r="M6" s="32"/>
    </row>
    <row r="7" spans="1:13" ht="18">
      <c r="A7" s="44" t="s">
        <v>10</v>
      </c>
      <c r="B7" s="44" t="s">
        <v>117</v>
      </c>
      <c r="C7" s="182">
        <v>8.7</v>
      </c>
      <c r="D7" s="148">
        <v>18.38</v>
      </c>
      <c r="E7" s="23">
        <f>D7*100/C7</f>
        <v>211.26436781609198</v>
      </c>
      <c r="F7" s="151">
        <v>8.7</v>
      </c>
      <c r="G7" s="22">
        <v>18.38</v>
      </c>
      <c r="H7" s="151"/>
      <c r="I7" s="22"/>
      <c r="J7" s="151"/>
      <c r="K7" s="22"/>
      <c r="L7" s="190"/>
      <c r="M7" s="191"/>
    </row>
    <row r="8" spans="1:13" ht="18">
      <c r="A8" s="44" t="s">
        <v>11</v>
      </c>
      <c r="B8" s="44" t="s">
        <v>89</v>
      </c>
      <c r="C8" s="182">
        <v>70.3</v>
      </c>
      <c r="D8" s="148">
        <v>93.8</v>
      </c>
      <c r="E8" s="23">
        <f aca="true" t="shared" si="0" ref="E8:E20">D8*100/C8</f>
        <v>133.42816500711237</v>
      </c>
      <c r="F8" s="151">
        <v>66.7</v>
      </c>
      <c r="G8" s="22">
        <v>85.1</v>
      </c>
      <c r="H8" s="151"/>
      <c r="I8" s="22"/>
      <c r="J8" s="151">
        <v>3.6</v>
      </c>
      <c r="K8" s="22">
        <v>8.7</v>
      </c>
      <c r="L8" s="190"/>
      <c r="M8" s="191"/>
    </row>
    <row r="9" spans="1:13" ht="18">
      <c r="A9" s="44" t="s">
        <v>12</v>
      </c>
      <c r="B9" s="44" t="s">
        <v>90</v>
      </c>
      <c r="C9" s="182">
        <v>37.3</v>
      </c>
      <c r="D9" s="148">
        <v>15</v>
      </c>
      <c r="E9" s="23">
        <f t="shared" si="0"/>
        <v>40.21447721179625</v>
      </c>
      <c r="F9" s="151">
        <v>36</v>
      </c>
      <c r="G9" s="22">
        <v>15</v>
      </c>
      <c r="H9" s="151"/>
      <c r="I9" s="22"/>
      <c r="J9" s="151">
        <v>1.3</v>
      </c>
      <c r="K9" s="22"/>
      <c r="L9" s="190"/>
      <c r="M9" s="191"/>
    </row>
    <row r="10" spans="1:13" ht="18">
      <c r="A10" s="44" t="s">
        <v>13</v>
      </c>
      <c r="B10" s="44" t="s">
        <v>115</v>
      </c>
      <c r="C10" s="182">
        <v>13.9</v>
      </c>
      <c r="D10" s="148">
        <v>14.7</v>
      </c>
      <c r="E10" s="23">
        <f t="shared" si="0"/>
        <v>105.75539568345323</v>
      </c>
      <c r="F10" s="151">
        <v>8.2</v>
      </c>
      <c r="G10" s="22">
        <v>12</v>
      </c>
      <c r="H10" s="151"/>
      <c r="I10" s="22"/>
      <c r="J10" s="151">
        <v>5.7</v>
      </c>
      <c r="K10" s="22">
        <v>2.7</v>
      </c>
      <c r="L10" s="190"/>
      <c r="M10" s="191"/>
    </row>
    <row r="11" spans="1:13" ht="18">
      <c r="A11" s="44" t="s">
        <v>14</v>
      </c>
      <c r="B11" s="55" t="s">
        <v>116</v>
      </c>
      <c r="C11" s="182">
        <v>148.2</v>
      </c>
      <c r="D11" s="148">
        <v>106.9</v>
      </c>
      <c r="E11" s="23">
        <f t="shared" si="0"/>
        <v>72.13225371120109</v>
      </c>
      <c r="F11" s="151">
        <v>119.7</v>
      </c>
      <c r="G11" s="22">
        <v>73</v>
      </c>
      <c r="H11" s="151">
        <v>26.5</v>
      </c>
      <c r="I11" s="22">
        <v>30.9</v>
      </c>
      <c r="J11" s="151">
        <v>2</v>
      </c>
      <c r="K11" s="22">
        <v>3</v>
      </c>
      <c r="L11" s="190"/>
      <c r="M11" s="191"/>
    </row>
    <row r="12" spans="1:13" ht="18">
      <c r="A12" s="44" t="s">
        <v>15</v>
      </c>
      <c r="B12" s="44" t="s">
        <v>91</v>
      </c>
      <c r="C12" s="182">
        <v>125.9</v>
      </c>
      <c r="D12" s="148">
        <v>121</v>
      </c>
      <c r="E12" s="23">
        <f t="shared" si="0"/>
        <v>96.10802223987291</v>
      </c>
      <c r="F12" s="151">
        <v>77.5</v>
      </c>
      <c r="G12" s="22">
        <v>85</v>
      </c>
      <c r="H12" s="151">
        <v>37.7</v>
      </c>
      <c r="I12" s="22">
        <v>27</v>
      </c>
      <c r="J12" s="151">
        <v>10.7</v>
      </c>
      <c r="K12" s="22">
        <v>9</v>
      </c>
      <c r="L12" s="190"/>
      <c r="M12" s="191"/>
    </row>
    <row r="13" spans="1:13" ht="18">
      <c r="A13" s="44" t="s">
        <v>16</v>
      </c>
      <c r="B13" s="44" t="s">
        <v>92</v>
      </c>
      <c r="C13" s="182">
        <v>52.6</v>
      </c>
      <c r="D13" s="148"/>
      <c r="E13" s="23"/>
      <c r="F13" s="151">
        <v>51.1</v>
      </c>
      <c r="G13" s="22"/>
      <c r="H13" s="151"/>
      <c r="I13" s="22"/>
      <c r="J13" s="151">
        <v>1.5</v>
      </c>
      <c r="K13" s="22"/>
      <c r="L13" s="190"/>
      <c r="M13" s="191"/>
    </row>
    <row r="14" spans="1:13" ht="18">
      <c r="A14" s="45" t="s">
        <v>17</v>
      </c>
      <c r="B14" s="45" t="s">
        <v>114</v>
      </c>
      <c r="C14" s="182">
        <v>31.7</v>
      </c>
      <c r="D14" s="148">
        <v>40.1</v>
      </c>
      <c r="E14" s="23">
        <f t="shared" si="0"/>
        <v>126.49842271293376</v>
      </c>
      <c r="F14" s="152">
        <v>28.7</v>
      </c>
      <c r="G14" s="27">
        <v>37.3</v>
      </c>
      <c r="H14" s="152"/>
      <c r="I14" s="27"/>
      <c r="J14" s="152">
        <v>3</v>
      </c>
      <c r="K14" s="27">
        <v>2.8</v>
      </c>
      <c r="L14" s="190"/>
      <c r="M14" s="191"/>
    </row>
    <row r="15" spans="1:13" ht="18">
      <c r="A15" s="45" t="s">
        <v>18</v>
      </c>
      <c r="B15" s="45" t="s">
        <v>93</v>
      </c>
      <c r="C15" s="182">
        <v>46.7</v>
      </c>
      <c r="D15" s="148">
        <v>40.5</v>
      </c>
      <c r="E15" s="23">
        <f t="shared" si="0"/>
        <v>86.72376873661669</v>
      </c>
      <c r="F15" s="152">
        <v>42.2</v>
      </c>
      <c r="G15" s="27">
        <v>22.5</v>
      </c>
      <c r="H15" s="152">
        <v>4.5</v>
      </c>
      <c r="I15" s="27">
        <v>17</v>
      </c>
      <c r="J15" s="152"/>
      <c r="K15" s="27">
        <v>1</v>
      </c>
      <c r="L15" s="190"/>
      <c r="M15" s="191"/>
    </row>
    <row r="16" spans="1:13" ht="18">
      <c r="A16" s="45" t="s">
        <v>19</v>
      </c>
      <c r="B16" s="45" t="s">
        <v>113</v>
      </c>
      <c r="C16" s="182">
        <v>10.85</v>
      </c>
      <c r="D16" s="148">
        <v>10.4</v>
      </c>
      <c r="E16" s="23">
        <f t="shared" si="0"/>
        <v>95.85253456221199</v>
      </c>
      <c r="F16" s="152">
        <v>8.16</v>
      </c>
      <c r="G16" s="27">
        <v>9.9</v>
      </c>
      <c r="H16" s="152">
        <v>1.49</v>
      </c>
      <c r="I16" s="27"/>
      <c r="J16" s="152">
        <v>1.2</v>
      </c>
      <c r="K16" s="27">
        <v>0.5</v>
      </c>
      <c r="L16" s="190"/>
      <c r="M16" s="191"/>
    </row>
    <row r="17" spans="1:13" ht="18">
      <c r="A17" s="45" t="s">
        <v>20</v>
      </c>
      <c r="B17" s="45" t="s">
        <v>94</v>
      </c>
      <c r="C17" s="182">
        <v>29.4</v>
      </c>
      <c r="D17" s="148">
        <v>28.9</v>
      </c>
      <c r="E17" s="23">
        <f t="shared" si="0"/>
        <v>98.29931972789116</v>
      </c>
      <c r="F17" s="152">
        <v>26.6</v>
      </c>
      <c r="G17" s="27">
        <v>25.6</v>
      </c>
      <c r="H17" s="152"/>
      <c r="I17" s="27"/>
      <c r="J17" s="152">
        <v>2.8</v>
      </c>
      <c r="K17" s="27">
        <v>3.3</v>
      </c>
      <c r="L17" s="190"/>
      <c r="M17" s="191"/>
    </row>
    <row r="18" spans="1:13" ht="18">
      <c r="A18" s="45" t="s">
        <v>21</v>
      </c>
      <c r="B18" s="45" t="s">
        <v>95</v>
      </c>
      <c r="C18" s="182">
        <v>11.3</v>
      </c>
      <c r="D18" s="148">
        <v>13.7</v>
      </c>
      <c r="E18" s="23">
        <f t="shared" si="0"/>
        <v>121.23893805309734</v>
      </c>
      <c r="F18" s="152">
        <v>10.5</v>
      </c>
      <c r="G18" s="27">
        <v>12.9</v>
      </c>
      <c r="H18" s="152"/>
      <c r="I18" s="27"/>
      <c r="J18" s="152">
        <v>0.8</v>
      </c>
      <c r="K18" s="27">
        <v>0.8</v>
      </c>
      <c r="L18" s="190"/>
      <c r="M18" s="191"/>
    </row>
    <row r="19" spans="1:13" ht="18">
      <c r="A19" s="52" t="s">
        <v>22</v>
      </c>
      <c r="B19" s="45" t="s">
        <v>96</v>
      </c>
      <c r="C19" s="182">
        <v>641</v>
      </c>
      <c r="D19" s="148">
        <v>701</v>
      </c>
      <c r="E19" s="23">
        <f t="shared" si="0"/>
        <v>109.3603744149766</v>
      </c>
      <c r="F19" s="152"/>
      <c r="G19" s="27"/>
      <c r="H19" s="152">
        <v>641</v>
      </c>
      <c r="I19" s="27">
        <v>701</v>
      </c>
      <c r="J19" s="152"/>
      <c r="K19" s="27"/>
      <c r="L19" s="190"/>
      <c r="M19" s="191"/>
    </row>
    <row r="20" spans="1:13" ht="18">
      <c r="A20" s="44"/>
      <c r="B20" s="44" t="s">
        <v>23</v>
      </c>
      <c r="C20" s="116">
        <f>SUM(C7:C19)</f>
        <v>1227.85</v>
      </c>
      <c r="D20" s="156">
        <f>SUM(D7:D19)</f>
        <v>1204.3799999999999</v>
      </c>
      <c r="E20" s="23">
        <f t="shared" si="0"/>
        <v>98.08852872907929</v>
      </c>
      <c r="F20" s="116">
        <f aca="true" t="shared" si="1" ref="F20:K20">SUM(F7:F19)</f>
        <v>484.06000000000006</v>
      </c>
      <c r="G20" s="116">
        <f t="shared" si="1"/>
        <v>396.68</v>
      </c>
      <c r="H20" s="116">
        <f t="shared" si="1"/>
        <v>711.19</v>
      </c>
      <c r="I20" s="116">
        <f t="shared" si="1"/>
        <v>775.9</v>
      </c>
      <c r="J20" s="116">
        <f t="shared" si="1"/>
        <v>32.6</v>
      </c>
      <c r="K20" s="116">
        <f t="shared" si="1"/>
        <v>31.8</v>
      </c>
      <c r="L20" s="190"/>
      <c r="M20" s="191"/>
    </row>
    <row r="21" ht="12.75">
      <c r="D21" s="153"/>
    </row>
    <row r="22" spans="3:4" ht="12.75">
      <c r="C22" t="s">
        <v>104</v>
      </c>
      <c r="D22" s="153"/>
    </row>
    <row r="23" spans="1:12" ht="12.75">
      <c r="A23" s="160" t="s">
        <v>111</v>
      </c>
      <c r="C23" s="121"/>
      <c r="D23" s="121"/>
      <c r="E23" s="121"/>
      <c r="F23" s="121"/>
      <c r="G23" s="121"/>
      <c r="H23" s="121"/>
      <c r="I23" s="121"/>
      <c r="J23" s="238" t="s">
        <v>99</v>
      </c>
      <c r="K23" s="238"/>
      <c r="L23" s="238"/>
    </row>
    <row r="25" ht="12.75">
      <c r="B25" s="145" t="s">
        <v>100</v>
      </c>
    </row>
  </sheetData>
  <mergeCells count="1">
    <mergeCell ref="J23:L23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K24" sqref="K24"/>
    </sheetView>
  </sheetViews>
  <sheetFormatPr defaultColWidth="9.00390625" defaultRowHeight="12.75"/>
  <cols>
    <col min="1" max="1" width="30.75390625" style="0" customWidth="1"/>
    <col min="2" max="2" width="7.125" style="0" customWidth="1"/>
    <col min="3" max="3" width="7.00390625" style="0" customWidth="1"/>
    <col min="4" max="4" width="7.125" style="0" customWidth="1"/>
    <col min="5" max="5" width="8.375" style="0" customWidth="1"/>
    <col min="6" max="6" width="6.375" style="0" customWidth="1"/>
    <col min="7" max="7" width="6.875" style="0" customWidth="1"/>
    <col min="8" max="8" width="9.25390625" style="0" bestFit="1" customWidth="1"/>
    <col min="9" max="9" width="8.875" style="0" customWidth="1"/>
    <col min="10" max="10" width="7.125" style="0" customWidth="1"/>
    <col min="11" max="11" width="10.75390625" style="0" customWidth="1"/>
    <col min="12" max="12" width="10.875" style="0" customWidth="1"/>
    <col min="13" max="13" width="6.75390625" style="0" customWidth="1"/>
    <col min="14" max="14" width="6.25390625" style="0" customWidth="1"/>
    <col min="15" max="15" width="6.375" style="0" customWidth="1"/>
    <col min="16" max="16" width="9.25390625" style="0" customWidth="1"/>
    <col min="17" max="17" width="6.875" style="0" customWidth="1"/>
    <col min="18" max="18" width="7.00390625" style="0" customWidth="1"/>
    <col min="19" max="19" width="7.375" style="0" customWidth="1"/>
  </cols>
  <sheetData>
    <row r="1" spans="1:19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5">
      <c r="A2" s="32"/>
      <c r="B2" s="32"/>
      <c r="C2" s="32"/>
      <c r="D2" s="32"/>
      <c r="E2" s="32"/>
      <c r="F2" s="32" t="s">
        <v>131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>
      <c r="A3" s="32"/>
      <c r="B3" s="32"/>
      <c r="C3" s="32"/>
      <c r="D3" s="32"/>
      <c r="E3" s="32"/>
      <c r="F3" s="32"/>
      <c r="G3" s="32"/>
      <c r="H3" s="32" t="s">
        <v>85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">
      <c r="A4" s="35" t="s">
        <v>3</v>
      </c>
      <c r="B4" s="38" t="s">
        <v>101</v>
      </c>
      <c r="C4" s="38"/>
      <c r="D4" s="38"/>
      <c r="E4" s="37"/>
      <c r="F4" s="37"/>
      <c r="G4" s="33"/>
      <c r="H4" s="36" t="s">
        <v>69</v>
      </c>
      <c r="I4" s="37"/>
      <c r="J4" s="38"/>
      <c r="K4" s="37"/>
      <c r="L4" s="37"/>
      <c r="M4" s="33"/>
      <c r="N4" s="36" t="s">
        <v>70</v>
      </c>
      <c r="O4" s="37"/>
      <c r="P4" s="38"/>
      <c r="Q4" s="37"/>
      <c r="R4" s="37"/>
      <c r="S4" s="33"/>
    </row>
    <row r="5" spans="1:19" ht="15">
      <c r="A5" s="46"/>
      <c r="B5" s="37" t="s">
        <v>71</v>
      </c>
      <c r="C5" s="37"/>
      <c r="D5" s="208" t="s">
        <v>110</v>
      </c>
      <c r="E5" s="36" t="s">
        <v>72</v>
      </c>
      <c r="F5" s="40"/>
      <c r="G5" s="47" t="s">
        <v>109</v>
      </c>
      <c r="H5" s="211" t="s">
        <v>71</v>
      </c>
      <c r="I5" s="211"/>
      <c r="J5" s="208" t="s">
        <v>110</v>
      </c>
      <c r="K5" s="211" t="s">
        <v>72</v>
      </c>
      <c r="L5" s="211"/>
      <c r="M5" s="208" t="s">
        <v>110</v>
      </c>
      <c r="N5" s="37" t="s">
        <v>71</v>
      </c>
      <c r="O5" s="37"/>
      <c r="P5" s="208" t="s">
        <v>110</v>
      </c>
      <c r="Q5" s="211" t="s">
        <v>72</v>
      </c>
      <c r="R5" s="211"/>
      <c r="S5" s="208" t="s">
        <v>110</v>
      </c>
    </row>
    <row r="6" spans="1:19" ht="15">
      <c r="A6" s="46"/>
      <c r="B6" s="212">
        <v>2008</v>
      </c>
      <c r="C6" s="212">
        <v>2009</v>
      </c>
      <c r="D6" s="209"/>
      <c r="E6" s="211">
        <v>2008</v>
      </c>
      <c r="F6" s="212">
        <v>2009</v>
      </c>
      <c r="G6" s="49">
        <v>2008</v>
      </c>
      <c r="H6" s="212">
        <v>2008</v>
      </c>
      <c r="I6" s="212">
        <v>2009</v>
      </c>
      <c r="J6" s="209"/>
      <c r="K6" s="212">
        <v>2008</v>
      </c>
      <c r="L6" s="212">
        <v>2009</v>
      </c>
      <c r="M6" s="209"/>
      <c r="N6" s="48">
        <v>2008</v>
      </c>
      <c r="O6" s="35">
        <v>2009</v>
      </c>
      <c r="P6" s="209"/>
      <c r="Q6" s="48">
        <v>2008</v>
      </c>
      <c r="R6" s="46">
        <v>2009</v>
      </c>
      <c r="S6" s="209"/>
    </row>
    <row r="7" spans="1:19" ht="15">
      <c r="A7" s="42"/>
      <c r="B7" s="213"/>
      <c r="C7" s="213"/>
      <c r="D7" s="210"/>
      <c r="E7" s="214"/>
      <c r="F7" s="213"/>
      <c r="G7" s="43" t="s">
        <v>73</v>
      </c>
      <c r="H7" s="213"/>
      <c r="I7" s="213"/>
      <c r="J7" s="210"/>
      <c r="K7" s="213"/>
      <c r="L7" s="213"/>
      <c r="M7" s="210"/>
      <c r="N7" s="42"/>
      <c r="O7" s="50"/>
      <c r="P7" s="210"/>
      <c r="Q7" s="42"/>
      <c r="R7" s="41"/>
      <c r="S7" s="210"/>
    </row>
    <row r="8" spans="1:19" ht="15">
      <c r="A8" s="44" t="s">
        <v>117</v>
      </c>
      <c r="B8" s="10">
        <v>42.94</v>
      </c>
      <c r="C8" s="149">
        <v>17</v>
      </c>
      <c r="D8" s="149">
        <f aca="true" t="shared" si="0" ref="D8:D19">C8/B8*100</f>
        <v>39.59012575687005</v>
      </c>
      <c r="E8" s="42"/>
      <c r="F8" s="16"/>
      <c r="G8" s="149"/>
      <c r="H8" s="42">
        <v>19762</v>
      </c>
      <c r="I8" s="16">
        <v>11779</v>
      </c>
      <c r="J8" s="149">
        <f aca="true" t="shared" si="1" ref="J8:J19">I8/H8*100</f>
        <v>59.60429106365752</v>
      </c>
      <c r="K8" s="34"/>
      <c r="L8" s="44"/>
      <c r="M8" s="149"/>
      <c r="N8" s="149">
        <f aca="true" t="shared" si="2" ref="N8:N18">B8/H8*100000</f>
        <v>217.2856998279526</v>
      </c>
      <c r="O8" s="149">
        <f aca="true" t="shared" si="3" ref="O8:O18">C8/I8*100000</f>
        <v>144.32464555564988</v>
      </c>
      <c r="P8" s="149">
        <f>O8/N8*100</f>
        <v>66.42160329461466</v>
      </c>
      <c r="Q8" s="16"/>
      <c r="R8" s="16"/>
      <c r="S8" s="149"/>
    </row>
    <row r="9" spans="1:19" ht="15">
      <c r="A9" s="34" t="s">
        <v>89</v>
      </c>
      <c r="B9" s="10">
        <v>354</v>
      </c>
      <c r="C9" s="149">
        <v>340</v>
      </c>
      <c r="D9" s="149">
        <f t="shared" si="0"/>
        <v>96.045197740113</v>
      </c>
      <c r="E9" s="10"/>
      <c r="F9" s="44"/>
      <c r="G9" s="149"/>
      <c r="H9" s="10">
        <v>142251</v>
      </c>
      <c r="I9" s="44">
        <v>84659</v>
      </c>
      <c r="J9" s="149">
        <f t="shared" si="1"/>
        <v>59.513817126065895</v>
      </c>
      <c r="K9" s="10"/>
      <c r="L9" s="44"/>
      <c r="M9" s="149"/>
      <c r="N9" s="149">
        <f t="shared" si="2"/>
        <v>248.8558955648818</v>
      </c>
      <c r="O9" s="149">
        <f t="shared" si="3"/>
        <v>401.61116951534984</v>
      </c>
      <c r="P9" s="149">
        <f>O9/N9*100</f>
        <v>161.3830239399097</v>
      </c>
      <c r="Q9" s="149"/>
      <c r="R9" s="149"/>
      <c r="S9" s="149"/>
    </row>
    <row r="10" spans="1:19" ht="15">
      <c r="A10" s="34" t="s">
        <v>90</v>
      </c>
      <c r="B10" s="10">
        <v>155.53</v>
      </c>
      <c r="C10" s="149">
        <v>143.9</v>
      </c>
      <c r="D10" s="149">
        <f t="shared" si="0"/>
        <v>92.52234295634283</v>
      </c>
      <c r="E10" s="10"/>
      <c r="F10" s="44"/>
      <c r="G10" s="149"/>
      <c r="H10" s="10">
        <v>49207</v>
      </c>
      <c r="I10" s="44">
        <v>37695</v>
      </c>
      <c r="J10" s="149">
        <f t="shared" si="1"/>
        <v>76.60495457963297</v>
      </c>
      <c r="K10" s="10"/>
      <c r="L10" s="44"/>
      <c r="M10" s="149"/>
      <c r="N10" s="149">
        <f t="shared" si="2"/>
        <v>316.07291645497594</v>
      </c>
      <c r="O10" s="149">
        <f t="shared" si="3"/>
        <v>381.7482424724765</v>
      </c>
      <c r="P10" s="149">
        <f>O10/N10*100</f>
        <v>120.77853640675849</v>
      </c>
      <c r="Q10" s="149"/>
      <c r="R10" s="149"/>
      <c r="S10" s="149"/>
    </row>
    <row r="11" spans="1:19" ht="15">
      <c r="A11" s="44" t="s">
        <v>115</v>
      </c>
      <c r="B11" s="31">
        <v>72</v>
      </c>
      <c r="C11" s="165">
        <v>80</v>
      </c>
      <c r="D11" s="149">
        <f t="shared" si="0"/>
        <v>111.11111111111111</v>
      </c>
      <c r="E11" s="31"/>
      <c r="F11" s="11"/>
      <c r="G11" s="149"/>
      <c r="H11" s="10">
        <v>16014</v>
      </c>
      <c r="I11" s="44">
        <v>15134</v>
      </c>
      <c r="J11" s="149">
        <f t="shared" si="1"/>
        <v>94.50480829274385</v>
      </c>
      <c r="K11" s="31"/>
      <c r="L11" s="11"/>
      <c r="M11" s="165"/>
      <c r="N11" s="149">
        <f t="shared" si="2"/>
        <v>449.6065942300487</v>
      </c>
      <c r="O11" s="149">
        <f t="shared" si="3"/>
        <v>528.6110744020087</v>
      </c>
      <c r="P11" s="149">
        <f>O11/N11*100</f>
        <v>117.5719131315801</v>
      </c>
      <c r="Q11" s="165"/>
      <c r="R11" s="165"/>
      <c r="S11" s="165"/>
    </row>
    <row r="12" spans="1:19" ht="15">
      <c r="A12" s="44" t="s">
        <v>116</v>
      </c>
      <c r="B12" s="10">
        <v>604</v>
      </c>
      <c r="C12" s="149">
        <v>608</v>
      </c>
      <c r="D12" s="149">
        <f t="shared" si="0"/>
        <v>100.66225165562915</v>
      </c>
      <c r="E12" s="34">
        <v>289</v>
      </c>
      <c r="F12" s="44">
        <v>294</v>
      </c>
      <c r="G12" s="149">
        <f>F12/E12*100</f>
        <v>101.73010380622839</v>
      </c>
      <c r="H12" s="10">
        <v>175092</v>
      </c>
      <c r="I12" s="44">
        <v>176006</v>
      </c>
      <c r="J12" s="149">
        <f t="shared" si="1"/>
        <v>100.52201128549562</v>
      </c>
      <c r="K12" s="10">
        <v>60842</v>
      </c>
      <c r="L12" s="44">
        <v>70054</v>
      </c>
      <c r="M12" s="149">
        <f>L12/K12*100</f>
        <v>115.14085664508069</v>
      </c>
      <c r="N12" s="149">
        <f t="shared" si="2"/>
        <v>344.9615059511571</v>
      </c>
      <c r="O12" s="149">
        <f t="shared" si="3"/>
        <v>345.4427689965115</v>
      </c>
      <c r="P12" s="149">
        <f>O12/N12*100</f>
        <v>100.13951210122052</v>
      </c>
      <c r="Q12" s="149">
        <f>E12/K12*100000</f>
        <v>475.0008218007298</v>
      </c>
      <c r="R12" s="149">
        <f>F12/L12*100000</f>
        <v>419.67624975019277</v>
      </c>
      <c r="S12" s="149">
        <f>R12/Q12*100</f>
        <v>88.35274182457171</v>
      </c>
    </row>
    <row r="13" spans="1:19" ht="15">
      <c r="A13" s="45" t="s">
        <v>91</v>
      </c>
      <c r="B13" s="10">
        <v>475</v>
      </c>
      <c r="C13" s="149">
        <v>465</v>
      </c>
      <c r="D13" s="149">
        <f t="shared" si="0"/>
        <v>97.89473684210527</v>
      </c>
      <c r="E13" s="10">
        <v>332</v>
      </c>
      <c r="F13" s="44">
        <v>181</v>
      </c>
      <c r="G13" s="149">
        <f>F13/E13*100</f>
        <v>54.51807228915663</v>
      </c>
      <c r="H13" s="10">
        <v>96392</v>
      </c>
      <c r="I13" s="44">
        <v>86469</v>
      </c>
      <c r="J13" s="149">
        <f t="shared" si="1"/>
        <v>89.70557722632584</v>
      </c>
      <c r="K13" s="10">
        <v>106480</v>
      </c>
      <c r="L13" s="44">
        <v>61983</v>
      </c>
      <c r="M13" s="149">
        <f>L13/K13*100</f>
        <v>58.210931630353116</v>
      </c>
      <c r="N13" s="149">
        <f t="shared" si="2"/>
        <v>492.7794837745871</v>
      </c>
      <c r="O13" s="149">
        <f t="shared" si="3"/>
        <v>537.7649793567637</v>
      </c>
      <c r="P13" s="149">
        <f aca="true" t="shared" si="4" ref="P13:P18">O13/N13*100</f>
        <v>109.12893029506772</v>
      </c>
      <c r="Q13" s="149">
        <f>E13/K13*100000</f>
        <v>311.7956423741548</v>
      </c>
      <c r="R13" s="149">
        <f>F13/L13*100000</f>
        <v>292.0155526515335</v>
      </c>
      <c r="S13" s="149">
        <f>R13/Q13*100</f>
        <v>93.65607242872073</v>
      </c>
    </row>
    <row r="14" spans="1:19" ht="15">
      <c r="A14" s="44" t="s">
        <v>92</v>
      </c>
      <c r="B14" s="29">
        <v>36.8</v>
      </c>
      <c r="C14" s="150"/>
      <c r="D14" s="150">
        <f t="shared" si="0"/>
        <v>0</v>
      </c>
      <c r="E14" s="29"/>
      <c r="F14" s="45"/>
      <c r="G14" s="149"/>
      <c r="H14" s="29">
        <v>13146</v>
      </c>
      <c r="I14" s="45"/>
      <c r="J14" s="150">
        <f t="shared" si="1"/>
        <v>0</v>
      </c>
      <c r="K14" s="29"/>
      <c r="L14" s="45"/>
      <c r="M14" s="150"/>
      <c r="N14" s="149">
        <f t="shared" si="2"/>
        <v>279.9330594857751</v>
      </c>
      <c r="O14" s="149"/>
      <c r="P14" s="150"/>
      <c r="Q14" s="149"/>
      <c r="R14" s="149"/>
      <c r="S14" s="149"/>
    </row>
    <row r="15" spans="1:19" ht="15">
      <c r="A15" s="45" t="s">
        <v>114</v>
      </c>
      <c r="B15" s="29">
        <v>105.71</v>
      </c>
      <c r="C15" s="150">
        <v>133</v>
      </c>
      <c r="D15" s="150">
        <f>C15/B15*100</f>
        <v>125.81591145586984</v>
      </c>
      <c r="E15" s="29"/>
      <c r="F15" s="45"/>
      <c r="G15" s="149"/>
      <c r="H15" s="29">
        <v>34839</v>
      </c>
      <c r="I15" s="45">
        <v>42379</v>
      </c>
      <c r="J15" s="150">
        <f t="shared" si="1"/>
        <v>121.64241223915727</v>
      </c>
      <c r="K15" s="29"/>
      <c r="L15" s="45"/>
      <c r="M15" s="150"/>
      <c r="N15" s="149">
        <f t="shared" si="2"/>
        <v>303.4243233158242</v>
      </c>
      <c r="O15" s="149">
        <f t="shared" si="3"/>
        <v>313.83468227187996</v>
      </c>
      <c r="P15" s="150">
        <f t="shared" si="4"/>
        <v>103.43095729514735</v>
      </c>
      <c r="Q15" s="149"/>
      <c r="R15" s="149"/>
      <c r="S15" s="149"/>
    </row>
    <row r="16" spans="1:19" ht="15">
      <c r="A16" s="52" t="s">
        <v>93</v>
      </c>
      <c r="B16" s="29">
        <v>157.2</v>
      </c>
      <c r="C16" s="150">
        <v>114</v>
      </c>
      <c r="D16" s="150">
        <f t="shared" si="0"/>
        <v>72.51908396946565</v>
      </c>
      <c r="E16" s="29">
        <v>26.7</v>
      </c>
      <c r="F16" s="45">
        <v>12</v>
      </c>
      <c r="G16" s="149">
        <f>F16/E16*100</f>
        <v>44.9438202247191</v>
      </c>
      <c r="H16" s="29">
        <v>39112</v>
      </c>
      <c r="I16" s="45">
        <v>29331</v>
      </c>
      <c r="J16" s="150">
        <f t="shared" si="1"/>
        <v>74.9923297197791</v>
      </c>
      <c r="K16" s="29">
        <v>22324</v>
      </c>
      <c r="L16" s="45">
        <v>8000</v>
      </c>
      <c r="M16" s="150">
        <f>L16/K16*100</f>
        <v>35.83587170757929</v>
      </c>
      <c r="N16" s="149">
        <f t="shared" si="2"/>
        <v>401.92268357537324</v>
      </c>
      <c r="O16" s="149">
        <f t="shared" si="3"/>
        <v>388.66728035184616</v>
      </c>
      <c r="P16" s="150">
        <f t="shared" si="4"/>
        <v>96.70200171196825</v>
      </c>
      <c r="Q16" s="149">
        <f>E16/K16*100000</f>
        <v>119.60222182404586</v>
      </c>
      <c r="R16" s="149">
        <f>F16/L16*100000</f>
        <v>150</v>
      </c>
      <c r="S16" s="149">
        <f>R16/Q16*100</f>
        <v>125.41573033707867</v>
      </c>
    </row>
    <row r="17" spans="1:19" s="117" customFormat="1" ht="15">
      <c r="A17" s="45" t="s">
        <v>113</v>
      </c>
      <c r="B17" s="184">
        <v>124</v>
      </c>
      <c r="C17" s="167">
        <v>186.7</v>
      </c>
      <c r="D17" s="167">
        <f t="shared" si="0"/>
        <v>150.56451612903226</v>
      </c>
      <c r="E17" s="184"/>
      <c r="F17" s="166"/>
      <c r="G17" s="167"/>
      <c r="H17" s="184">
        <v>34675</v>
      </c>
      <c r="I17" s="166">
        <v>26592</v>
      </c>
      <c r="J17" s="167">
        <f t="shared" si="1"/>
        <v>76.68925739005047</v>
      </c>
      <c r="K17" s="184"/>
      <c r="L17" s="166"/>
      <c r="M17" s="167"/>
      <c r="N17" s="149">
        <f t="shared" si="2"/>
        <v>357.606344628695</v>
      </c>
      <c r="O17" s="149">
        <f t="shared" si="3"/>
        <v>702.0908543922984</v>
      </c>
      <c r="P17" s="167">
        <f t="shared" si="4"/>
        <v>196.33064819397538</v>
      </c>
      <c r="Q17" s="149"/>
      <c r="R17" s="149"/>
      <c r="S17" s="167"/>
    </row>
    <row r="18" spans="1:19" ht="15">
      <c r="A18" s="52" t="s">
        <v>94</v>
      </c>
      <c r="B18" s="29">
        <v>140</v>
      </c>
      <c r="C18" s="150">
        <v>149</v>
      </c>
      <c r="D18" s="150">
        <f t="shared" si="0"/>
        <v>106.42857142857143</v>
      </c>
      <c r="E18" s="29"/>
      <c r="F18" s="45"/>
      <c r="G18" s="150"/>
      <c r="H18" s="29">
        <v>53533</v>
      </c>
      <c r="I18" s="45">
        <v>38338</v>
      </c>
      <c r="J18" s="150">
        <f t="shared" si="1"/>
        <v>71.61563895167467</v>
      </c>
      <c r="K18" s="29"/>
      <c r="L18" s="45"/>
      <c r="M18" s="150"/>
      <c r="N18" s="149">
        <f t="shared" si="2"/>
        <v>261.5209310145144</v>
      </c>
      <c r="O18" s="149">
        <f t="shared" si="3"/>
        <v>388.6483384631436</v>
      </c>
      <c r="P18" s="150">
        <f t="shared" si="4"/>
        <v>148.61079644962476</v>
      </c>
      <c r="Q18" s="149"/>
      <c r="R18" s="149"/>
      <c r="S18" s="150"/>
    </row>
    <row r="19" spans="1:19" ht="15">
      <c r="A19" s="52" t="s">
        <v>95</v>
      </c>
      <c r="B19" s="29">
        <v>115</v>
      </c>
      <c r="C19" s="150">
        <v>63.6</v>
      </c>
      <c r="D19" s="150">
        <f t="shared" si="0"/>
        <v>55.30434782608695</v>
      </c>
      <c r="E19" s="29"/>
      <c r="F19" s="45"/>
      <c r="G19" s="150"/>
      <c r="H19" s="29">
        <v>21946</v>
      </c>
      <c r="I19" s="45">
        <v>11853</v>
      </c>
      <c r="J19" s="150">
        <f t="shared" si="1"/>
        <v>54.00984234028981</v>
      </c>
      <c r="K19" s="29"/>
      <c r="L19" s="45"/>
      <c r="M19" s="150"/>
      <c r="N19" s="149">
        <f>B19/H19*100000</f>
        <v>524.0134876515083</v>
      </c>
      <c r="O19" s="149">
        <f>C19/I19*100000</f>
        <v>536.573019488737</v>
      </c>
      <c r="P19" s="150">
        <f>O19/N19*100</f>
        <v>102.39679552782455</v>
      </c>
      <c r="Q19" s="149"/>
      <c r="R19" s="149"/>
      <c r="S19" s="150"/>
    </row>
    <row r="20" spans="1:19" ht="15">
      <c r="A20" s="52" t="s">
        <v>96</v>
      </c>
      <c r="B20" s="29"/>
      <c r="C20" s="150"/>
      <c r="D20" s="150"/>
      <c r="E20" s="29">
        <v>6493</v>
      </c>
      <c r="F20" s="45">
        <v>7326</v>
      </c>
      <c r="G20" s="150">
        <f>F20/E20*100</f>
        <v>112.82920067765285</v>
      </c>
      <c r="H20" s="29"/>
      <c r="I20" s="45"/>
      <c r="J20" s="150"/>
      <c r="K20" s="29">
        <v>1829667</v>
      </c>
      <c r="L20" s="45">
        <v>1871464</v>
      </c>
      <c r="M20" s="150">
        <f>L20/K20*100</f>
        <v>102.28440475780565</v>
      </c>
      <c r="N20" s="149"/>
      <c r="O20" s="149"/>
      <c r="P20" s="150"/>
      <c r="Q20" s="149">
        <f>E20/K20*100000</f>
        <v>354.8733184781712</v>
      </c>
      <c r="R20" s="149">
        <f>F20/L20*100000</f>
        <v>391.4582380425164</v>
      </c>
      <c r="S20" s="150">
        <f>R20/Q20*100</f>
        <v>110.30929000839933</v>
      </c>
    </row>
    <row r="21" spans="1:19" ht="15">
      <c r="A21" s="34" t="s">
        <v>23</v>
      </c>
      <c r="B21" s="149">
        <f>SUM(B8:B20)</f>
        <v>2382.1800000000003</v>
      </c>
      <c r="C21" s="149">
        <f>SUM(C8:C20)</f>
        <v>2300.2</v>
      </c>
      <c r="D21" s="149">
        <f>C21/B21*100</f>
        <v>96.55861437842647</v>
      </c>
      <c r="E21" s="168">
        <f>SUM(E9:E20)</f>
        <v>7140.7</v>
      </c>
      <c r="F21" s="44">
        <f>SUM(F9:F20)</f>
        <v>7813</v>
      </c>
      <c r="G21" s="149">
        <f>F21/E21*100</f>
        <v>109.41504334308962</v>
      </c>
      <c r="H21" s="44">
        <f>SUM(H8:H20)</f>
        <v>695969</v>
      </c>
      <c r="I21" s="44">
        <f>SUM(I8:I20)</f>
        <v>560235</v>
      </c>
      <c r="J21" s="149">
        <f>I21/H21*100</f>
        <v>80.49711984298152</v>
      </c>
      <c r="K21" s="44">
        <f>SUM(K9:K20)</f>
        <v>2019313</v>
      </c>
      <c r="L21" s="44">
        <f>SUM(L9:L20)</f>
        <v>2011501</v>
      </c>
      <c r="M21" s="149">
        <f>L21/K21*100</f>
        <v>99.61313575458584</v>
      </c>
      <c r="N21" s="149">
        <f>B21/H21*100000</f>
        <v>342.28248671995453</v>
      </c>
      <c r="O21" s="149">
        <f>C21/I21*100000</f>
        <v>410.5777039992146</v>
      </c>
      <c r="P21" s="149">
        <f>O21/N21*100</f>
        <v>119.95288100589767</v>
      </c>
      <c r="Q21" s="149">
        <f>E21/K21*100000</f>
        <v>353.6202659023143</v>
      </c>
      <c r="R21" s="149">
        <f>F21/L21*100000</f>
        <v>388.41641142609427</v>
      </c>
      <c r="S21" s="149">
        <f>R21/Q21*100</f>
        <v>109.83997493327836</v>
      </c>
    </row>
    <row r="23" spans="1:12" ht="12.75">
      <c r="A23" s="160" t="s">
        <v>112</v>
      </c>
      <c r="C23" s="121"/>
      <c r="D23" s="121"/>
      <c r="E23" s="121"/>
      <c r="F23" s="121"/>
      <c r="G23" s="121"/>
      <c r="H23" s="121"/>
      <c r="I23" s="121"/>
      <c r="K23" s="157"/>
      <c r="L23" s="162" t="s">
        <v>99</v>
      </c>
    </row>
    <row r="24" spans="2:18" ht="14.2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4.25">
      <c r="B25" s="145" t="s">
        <v>100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</sheetData>
  <mergeCells count="16">
    <mergeCell ref="B6:B7"/>
    <mergeCell ref="C6:C7"/>
    <mergeCell ref="J5:J7"/>
    <mergeCell ref="D5:D7"/>
    <mergeCell ref="H5:I5"/>
    <mergeCell ref="H6:H7"/>
    <mergeCell ref="I6:I7"/>
    <mergeCell ref="E6:E7"/>
    <mergeCell ref="F6:F7"/>
    <mergeCell ref="M5:M7"/>
    <mergeCell ref="P5:P7"/>
    <mergeCell ref="S5:S7"/>
    <mergeCell ref="K5:L5"/>
    <mergeCell ref="Q5:R5"/>
    <mergeCell ref="K6:K7"/>
    <mergeCell ref="L6:L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75" zoomScaleNormal="50" zoomScaleSheetLayoutView="75" workbookViewId="0" topLeftCell="B1">
      <selection activeCell="M19" sqref="M19"/>
    </sheetView>
  </sheetViews>
  <sheetFormatPr defaultColWidth="9.00390625" defaultRowHeight="12.75"/>
  <cols>
    <col min="1" max="1" width="3.625" style="0" customWidth="1"/>
    <col min="2" max="2" width="34.875" style="0" customWidth="1"/>
    <col min="3" max="3" width="7.25390625" style="0" customWidth="1"/>
    <col min="4" max="4" width="7.125" style="0" customWidth="1"/>
    <col min="5" max="5" width="8.125" style="0" customWidth="1"/>
    <col min="6" max="6" width="8.75390625" style="0" customWidth="1"/>
    <col min="7" max="7" width="8.8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10.375" style="0" customWidth="1"/>
    <col min="14" max="14" width="11.375" style="0" bestFit="1" customWidth="1"/>
  </cols>
  <sheetData>
    <row r="1" ht="15.75">
      <c r="C1" s="1" t="s">
        <v>130</v>
      </c>
    </row>
    <row r="2" spans="1:12" ht="15">
      <c r="A2" s="32"/>
      <c r="B2" s="32"/>
      <c r="C2" s="32"/>
      <c r="D2" s="32"/>
      <c r="E2" s="32"/>
      <c r="F2" s="32"/>
      <c r="G2" s="32"/>
      <c r="H2" s="20" t="s">
        <v>79</v>
      </c>
      <c r="I2" s="32"/>
      <c r="J2" s="32"/>
      <c r="K2" s="32"/>
      <c r="L2" s="32"/>
    </row>
    <row r="3" spans="1:14" ht="15">
      <c r="A3" s="35" t="s">
        <v>2</v>
      </c>
      <c r="B3" s="35" t="s">
        <v>3</v>
      </c>
      <c r="C3" s="37"/>
      <c r="D3" s="37" t="s">
        <v>75</v>
      </c>
      <c r="E3" s="40"/>
      <c r="F3" s="216" t="s">
        <v>9</v>
      </c>
      <c r="G3" s="217"/>
      <c r="H3" s="218"/>
      <c r="I3" s="216" t="s">
        <v>120</v>
      </c>
      <c r="J3" s="225"/>
      <c r="K3" s="226" t="s">
        <v>121</v>
      </c>
      <c r="L3" s="227"/>
      <c r="M3" s="228"/>
      <c r="N3" s="219"/>
    </row>
    <row r="4" spans="1:14" ht="15">
      <c r="A4" s="46"/>
      <c r="B4" s="46"/>
      <c r="C4" s="19">
        <v>2008</v>
      </c>
      <c r="D4" s="57">
        <v>2009</v>
      </c>
      <c r="E4" s="30" t="s">
        <v>6</v>
      </c>
      <c r="F4" s="221">
        <v>2008</v>
      </c>
      <c r="G4" s="223">
        <v>2009</v>
      </c>
      <c r="H4" s="31" t="s">
        <v>6</v>
      </c>
      <c r="I4" s="218">
        <v>2008</v>
      </c>
      <c r="J4" s="212">
        <v>2009</v>
      </c>
      <c r="K4" s="208" t="s">
        <v>1</v>
      </c>
      <c r="L4" s="208" t="s">
        <v>122</v>
      </c>
      <c r="M4" s="208" t="s">
        <v>123</v>
      </c>
      <c r="N4" s="220"/>
    </row>
    <row r="5" spans="1:14" ht="15.75" customHeight="1">
      <c r="A5" s="42"/>
      <c r="B5" s="42"/>
      <c r="C5" s="41"/>
      <c r="D5" s="50"/>
      <c r="E5" s="54">
        <v>2008</v>
      </c>
      <c r="F5" s="222"/>
      <c r="G5" s="224"/>
      <c r="H5" s="21">
        <v>2008</v>
      </c>
      <c r="I5" s="195"/>
      <c r="J5" s="215"/>
      <c r="K5" s="229"/>
      <c r="L5" s="229"/>
      <c r="M5" s="229"/>
      <c r="N5" s="220"/>
    </row>
    <row r="6" spans="1:14" ht="18">
      <c r="A6" s="10" t="s">
        <v>10</v>
      </c>
      <c r="B6" s="44" t="s">
        <v>117</v>
      </c>
      <c r="C6" s="151"/>
      <c r="D6" s="151"/>
      <c r="E6" s="164"/>
      <c r="F6" s="151">
        <v>1</v>
      </c>
      <c r="G6" s="151"/>
      <c r="H6" s="181"/>
      <c r="I6" s="164">
        <f>F6+(C6*0.2)+('численность 1'!M6*0.3)+'численность 1'!G6+(('численность 1'!C6-'численность 1'!G6-'численность 1'!F6)*0.6)+'численность 1'!F6</f>
        <v>63</v>
      </c>
      <c r="J6" s="164"/>
      <c r="K6" s="164"/>
      <c r="L6" s="164"/>
      <c r="M6" s="164"/>
      <c r="N6" s="174"/>
    </row>
    <row r="7" spans="1:14" ht="18">
      <c r="A7" s="10" t="s">
        <v>11</v>
      </c>
      <c r="B7" s="34" t="s">
        <v>89</v>
      </c>
      <c r="C7" s="151"/>
      <c r="D7" s="151"/>
      <c r="E7" s="164"/>
      <c r="F7" s="151">
        <v>46</v>
      </c>
      <c r="G7" s="151">
        <v>27</v>
      </c>
      <c r="H7" s="163">
        <f aca="true" t="shared" si="0" ref="H7:H18">G7*100/F7</f>
        <v>58.69565217391305</v>
      </c>
      <c r="I7" s="164">
        <f>F7+(C7*0.2)+('численность 1'!M7*0.3)+'численность 1'!G7+(('численность 1'!C7-'численность 1'!G7)*0.6)</f>
        <v>444</v>
      </c>
      <c r="J7" s="164">
        <f>G7+(D7*0.2)+('численность 1'!N7*0.3)+'численность 1'!H7+(('численность 1'!D7-'численность 1'!H7)*0.6)</f>
        <v>283.8</v>
      </c>
      <c r="K7" s="164">
        <v>4700</v>
      </c>
      <c r="L7" s="164">
        <v>1441</v>
      </c>
      <c r="M7" s="164"/>
      <c r="N7" s="174"/>
    </row>
    <row r="8" spans="1:14" ht="18">
      <c r="A8" s="10" t="s">
        <v>12</v>
      </c>
      <c r="B8" s="34" t="s">
        <v>90</v>
      </c>
      <c r="C8" s="151"/>
      <c r="D8" s="151"/>
      <c r="E8" s="164"/>
      <c r="F8" s="151">
        <v>7</v>
      </c>
      <c r="G8" s="151">
        <v>7</v>
      </c>
      <c r="H8" s="163">
        <f t="shared" si="0"/>
        <v>100</v>
      </c>
      <c r="I8" s="164">
        <f>F8+(C8*0.2)+('численность 1'!M8*0.3)+'численность 1'!G8+(('численность 1'!C8-'численность 1'!G8)*0.6)</f>
        <v>176.8</v>
      </c>
      <c r="J8" s="164">
        <f>G8+(D8*0.2)+('численность 1'!N8*0.3)+'численность 1'!H8+(('численность 1'!D8-'численность 1'!H8)*0.6)</f>
        <v>165.4</v>
      </c>
      <c r="K8" s="164">
        <v>2947</v>
      </c>
      <c r="L8" s="164">
        <v>1122</v>
      </c>
      <c r="M8" s="164"/>
      <c r="N8" s="174"/>
    </row>
    <row r="9" spans="1:14" ht="18">
      <c r="A9" s="10">
        <v>4</v>
      </c>
      <c r="B9" s="44" t="s">
        <v>115</v>
      </c>
      <c r="C9" s="151"/>
      <c r="D9" s="151"/>
      <c r="E9" s="164"/>
      <c r="F9" s="151">
        <v>7</v>
      </c>
      <c r="G9" s="151">
        <v>2</v>
      </c>
      <c r="H9" s="163">
        <f t="shared" si="0"/>
        <v>28.571428571428573</v>
      </c>
      <c r="I9" s="164">
        <f>F9+(C9*0.2)+('численность 1'!M9*0.3)+'численность 1'!G9+(('численность 1'!C9-'численность 1'!G9)*0.6)</f>
        <v>90.4</v>
      </c>
      <c r="J9" s="164">
        <f>G9+(D9*0.2)+('численность 1'!N9*0.3)+'численность 1'!H9+(('численность 1'!D9-'численность 1'!H9)*0.6)</f>
        <v>80.6</v>
      </c>
      <c r="K9" s="164">
        <v>1355</v>
      </c>
      <c r="L9" s="164">
        <v>578</v>
      </c>
      <c r="M9" s="164"/>
      <c r="N9" s="174"/>
    </row>
    <row r="10" spans="1:14" ht="18">
      <c r="A10" s="10">
        <v>5</v>
      </c>
      <c r="B10" s="44" t="s">
        <v>116</v>
      </c>
      <c r="C10" s="151"/>
      <c r="D10" s="151"/>
      <c r="E10" s="151"/>
      <c r="F10" s="151">
        <v>36</v>
      </c>
      <c r="G10" s="151">
        <v>34</v>
      </c>
      <c r="H10" s="163">
        <f t="shared" si="0"/>
        <v>94.44444444444444</v>
      </c>
      <c r="I10" s="164">
        <f>F10+(C10*0.2)+('численность 1'!M10*0.3)+'численность 1'!G10+(('численность 1'!C10-'численность 1'!G10)*0.6)</f>
        <v>831.2</v>
      </c>
      <c r="J10" s="164">
        <f>G10+(D10*0.2)+('численность 1'!N10*0.3)+'численность 1'!H10+(('численность 1'!D10-'численность 1'!H10)*0.6)</f>
        <v>811.1</v>
      </c>
      <c r="K10" s="164">
        <v>10044</v>
      </c>
      <c r="L10" s="164">
        <v>4410</v>
      </c>
      <c r="M10" s="164"/>
      <c r="N10" s="174"/>
    </row>
    <row r="11" spans="1:14" ht="18">
      <c r="A11" s="10" t="s">
        <v>15</v>
      </c>
      <c r="B11" s="45" t="s">
        <v>91</v>
      </c>
      <c r="C11" s="183">
        <v>118</v>
      </c>
      <c r="D11" s="151">
        <v>111</v>
      </c>
      <c r="E11" s="164">
        <f>D11/C11*100</f>
        <v>94.0677966101695</v>
      </c>
      <c r="F11" s="151">
        <v>69</v>
      </c>
      <c r="G11" s="151">
        <v>50</v>
      </c>
      <c r="H11" s="163">
        <f t="shared" si="0"/>
        <v>72.46376811594203</v>
      </c>
      <c r="I11" s="164">
        <f>F11+(C11*0.2)+('численность 1'!M11*0.3)+'численность 1'!G11+(('численность 1'!C11-'численность 1'!G11)*0.6)</f>
        <v>743.4000000000001</v>
      </c>
      <c r="J11" s="164">
        <f>G11+(D11*0.2)+('численность 1'!N11*0.3)+'численность 1'!H11+(('численность 1'!D11-'численность 1'!H11)*0.6)</f>
        <v>556.2</v>
      </c>
      <c r="K11" s="164">
        <v>7100</v>
      </c>
      <c r="L11" s="164">
        <v>3000</v>
      </c>
      <c r="M11" s="164"/>
      <c r="N11" s="174"/>
    </row>
    <row r="12" spans="1:14" ht="18">
      <c r="A12" s="10" t="s">
        <v>16</v>
      </c>
      <c r="B12" s="44" t="s">
        <v>92</v>
      </c>
      <c r="C12" s="151"/>
      <c r="D12" s="151"/>
      <c r="E12" s="164"/>
      <c r="F12" s="151"/>
      <c r="G12" s="151"/>
      <c r="H12" s="163"/>
      <c r="I12" s="164"/>
      <c r="J12" s="164"/>
      <c r="K12" s="164"/>
      <c r="L12" s="164"/>
      <c r="M12" s="164"/>
      <c r="N12" s="174"/>
    </row>
    <row r="13" spans="1:14" ht="18">
      <c r="A13" s="29" t="s">
        <v>17</v>
      </c>
      <c r="B13" s="45" t="s">
        <v>114</v>
      </c>
      <c r="C13" s="152"/>
      <c r="D13" s="152"/>
      <c r="E13" s="163"/>
      <c r="F13" s="151">
        <v>22</v>
      </c>
      <c r="G13" s="151">
        <v>16</v>
      </c>
      <c r="H13" s="163">
        <f t="shared" si="0"/>
        <v>72.72727272727273</v>
      </c>
      <c r="I13" s="164">
        <f>F13+(C13*0.2)+('численность 1'!M13*0.3)+'численность 1'!G13+(('численность 1'!C13-'численность 1'!G13)*0.6)</f>
        <v>281.6</v>
      </c>
      <c r="J13" s="164">
        <f>G13+(D13*0.2)+('численность 1'!N13*0.3)+'численность 1'!H13+(('численность 1'!D13-'численность 1'!H13)*0.6)</f>
        <v>238.4</v>
      </c>
      <c r="K13" s="164">
        <v>4926</v>
      </c>
      <c r="L13" s="164">
        <v>180</v>
      </c>
      <c r="M13" s="164"/>
      <c r="N13" s="174"/>
    </row>
    <row r="14" spans="1:14" ht="18">
      <c r="A14" s="29" t="s">
        <v>18</v>
      </c>
      <c r="B14" s="52" t="s">
        <v>93</v>
      </c>
      <c r="C14" s="152"/>
      <c r="D14" s="152"/>
      <c r="E14" s="163"/>
      <c r="F14" s="152">
        <v>6</v>
      </c>
      <c r="G14" s="152">
        <v>4</v>
      </c>
      <c r="H14" s="163">
        <f t="shared" si="0"/>
        <v>66.66666666666667</v>
      </c>
      <c r="I14" s="164">
        <f>F14+(C14*0.2)+('численность 1'!M14*0.3)+'численность 1'!G14+(('численность 1'!C14-'численность 1'!G14)*0.6)</f>
        <v>153.6</v>
      </c>
      <c r="J14" s="164">
        <f>G14+(D14*0.2)+('численность 1'!N14*0.3)+'численность 1'!H14+(('численность 1'!D14-'численность 1'!H14)*0.6)</f>
        <v>103.4</v>
      </c>
      <c r="K14" s="164">
        <v>2055</v>
      </c>
      <c r="L14" s="164">
        <v>640</v>
      </c>
      <c r="M14" s="164"/>
      <c r="N14" s="174"/>
    </row>
    <row r="15" spans="1:14" ht="18">
      <c r="A15" s="29" t="s">
        <v>19</v>
      </c>
      <c r="B15" s="45" t="s">
        <v>113</v>
      </c>
      <c r="C15" s="152"/>
      <c r="D15" s="152">
        <v>58</v>
      </c>
      <c r="E15" s="164"/>
      <c r="F15" s="151">
        <v>5</v>
      </c>
      <c r="G15" s="151">
        <v>4</v>
      </c>
      <c r="H15" s="163">
        <f t="shared" si="0"/>
        <v>80</v>
      </c>
      <c r="I15" s="164">
        <f>F15+(C15*0.2)+('численность 1'!M15*0.3)+'численность 1'!G15+(('численность 1'!C15-'численность 1'!G15)*0.6)</f>
        <v>105.19999999999999</v>
      </c>
      <c r="J15" s="164">
        <f>G15+(D15*0.2)+('численность 1'!N15*0.3)+'численность 1'!H15+(('численность 1'!D15-'численность 1'!H15)*0.6)</f>
        <v>143.39999999999998</v>
      </c>
      <c r="K15" s="164">
        <v>3010</v>
      </c>
      <c r="L15" s="164">
        <v>950</v>
      </c>
      <c r="M15" s="164"/>
      <c r="N15" s="174"/>
    </row>
    <row r="16" spans="1:14" ht="18">
      <c r="A16" s="29" t="s">
        <v>20</v>
      </c>
      <c r="B16" s="52" t="s">
        <v>94</v>
      </c>
      <c r="C16" s="152"/>
      <c r="D16" s="152"/>
      <c r="E16" s="163"/>
      <c r="F16" s="151">
        <v>20</v>
      </c>
      <c r="G16" s="151">
        <v>15</v>
      </c>
      <c r="H16" s="163">
        <f t="shared" si="0"/>
        <v>75</v>
      </c>
      <c r="I16" s="164">
        <f>F16+(C16*0.2)+('численность 1'!M16*0.3)+'численность 1'!G16+(('численность 1'!C16-'численность 1'!G16)*0.6)</f>
        <v>216.6</v>
      </c>
      <c r="J16" s="164">
        <f>G16+(D16*0.2)+('численность 1'!N16*0.3)+'численность 1'!H16+(('численность 1'!D16-'численность 1'!H16)*0.6)</f>
        <v>178.6</v>
      </c>
      <c r="K16" s="164">
        <v>2290</v>
      </c>
      <c r="L16" s="164">
        <v>99</v>
      </c>
      <c r="M16" s="164"/>
      <c r="N16" s="174"/>
    </row>
    <row r="17" spans="1:14" ht="18">
      <c r="A17" s="29" t="s">
        <v>21</v>
      </c>
      <c r="B17" s="52" t="s">
        <v>95</v>
      </c>
      <c r="C17" s="152"/>
      <c r="D17" s="152"/>
      <c r="E17" s="163"/>
      <c r="F17" s="151">
        <v>4</v>
      </c>
      <c r="G17" s="151">
        <v>3</v>
      </c>
      <c r="H17" s="163">
        <f t="shared" si="0"/>
        <v>75</v>
      </c>
      <c r="I17" s="164">
        <f>F17+(C17*0.2)+('численность 1'!M17*0.3)+'численность 1'!G17+(('численность 1'!C17-'численность 1'!G17)*0.6)</f>
        <v>66.4</v>
      </c>
      <c r="J17" s="164">
        <f>G17+(D17*0.2)+('численность 1'!N17*0.3)+'численность 1'!H17+(('численность 1'!D17-'численность 1'!H17)*0.6)</f>
        <v>58.8</v>
      </c>
      <c r="K17" s="164">
        <v>2652</v>
      </c>
      <c r="L17" s="164">
        <v>37</v>
      </c>
      <c r="M17" s="164"/>
      <c r="N17" s="174"/>
    </row>
    <row r="18" spans="1:14" ht="18">
      <c r="A18" s="29" t="s">
        <v>22</v>
      </c>
      <c r="B18" s="52" t="s">
        <v>96</v>
      </c>
      <c r="C18" s="152"/>
      <c r="D18" s="152"/>
      <c r="E18" s="163"/>
      <c r="F18" s="151">
        <v>1</v>
      </c>
      <c r="G18" s="151">
        <v>1</v>
      </c>
      <c r="H18" s="163">
        <f t="shared" si="0"/>
        <v>100</v>
      </c>
      <c r="I18" s="164">
        <f>F18+(C18*0.2)+('численность 1'!M18*0.3)+'численность 1'!G18+(('численность 1'!C18-'численность 1'!G18)*0.6)</f>
        <v>1963.3</v>
      </c>
      <c r="J18" s="164">
        <f>G18+(D18*0.2)+('численность 1'!N18*0.3)+'численность 1'!H18+(('численность 1'!D18-'численность 1'!H18)*0.6)</f>
        <v>2435.2</v>
      </c>
      <c r="K18" s="164">
        <v>22070</v>
      </c>
      <c r="L18" s="164">
        <v>22070</v>
      </c>
      <c r="M18" s="164"/>
      <c r="N18" s="174"/>
    </row>
    <row r="19" spans="1:14" ht="18">
      <c r="A19" s="34"/>
      <c r="B19" s="34" t="s">
        <v>23</v>
      </c>
      <c r="C19" s="151">
        <f>SUM(C7:C18)</f>
        <v>118</v>
      </c>
      <c r="D19" s="151">
        <f>SUM(D7:D18)</f>
        <v>169</v>
      </c>
      <c r="E19" s="164">
        <f>D19/C19*100</f>
        <v>143.22033898305085</v>
      </c>
      <c r="F19" s="22">
        <f>SUM(F6:F18)</f>
        <v>224</v>
      </c>
      <c r="G19" s="151">
        <f>SUM(G6:G18)</f>
        <v>163</v>
      </c>
      <c r="H19" s="163">
        <f>G19*100/F19</f>
        <v>72.76785714285714</v>
      </c>
      <c r="I19" s="164">
        <f>SUM(I7:I18)</f>
        <v>5072.5</v>
      </c>
      <c r="J19" s="164">
        <f>G19+(D19*0.2)+('численность 1'!N19*0.3)+'численность 1'!H19+(('численность 1'!D19-'численность 1'!H19)*0.6)</f>
        <v>5054.9</v>
      </c>
      <c r="K19" s="164">
        <f>SUM(K6:K18)</f>
        <v>63149</v>
      </c>
      <c r="L19" s="164">
        <f>SUM(L6:L18)</f>
        <v>34527</v>
      </c>
      <c r="M19" s="164"/>
      <c r="N19" s="174"/>
    </row>
    <row r="20" spans="11:14" ht="12.75">
      <c r="K20" s="141"/>
      <c r="L20" s="141"/>
      <c r="M20" s="141"/>
      <c r="N20" s="141"/>
    </row>
    <row r="22" spans="1:12" ht="12.75">
      <c r="A22" s="160" t="s">
        <v>112</v>
      </c>
      <c r="C22" s="121"/>
      <c r="D22" s="121"/>
      <c r="E22" s="121"/>
      <c r="F22" s="121"/>
      <c r="G22" s="121"/>
      <c r="H22" s="121"/>
      <c r="I22" s="121"/>
      <c r="K22" s="157"/>
      <c r="L22" s="162" t="s">
        <v>99</v>
      </c>
    </row>
    <row r="23" spans="2:18" ht="14.2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ht="14.25">
      <c r="B24" s="145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</sheetData>
  <mergeCells count="11">
    <mergeCell ref="I4:I5"/>
    <mergeCell ref="J4:J5"/>
    <mergeCell ref="F3:H3"/>
    <mergeCell ref="N3:N5"/>
    <mergeCell ref="F4:F5"/>
    <mergeCell ref="G4:G5"/>
    <mergeCell ref="I3:J3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="50" zoomScaleNormal="50" zoomScaleSheetLayoutView="50" workbookViewId="0" topLeftCell="A1">
      <selection activeCell="D12" sqref="D12"/>
    </sheetView>
  </sheetViews>
  <sheetFormatPr defaultColWidth="9.00390625" defaultRowHeight="12.75"/>
  <cols>
    <col min="1" max="1" width="5.25390625" style="0" customWidth="1"/>
    <col min="2" max="2" width="48.00390625" style="0" customWidth="1"/>
    <col min="3" max="3" width="9.875" style="0" customWidth="1"/>
    <col min="4" max="4" width="9.375" style="0" customWidth="1"/>
    <col min="5" max="5" width="11.125" style="0" customWidth="1"/>
    <col min="6" max="6" width="12.25390625" style="0" customWidth="1"/>
    <col min="7" max="7" width="8.875" style="0" customWidth="1"/>
    <col min="8" max="8" width="9.25390625" style="0" customWidth="1"/>
    <col min="9" max="9" width="12.375" style="0" customWidth="1"/>
    <col min="10" max="10" width="9.625" style="0" customWidth="1"/>
    <col min="11" max="11" width="9.875" style="0" customWidth="1"/>
    <col min="12" max="12" width="10.75390625" style="0" customWidth="1"/>
    <col min="13" max="13" width="9.00390625" style="0" customWidth="1"/>
    <col min="14" max="14" width="8.25390625" style="0" customWidth="1"/>
    <col min="15" max="15" width="10.625" style="0" customWidth="1"/>
    <col min="17" max="17" width="9.25390625" style="0" customWidth="1"/>
    <col min="18" max="18" width="10.75390625" style="0" customWidth="1"/>
    <col min="19" max="19" width="14.75390625" style="0" customWidth="1"/>
    <col min="20" max="20" width="13.25390625" style="0" customWidth="1"/>
    <col min="21" max="21" width="11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83" t="s">
        <v>129</v>
      </c>
      <c r="F1" s="83"/>
      <c r="G1" s="83"/>
      <c r="H1" s="80"/>
      <c r="I1" s="80"/>
      <c r="J1" s="80"/>
      <c r="K1" s="80"/>
      <c r="L1" s="80"/>
      <c r="M1" s="80"/>
      <c r="N1" s="80"/>
      <c r="O1" s="80"/>
      <c r="P1" s="24"/>
      <c r="Q1" s="58"/>
      <c r="R1" s="1"/>
    </row>
    <row r="2" spans="5:17" ht="20.25">
      <c r="E2" s="80"/>
      <c r="F2" s="80"/>
      <c r="G2" s="80"/>
      <c r="H2" s="84" t="s">
        <v>78</v>
      </c>
      <c r="I2" s="84"/>
      <c r="J2" s="84"/>
      <c r="K2" s="84"/>
      <c r="L2" s="84"/>
      <c r="M2" s="84"/>
      <c r="N2" s="80"/>
      <c r="O2" s="80"/>
      <c r="P2" s="24"/>
      <c r="Q2" s="24"/>
    </row>
    <row r="3" spans="1:21" ht="39.75" customHeight="1">
      <c r="A3" s="62" t="s">
        <v>2</v>
      </c>
      <c r="B3" s="81" t="s">
        <v>3</v>
      </c>
      <c r="C3" s="63" t="s">
        <v>80</v>
      </c>
      <c r="D3" s="64"/>
      <c r="E3" s="65"/>
      <c r="F3" s="66" t="s">
        <v>4</v>
      </c>
      <c r="G3" s="201" t="s">
        <v>7</v>
      </c>
      <c r="H3" s="202"/>
      <c r="I3" s="202"/>
      <c r="J3" s="192" t="s">
        <v>118</v>
      </c>
      <c r="K3" s="193"/>
      <c r="L3" s="194"/>
      <c r="M3" s="64"/>
      <c r="N3" s="64" t="s">
        <v>8</v>
      </c>
      <c r="O3" s="64"/>
      <c r="P3" s="64"/>
      <c r="Q3" s="64"/>
      <c r="R3" s="64"/>
      <c r="S3" s="138"/>
      <c r="T3" s="138"/>
      <c r="U3" s="65"/>
    </row>
    <row r="4" spans="1:21" ht="32.25" customHeight="1">
      <c r="A4" s="67"/>
      <c r="B4" s="67"/>
      <c r="C4" s="68">
        <v>2008</v>
      </c>
      <c r="D4" s="68">
        <v>2009</v>
      </c>
      <c r="E4" s="199" t="s">
        <v>119</v>
      </c>
      <c r="F4" s="68" t="s">
        <v>5</v>
      </c>
      <c r="G4" s="69">
        <v>2008</v>
      </c>
      <c r="H4" s="82">
        <v>2009</v>
      </c>
      <c r="I4" s="199" t="s">
        <v>119</v>
      </c>
      <c r="J4" s="230">
        <v>2008</v>
      </c>
      <c r="K4" s="230">
        <v>2009</v>
      </c>
      <c r="L4" s="199" t="s">
        <v>119</v>
      </c>
      <c r="M4" s="69">
        <v>2008</v>
      </c>
      <c r="N4" s="69">
        <v>2009</v>
      </c>
      <c r="O4" s="70" t="s">
        <v>6</v>
      </c>
      <c r="P4" s="197" t="s">
        <v>51</v>
      </c>
      <c r="Q4" s="198"/>
      <c r="R4" s="70" t="s">
        <v>6</v>
      </c>
      <c r="S4" s="63" t="s">
        <v>74</v>
      </c>
      <c r="T4" s="65"/>
      <c r="U4" s="66" t="s">
        <v>6</v>
      </c>
    </row>
    <row r="5" spans="1:21" ht="26.25" customHeight="1">
      <c r="A5" s="73"/>
      <c r="B5" s="73"/>
      <c r="C5" s="73"/>
      <c r="D5" s="73"/>
      <c r="E5" s="200"/>
      <c r="F5" s="73"/>
      <c r="G5" s="72"/>
      <c r="H5" s="75"/>
      <c r="I5" s="200"/>
      <c r="J5" s="213"/>
      <c r="K5" s="213"/>
      <c r="L5" s="200"/>
      <c r="M5" s="72"/>
      <c r="N5" s="72"/>
      <c r="O5" s="71">
        <v>2008</v>
      </c>
      <c r="P5" s="74">
        <v>2008</v>
      </c>
      <c r="Q5" s="72">
        <v>2009</v>
      </c>
      <c r="R5" s="71">
        <v>2008</v>
      </c>
      <c r="S5" s="76">
        <v>2008</v>
      </c>
      <c r="T5" s="77">
        <v>2009</v>
      </c>
      <c r="U5" s="74">
        <v>2008</v>
      </c>
    </row>
    <row r="6" spans="1:21" ht="24.75" customHeight="1">
      <c r="A6" s="76" t="s">
        <v>10</v>
      </c>
      <c r="B6" s="170" t="s">
        <v>117</v>
      </c>
      <c r="C6" s="140">
        <v>90</v>
      </c>
      <c r="D6" s="140"/>
      <c r="E6" s="142"/>
      <c r="F6" s="115"/>
      <c r="G6" s="140">
        <v>20</v>
      </c>
      <c r="H6" s="140"/>
      <c r="I6" s="142"/>
      <c r="J6" s="186">
        <v>32.46153846153846</v>
      </c>
      <c r="K6" s="173">
        <v>8</v>
      </c>
      <c r="L6" s="142">
        <f aca="true" t="shared" si="0" ref="L6:L19">K6*100/J6</f>
        <v>24.644549763033176</v>
      </c>
      <c r="M6" s="114"/>
      <c r="N6" s="114"/>
      <c r="O6" s="142"/>
      <c r="P6" s="143"/>
      <c r="Q6" s="143"/>
      <c r="R6" s="142"/>
      <c r="S6" s="143"/>
      <c r="T6" s="143"/>
      <c r="U6" s="142"/>
    </row>
    <row r="7" spans="1:34" ht="24.75" customHeight="1">
      <c r="A7" s="76" t="s">
        <v>11</v>
      </c>
      <c r="B7" s="78" t="s">
        <v>89</v>
      </c>
      <c r="C7" s="140">
        <v>530</v>
      </c>
      <c r="D7" s="140">
        <v>308</v>
      </c>
      <c r="E7" s="142">
        <f aca="true" t="shared" si="1" ref="E7:E17">D7*100/C7</f>
        <v>58.113207547169814</v>
      </c>
      <c r="F7" s="115">
        <v>21</v>
      </c>
      <c r="G7" s="140">
        <v>200</v>
      </c>
      <c r="H7" s="140">
        <v>180</v>
      </c>
      <c r="I7" s="142">
        <f aca="true" t="shared" si="2" ref="I7:I17">H7*100/G7</f>
        <v>90</v>
      </c>
      <c r="J7" s="186">
        <v>200</v>
      </c>
      <c r="K7" s="173">
        <v>192.30769230769232</v>
      </c>
      <c r="L7" s="142">
        <f t="shared" si="0"/>
        <v>96.15384615384615</v>
      </c>
      <c r="M7" s="114"/>
      <c r="N7" s="114"/>
      <c r="O7" s="142"/>
      <c r="P7" s="114"/>
      <c r="Q7" s="114"/>
      <c r="R7" s="142"/>
      <c r="S7" s="142"/>
      <c r="T7" s="142"/>
      <c r="U7" s="142"/>
      <c r="W7" s="24"/>
      <c r="AH7" s="9"/>
    </row>
    <row r="8" spans="1:34" ht="24.75" customHeight="1">
      <c r="A8" s="76" t="s">
        <v>12</v>
      </c>
      <c r="B8" s="78" t="s">
        <v>90</v>
      </c>
      <c r="C8" s="140">
        <v>213</v>
      </c>
      <c r="D8" s="140">
        <v>194</v>
      </c>
      <c r="E8" s="142">
        <f t="shared" si="1"/>
        <v>91.07981220657277</v>
      </c>
      <c r="F8" s="115">
        <v>9</v>
      </c>
      <c r="G8" s="140">
        <v>105</v>
      </c>
      <c r="H8" s="140">
        <v>105</v>
      </c>
      <c r="I8" s="142">
        <f t="shared" si="2"/>
        <v>100</v>
      </c>
      <c r="J8" s="186">
        <v>105</v>
      </c>
      <c r="K8" s="173">
        <v>105</v>
      </c>
      <c r="L8" s="142">
        <f t="shared" si="0"/>
        <v>100</v>
      </c>
      <c r="M8" s="114"/>
      <c r="N8" s="114"/>
      <c r="O8" s="142"/>
      <c r="P8" s="114"/>
      <c r="Q8" s="114"/>
      <c r="R8" s="142"/>
      <c r="S8" s="142"/>
      <c r="T8" s="142"/>
      <c r="U8" s="142"/>
      <c r="AH8" s="9"/>
    </row>
    <row r="9" spans="1:34" ht="24.75" customHeight="1">
      <c r="A9" s="76">
        <v>4</v>
      </c>
      <c r="B9" s="170" t="s">
        <v>115</v>
      </c>
      <c r="C9" s="140">
        <v>103</v>
      </c>
      <c r="D9" s="140">
        <v>95</v>
      </c>
      <c r="E9" s="142">
        <f t="shared" si="1"/>
        <v>92.23300970873787</v>
      </c>
      <c r="F9" s="115">
        <v>0</v>
      </c>
      <c r="G9" s="140">
        <v>54</v>
      </c>
      <c r="H9" s="140">
        <v>54</v>
      </c>
      <c r="I9" s="142">
        <f t="shared" si="2"/>
        <v>100</v>
      </c>
      <c r="J9" s="186">
        <v>54</v>
      </c>
      <c r="K9" s="173">
        <v>54</v>
      </c>
      <c r="L9" s="142">
        <f t="shared" si="0"/>
        <v>100</v>
      </c>
      <c r="M9" s="114"/>
      <c r="N9" s="114"/>
      <c r="O9" s="142"/>
      <c r="P9" s="114"/>
      <c r="Q9" s="114"/>
      <c r="R9" s="142"/>
      <c r="S9" s="142"/>
      <c r="T9" s="142"/>
      <c r="U9" s="142"/>
      <c r="W9" s="80"/>
      <c r="AH9" s="9"/>
    </row>
    <row r="10" spans="1:34" ht="24.75" customHeight="1">
      <c r="A10" s="76">
        <v>5</v>
      </c>
      <c r="B10" s="170" t="s">
        <v>116</v>
      </c>
      <c r="C10" s="140">
        <v>898</v>
      </c>
      <c r="D10" s="140">
        <v>902</v>
      </c>
      <c r="E10" s="142">
        <f t="shared" si="1"/>
        <v>100.44543429844099</v>
      </c>
      <c r="F10" s="115">
        <v>27</v>
      </c>
      <c r="G10" s="140">
        <v>308</v>
      </c>
      <c r="H10" s="140">
        <v>304</v>
      </c>
      <c r="I10" s="142">
        <f t="shared" si="2"/>
        <v>98.7012987012987</v>
      </c>
      <c r="J10" s="186">
        <v>326.46153846153845</v>
      </c>
      <c r="K10" s="173">
        <v>307.6923076923077</v>
      </c>
      <c r="L10" s="142">
        <f t="shared" si="0"/>
        <v>94.2507068803016</v>
      </c>
      <c r="M10" s="140">
        <v>444</v>
      </c>
      <c r="N10" s="140">
        <v>381</v>
      </c>
      <c r="O10" s="142">
        <f>N10*100/M10</f>
        <v>85.8108108108108</v>
      </c>
      <c r="P10" s="140">
        <v>19</v>
      </c>
      <c r="Q10" s="140">
        <v>27</v>
      </c>
      <c r="R10" s="142">
        <f>Q10*100/P10</f>
        <v>142.10526315789474</v>
      </c>
      <c r="S10" s="140">
        <v>16</v>
      </c>
      <c r="T10" s="140">
        <v>30</v>
      </c>
      <c r="U10" s="142">
        <f>T10*100/S10</f>
        <v>187.5</v>
      </c>
      <c r="AH10" s="9"/>
    </row>
    <row r="11" spans="1:34" ht="24.75" customHeight="1">
      <c r="A11" s="76" t="s">
        <v>15</v>
      </c>
      <c r="B11" s="169" t="s">
        <v>91</v>
      </c>
      <c r="C11" s="140">
        <v>637</v>
      </c>
      <c r="D11" s="140">
        <v>482</v>
      </c>
      <c r="E11" s="142">
        <f t="shared" si="1"/>
        <v>75.66718995290424</v>
      </c>
      <c r="F11" s="115">
        <v>8</v>
      </c>
      <c r="G11" s="140">
        <v>280</v>
      </c>
      <c r="H11" s="140">
        <v>250</v>
      </c>
      <c r="I11" s="142">
        <f t="shared" si="2"/>
        <v>89.28571428571429</v>
      </c>
      <c r="J11" s="186">
        <v>280</v>
      </c>
      <c r="K11" s="173">
        <v>273.0769230769231</v>
      </c>
      <c r="L11" s="142">
        <f t="shared" si="0"/>
        <v>97.52747252747253</v>
      </c>
      <c r="M11" s="140">
        <v>522</v>
      </c>
      <c r="N11" s="140">
        <v>316</v>
      </c>
      <c r="O11" s="142">
        <f>N11*100/M11</f>
        <v>60.53639846743295</v>
      </c>
      <c r="P11" s="140">
        <v>80</v>
      </c>
      <c r="Q11" s="140">
        <v>80</v>
      </c>
      <c r="R11" s="142">
        <f>Q11*100/P11</f>
        <v>100</v>
      </c>
      <c r="S11" s="140">
        <v>35</v>
      </c>
      <c r="T11" s="140">
        <v>54</v>
      </c>
      <c r="U11" s="142">
        <f>T11*100/S11</f>
        <v>154.28571428571428</v>
      </c>
      <c r="AH11" s="9"/>
    </row>
    <row r="12" spans="1:34" ht="24.75" customHeight="1">
      <c r="A12" s="76" t="s">
        <v>16</v>
      </c>
      <c r="B12" s="170" t="s">
        <v>92</v>
      </c>
      <c r="C12" s="140"/>
      <c r="D12" s="140"/>
      <c r="E12" s="142"/>
      <c r="F12" s="115"/>
      <c r="G12" s="140"/>
      <c r="H12" s="140"/>
      <c r="I12" s="142"/>
      <c r="J12" s="186">
        <v>50.84615384615385</v>
      </c>
      <c r="K12" s="173"/>
      <c r="L12" s="142"/>
      <c r="M12" s="140"/>
      <c r="N12" s="140"/>
      <c r="O12" s="142"/>
      <c r="P12" s="140"/>
      <c r="Q12" s="140"/>
      <c r="R12" s="142"/>
      <c r="S12" s="140"/>
      <c r="T12" s="140"/>
      <c r="U12" s="142"/>
      <c r="W12" s="80"/>
      <c r="AH12" s="9"/>
    </row>
    <row r="13" spans="1:34" ht="24.75" customHeight="1">
      <c r="A13" s="79" t="s">
        <v>17</v>
      </c>
      <c r="B13" s="169" t="s">
        <v>114</v>
      </c>
      <c r="C13" s="140">
        <v>376</v>
      </c>
      <c r="D13" s="140">
        <v>314</v>
      </c>
      <c r="E13" s="142">
        <f t="shared" si="1"/>
        <v>83.51063829787235</v>
      </c>
      <c r="F13" s="115">
        <v>2</v>
      </c>
      <c r="G13" s="140">
        <v>85</v>
      </c>
      <c r="H13" s="171">
        <v>85</v>
      </c>
      <c r="I13" s="173">
        <f t="shared" si="2"/>
        <v>100</v>
      </c>
      <c r="J13" s="186">
        <v>85</v>
      </c>
      <c r="K13" s="173">
        <v>85</v>
      </c>
      <c r="L13" s="142">
        <f t="shared" si="0"/>
        <v>100</v>
      </c>
      <c r="M13" s="140"/>
      <c r="N13" s="140"/>
      <c r="O13" s="142"/>
      <c r="P13" s="140"/>
      <c r="Q13" s="140"/>
      <c r="R13" s="142"/>
      <c r="S13" s="140"/>
      <c r="T13" s="140"/>
      <c r="U13" s="142"/>
      <c r="AH13" s="9"/>
    </row>
    <row r="14" spans="1:34" ht="24.75" customHeight="1">
      <c r="A14" s="76" t="s">
        <v>18</v>
      </c>
      <c r="B14" s="78" t="s">
        <v>93</v>
      </c>
      <c r="C14" s="140">
        <v>167</v>
      </c>
      <c r="D14" s="140">
        <v>131</v>
      </c>
      <c r="E14" s="142">
        <f t="shared" si="1"/>
        <v>78.44311377245509</v>
      </c>
      <c r="F14" s="115">
        <v>7</v>
      </c>
      <c r="G14" s="140">
        <v>69</v>
      </c>
      <c r="H14" s="140">
        <v>52</v>
      </c>
      <c r="I14" s="142">
        <f t="shared" si="2"/>
        <v>75.3623188405797</v>
      </c>
      <c r="J14" s="186">
        <v>69</v>
      </c>
      <c r="K14" s="173">
        <v>61.76923076923077</v>
      </c>
      <c r="L14" s="142">
        <f t="shared" si="0"/>
        <v>89.52062430323299</v>
      </c>
      <c r="M14" s="140">
        <v>66</v>
      </c>
      <c r="N14" s="140"/>
      <c r="O14" s="142"/>
      <c r="P14" s="140">
        <v>14</v>
      </c>
      <c r="Q14" s="140"/>
      <c r="R14" s="142"/>
      <c r="S14" s="140"/>
      <c r="T14" s="140"/>
      <c r="U14" s="142"/>
      <c r="AH14" s="9"/>
    </row>
    <row r="15" spans="1:34" ht="24.75" customHeight="1">
      <c r="A15" s="76" t="s">
        <v>19</v>
      </c>
      <c r="B15" s="169" t="s">
        <v>113</v>
      </c>
      <c r="C15" s="140">
        <v>135</v>
      </c>
      <c r="D15" s="140">
        <v>173</v>
      </c>
      <c r="E15" s="142">
        <f t="shared" si="1"/>
        <v>128.14814814814815</v>
      </c>
      <c r="F15" s="115">
        <v>27</v>
      </c>
      <c r="G15" s="140">
        <v>48</v>
      </c>
      <c r="H15" s="171">
        <v>60</v>
      </c>
      <c r="I15" s="173">
        <f t="shared" si="2"/>
        <v>125</v>
      </c>
      <c r="J15" s="186">
        <v>40.61538461538461</v>
      </c>
      <c r="K15" s="173">
        <v>52</v>
      </c>
      <c r="L15" s="173">
        <f t="shared" si="0"/>
        <v>128.03030303030303</v>
      </c>
      <c r="M15" s="140"/>
      <c r="N15" s="140"/>
      <c r="O15" s="142"/>
      <c r="P15" s="140"/>
      <c r="Q15" s="140"/>
      <c r="R15" s="142"/>
      <c r="S15" s="140"/>
      <c r="T15" s="140"/>
      <c r="U15" s="142"/>
      <c r="AH15" s="9"/>
    </row>
    <row r="16" spans="1:34" ht="24.75" customHeight="1">
      <c r="A16" s="76" t="s">
        <v>20</v>
      </c>
      <c r="B16" s="78" t="s">
        <v>94</v>
      </c>
      <c r="C16" s="140">
        <v>261</v>
      </c>
      <c r="D16" s="140">
        <v>206</v>
      </c>
      <c r="E16" s="142">
        <f t="shared" si="1"/>
        <v>78.9272030651341</v>
      </c>
      <c r="F16" s="115">
        <v>16</v>
      </c>
      <c r="G16" s="140">
        <v>100</v>
      </c>
      <c r="H16" s="140">
        <v>100</v>
      </c>
      <c r="I16" s="142">
        <f t="shared" si="2"/>
        <v>100</v>
      </c>
      <c r="J16" s="186">
        <v>100</v>
      </c>
      <c r="K16" s="173">
        <v>100</v>
      </c>
      <c r="L16" s="142">
        <f t="shared" si="0"/>
        <v>100</v>
      </c>
      <c r="M16" s="140"/>
      <c r="N16" s="140"/>
      <c r="O16" s="142"/>
      <c r="P16" s="140"/>
      <c r="Q16" s="140"/>
      <c r="R16" s="142"/>
      <c r="S16" s="140"/>
      <c r="T16" s="140"/>
      <c r="U16" s="142"/>
      <c r="AH16" s="9"/>
    </row>
    <row r="17" spans="1:34" ht="24.75" customHeight="1">
      <c r="A17" s="76" t="s">
        <v>21</v>
      </c>
      <c r="B17" s="78" t="s">
        <v>95</v>
      </c>
      <c r="C17" s="140">
        <v>76</v>
      </c>
      <c r="D17" s="140">
        <v>65</v>
      </c>
      <c r="E17" s="142">
        <f t="shared" si="1"/>
        <v>85.52631578947368</v>
      </c>
      <c r="F17" s="115">
        <v>0</v>
      </c>
      <c r="G17" s="140">
        <v>42</v>
      </c>
      <c r="H17" s="140">
        <v>42</v>
      </c>
      <c r="I17" s="142">
        <f t="shared" si="2"/>
        <v>100</v>
      </c>
      <c r="J17" s="186">
        <v>42</v>
      </c>
      <c r="K17" s="173">
        <v>42</v>
      </c>
      <c r="L17" s="142">
        <f t="shared" si="0"/>
        <v>100</v>
      </c>
      <c r="M17" s="140"/>
      <c r="N17" s="140"/>
      <c r="O17" s="142"/>
      <c r="P17" s="140"/>
      <c r="Q17" s="140"/>
      <c r="R17" s="142"/>
      <c r="S17" s="140"/>
      <c r="T17" s="140"/>
      <c r="U17" s="142"/>
      <c r="AH17" s="9"/>
    </row>
    <row r="18" spans="1:34" ht="24.75" customHeight="1">
      <c r="A18" s="76" t="s">
        <v>22</v>
      </c>
      <c r="B18" s="78" t="s">
        <v>96</v>
      </c>
      <c r="C18" s="24"/>
      <c r="D18" s="140"/>
      <c r="E18" s="142"/>
      <c r="F18" s="115"/>
      <c r="G18" s="114"/>
      <c r="H18" s="114"/>
      <c r="I18" s="142"/>
      <c r="J18" s="3"/>
      <c r="K18" s="3"/>
      <c r="L18" s="142"/>
      <c r="M18" s="140">
        <v>6541</v>
      </c>
      <c r="N18" s="140">
        <v>8114</v>
      </c>
      <c r="O18" s="142">
        <f>N18*100/M18</f>
        <v>124.04831065586302</v>
      </c>
      <c r="P18" s="140">
        <v>220</v>
      </c>
      <c r="Q18" s="140">
        <v>200</v>
      </c>
      <c r="R18" s="142">
        <f>Q18*100/P18</f>
        <v>90.9090909090909</v>
      </c>
      <c r="S18" s="140">
        <v>209</v>
      </c>
      <c r="T18" s="140">
        <v>470</v>
      </c>
      <c r="U18" s="142">
        <f>T18*100/S18</f>
        <v>224.8803827751196</v>
      </c>
      <c r="AH18" s="9"/>
    </row>
    <row r="19" spans="1:21" ht="21.75" customHeight="1">
      <c r="A19" s="78"/>
      <c r="B19" s="78" t="s">
        <v>23</v>
      </c>
      <c r="C19" s="114">
        <f>SUM(C6:C18)</f>
        <v>3486</v>
      </c>
      <c r="D19" s="114">
        <f>SUM(D6:D18)</f>
        <v>2870</v>
      </c>
      <c r="E19" s="142">
        <f>D19*100/C19</f>
        <v>82.3293172690763</v>
      </c>
      <c r="F19" s="114">
        <f>SUM(F6:F18)</f>
        <v>117</v>
      </c>
      <c r="G19" s="114">
        <f>SUM(G6:G18)</f>
        <v>1311</v>
      </c>
      <c r="H19" s="114">
        <f>SUM(H6:H18)</f>
        <v>1232</v>
      </c>
      <c r="I19" s="142">
        <f>H19*100/G19</f>
        <v>93.97406559877956</v>
      </c>
      <c r="J19" s="186">
        <v>1385.3846153846155</v>
      </c>
      <c r="K19" s="173">
        <v>1281.3076923076924</v>
      </c>
      <c r="L19" s="142">
        <f t="shared" si="0"/>
        <v>92.48750694058856</v>
      </c>
      <c r="M19" s="114">
        <f>SUM(M6:M18)</f>
        <v>7573</v>
      </c>
      <c r="N19" s="114">
        <f>SUM(N6:N18)</f>
        <v>8811</v>
      </c>
      <c r="O19" s="142">
        <f>N19*100/M19</f>
        <v>116.34755050838505</v>
      </c>
      <c r="P19" s="114">
        <f>SUM(P6:P18)</f>
        <v>333</v>
      </c>
      <c r="Q19" s="114">
        <f>SUM(Q6:Q18)</f>
        <v>307</v>
      </c>
      <c r="R19" s="142">
        <f>Q19*100/P19</f>
        <v>92.1921921921922</v>
      </c>
      <c r="S19" s="114">
        <f>SUM(S6:S18)</f>
        <v>260</v>
      </c>
      <c r="T19" s="114">
        <f>SUM(T6:T18)</f>
        <v>554</v>
      </c>
      <c r="U19" s="142">
        <f>T19*100/S19</f>
        <v>213.07692307692307</v>
      </c>
    </row>
    <row r="20" spans="2:3" ht="12.75">
      <c r="B20" s="141"/>
      <c r="C20" s="141"/>
    </row>
    <row r="21" spans="2:3" ht="12.75">
      <c r="B21" s="141"/>
      <c r="C21" s="141"/>
    </row>
    <row r="22" spans="1:20" s="159" customFormat="1" ht="20.25">
      <c r="A22" s="80" t="s">
        <v>112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R22" s="196" t="s">
        <v>99</v>
      </c>
      <c r="S22" s="196"/>
      <c r="T22" s="196"/>
    </row>
    <row r="23" spans="2:21" ht="20.2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18"/>
      <c r="Q23" s="118"/>
      <c r="R23" s="118"/>
      <c r="S23" s="118"/>
      <c r="T23" s="118"/>
      <c r="U23" s="118"/>
    </row>
    <row r="24" spans="2:21" ht="14.25">
      <c r="B24" s="145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</sheetData>
  <mergeCells count="9">
    <mergeCell ref="R22:T22"/>
    <mergeCell ref="P4:Q4"/>
    <mergeCell ref="E4:E5"/>
    <mergeCell ref="G3:I3"/>
    <mergeCell ref="L4:L5"/>
    <mergeCell ref="J3:L3"/>
    <mergeCell ref="J4:J5"/>
    <mergeCell ref="K4:K5"/>
    <mergeCell ref="I4:I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75" zoomScaleNormal="75" zoomScaleSheetLayoutView="75" workbookViewId="0" topLeftCell="A1">
      <selection activeCell="H22" sqref="H22"/>
    </sheetView>
  </sheetViews>
  <sheetFormatPr defaultColWidth="9.00390625" defaultRowHeight="12.75"/>
  <cols>
    <col min="1" max="1" width="4.125" style="0" customWidth="1"/>
    <col min="2" max="2" width="36.00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1.625" style="0" customWidth="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2"/>
      <c r="B2" s="32"/>
      <c r="C2" s="1" t="s">
        <v>128</v>
      </c>
      <c r="D2" s="1"/>
      <c r="E2" s="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47" t="s">
        <v>2</v>
      </c>
      <c r="B3" s="33" t="s">
        <v>3</v>
      </c>
      <c r="C3" s="36" t="s">
        <v>55</v>
      </c>
      <c r="D3" s="37"/>
      <c r="E3" s="40"/>
      <c r="F3" s="85" t="s">
        <v>56</v>
      </c>
      <c r="G3" s="37"/>
      <c r="H3" s="40"/>
      <c r="I3" s="36" t="s">
        <v>57</v>
      </c>
      <c r="J3" s="37"/>
      <c r="K3" s="40"/>
      <c r="L3" s="36" t="s">
        <v>58</v>
      </c>
      <c r="M3" s="37"/>
      <c r="N3" s="40"/>
    </row>
    <row r="4" spans="1:14" ht="15">
      <c r="A4" s="53"/>
      <c r="B4" s="39"/>
      <c r="C4" s="31">
        <v>2008</v>
      </c>
      <c r="D4" s="31">
        <v>2009</v>
      </c>
      <c r="E4" s="19" t="s">
        <v>54</v>
      </c>
      <c r="F4" s="35">
        <v>2008</v>
      </c>
      <c r="G4" s="35">
        <v>2009</v>
      </c>
      <c r="H4" s="33" t="s">
        <v>54</v>
      </c>
      <c r="I4" s="35">
        <v>2008</v>
      </c>
      <c r="J4" s="35">
        <v>2009</v>
      </c>
      <c r="K4" s="33" t="s">
        <v>54</v>
      </c>
      <c r="L4" s="31">
        <v>2008</v>
      </c>
      <c r="M4" s="31">
        <v>2009</v>
      </c>
      <c r="N4" s="19" t="s">
        <v>54</v>
      </c>
    </row>
    <row r="5" spans="1:14" ht="15">
      <c r="A5" s="43"/>
      <c r="B5" s="41"/>
      <c r="C5" s="42"/>
      <c r="D5" s="42"/>
      <c r="E5" s="61" t="s">
        <v>108</v>
      </c>
      <c r="F5" s="42"/>
      <c r="G5" s="42"/>
      <c r="H5" s="41" t="s">
        <v>108</v>
      </c>
      <c r="I5" s="42"/>
      <c r="J5" s="42"/>
      <c r="K5" s="41" t="s">
        <v>108</v>
      </c>
      <c r="L5" s="42"/>
      <c r="M5" s="42"/>
      <c r="N5" s="61" t="s">
        <v>108</v>
      </c>
    </row>
    <row r="6" spans="1:14" ht="16.5" customHeight="1">
      <c r="A6" s="44" t="s">
        <v>10</v>
      </c>
      <c r="B6" s="44" t="s">
        <v>117</v>
      </c>
      <c r="C6" s="151">
        <v>53</v>
      </c>
      <c r="D6" s="151">
        <v>21</v>
      </c>
      <c r="E6" s="152">
        <f>D6-C6</f>
        <v>-32</v>
      </c>
      <c r="F6" s="151">
        <v>29</v>
      </c>
      <c r="G6" s="151">
        <v>15</v>
      </c>
      <c r="H6" s="152">
        <f>G6-F6</f>
        <v>-14</v>
      </c>
      <c r="I6" s="151"/>
      <c r="J6" s="151"/>
      <c r="K6" s="151"/>
      <c r="L6" s="151"/>
      <c r="M6" s="151"/>
      <c r="N6" s="151"/>
    </row>
    <row r="7" spans="1:14" ht="16.5" customHeight="1">
      <c r="A7" s="44" t="s">
        <v>11</v>
      </c>
      <c r="B7" s="44" t="s">
        <v>89</v>
      </c>
      <c r="C7" s="151">
        <v>263</v>
      </c>
      <c r="D7" s="151">
        <v>194</v>
      </c>
      <c r="E7" s="152">
        <f aca="true" t="shared" si="0" ref="E7:E17">D7-C7</f>
        <v>-69</v>
      </c>
      <c r="F7" s="151">
        <v>50</v>
      </c>
      <c r="G7" s="151">
        <v>44</v>
      </c>
      <c r="H7" s="152">
        <f aca="true" t="shared" si="1" ref="H7:H17">G7-F7</f>
        <v>-6</v>
      </c>
      <c r="I7" s="151"/>
      <c r="J7" s="151"/>
      <c r="K7" s="151"/>
      <c r="L7" s="151"/>
      <c r="M7" s="151"/>
      <c r="N7" s="151"/>
    </row>
    <row r="8" spans="1:14" ht="16.5" customHeight="1">
      <c r="A8" s="44" t="s">
        <v>12</v>
      </c>
      <c r="B8" s="44" t="s">
        <v>90</v>
      </c>
      <c r="C8" s="151">
        <v>138</v>
      </c>
      <c r="D8" s="151">
        <v>157</v>
      </c>
      <c r="E8" s="152">
        <f t="shared" si="0"/>
        <v>19</v>
      </c>
      <c r="F8" s="151">
        <v>29</v>
      </c>
      <c r="G8" s="151">
        <v>3</v>
      </c>
      <c r="H8" s="152">
        <f t="shared" si="1"/>
        <v>-26</v>
      </c>
      <c r="I8" s="151"/>
      <c r="J8" s="151"/>
      <c r="K8" s="151"/>
      <c r="L8" s="151"/>
      <c r="M8" s="151"/>
      <c r="N8" s="151"/>
    </row>
    <row r="9" spans="1:14" ht="16.5" customHeight="1">
      <c r="A9" s="44" t="s">
        <v>13</v>
      </c>
      <c r="B9" s="44" t="s">
        <v>115</v>
      </c>
      <c r="C9" s="151">
        <v>51</v>
      </c>
      <c r="D9" s="151">
        <v>51</v>
      </c>
      <c r="E9" s="152">
        <f t="shared" si="0"/>
        <v>0</v>
      </c>
      <c r="F9" s="151">
        <v>6</v>
      </c>
      <c r="G9" s="151"/>
      <c r="H9" s="152">
        <f t="shared" si="1"/>
        <v>-6</v>
      </c>
      <c r="I9" s="151"/>
      <c r="J9" s="151"/>
      <c r="K9" s="151"/>
      <c r="L9" s="151"/>
      <c r="M9" s="151"/>
      <c r="N9" s="151"/>
    </row>
    <row r="10" spans="1:14" ht="16.5" customHeight="1">
      <c r="A10" s="44" t="s">
        <v>14</v>
      </c>
      <c r="B10" s="44" t="s">
        <v>116</v>
      </c>
      <c r="C10" s="151">
        <v>361</v>
      </c>
      <c r="D10" s="151">
        <v>350</v>
      </c>
      <c r="E10" s="152">
        <f t="shared" si="0"/>
        <v>-11</v>
      </c>
      <c r="F10" s="151">
        <v>85</v>
      </c>
      <c r="G10" s="151">
        <v>60</v>
      </c>
      <c r="H10" s="152">
        <f t="shared" si="1"/>
        <v>-25</v>
      </c>
      <c r="I10" s="151">
        <v>123</v>
      </c>
      <c r="J10" s="151">
        <v>105</v>
      </c>
      <c r="K10" s="151">
        <f>J10-I10</f>
        <v>-18</v>
      </c>
      <c r="L10" s="151">
        <v>49</v>
      </c>
      <c r="M10" s="140">
        <v>52</v>
      </c>
      <c r="N10" s="151">
        <f>M10-L10</f>
        <v>3</v>
      </c>
    </row>
    <row r="11" spans="1:14" ht="16.5" customHeight="1">
      <c r="A11" s="44" t="s">
        <v>15</v>
      </c>
      <c r="B11" s="45" t="s">
        <v>91</v>
      </c>
      <c r="C11" s="151">
        <v>327</v>
      </c>
      <c r="D11" s="151">
        <v>250</v>
      </c>
      <c r="E11" s="152">
        <f t="shared" si="0"/>
        <v>-77</v>
      </c>
      <c r="F11" s="151">
        <v>51</v>
      </c>
      <c r="G11" s="151">
        <v>30</v>
      </c>
      <c r="H11" s="152">
        <f t="shared" si="1"/>
        <v>-21</v>
      </c>
      <c r="I11" s="151">
        <v>296</v>
      </c>
      <c r="J11" s="151">
        <v>250</v>
      </c>
      <c r="K11" s="151">
        <f>J11-I11</f>
        <v>-46</v>
      </c>
      <c r="L11" s="151">
        <v>85</v>
      </c>
      <c r="M11" s="140">
        <v>33</v>
      </c>
      <c r="N11" s="151">
        <f aca="true" t="shared" si="2" ref="N11:N19">M11-L11</f>
        <v>-52</v>
      </c>
    </row>
    <row r="12" spans="1:14" ht="16.5" customHeight="1">
      <c r="A12" s="44" t="s">
        <v>16</v>
      </c>
      <c r="B12" s="44" t="s">
        <v>92</v>
      </c>
      <c r="C12" s="151">
        <v>43</v>
      </c>
      <c r="D12" s="151"/>
      <c r="E12" s="152">
        <f t="shared" si="0"/>
        <v>-43</v>
      </c>
      <c r="F12" s="151"/>
      <c r="G12" s="151"/>
      <c r="H12" s="152">
        <f t="shared" si="1"/>
        <v>0</v>
      </c>
      <c r="I12" s="151"/>
      <c r="J12" s="151"/>
      <c r="K12" s="151"/>
      <c r="L12" s="151"/>
      <c r="M12" s="140"/>
      <c r="N12" s="151">
        <f t="shared" si="2"/>
        <v>0</v>
      </c>
    </row>
    <row r="13" spans="1:14" ht="16.5" customHeight="1">
      <c r="A13" s="45" t="s">
        <v>17</v>
      </c>
      <c r="B13" s="45" t="s">
        <v>114</v>
      </c>
      <c r="C13" s="151">
        <v>80</v>
      </c>
      <c r="D13" s="151">
        <v>144</v>
      </c>
      <c r="E13" s="152">
        <f t="shared" si="0"/>
        <v>64</v>
      </c>
      <c r="F13" s="151">
        <v>17</v>
      </c>
      <c r="G13" s="151">
        <v>27</v>
      </c>
      <c r="H13" s="152">
        <f t="shared" si="1"/>
        <v>10</v>
      </c>
      <c r="I13" s="151"/>
      <c r="J13" s="151"/>
      <c r="K13" s="151"/>
      <c r="L13" s="151"/>
      <c r="M13" s="140"/>
      <c r="N13" s="151">
        <f t="shared" si="2"/>
        <v>0</v>
      </c>
    </row>
    <row r="14" spans="1:14" ht="16.5" customHeight="1">
      <c r="A14" s="45" t="s">
        <v>18</v>
      </c>
      <c r="B14" s="45" t="s">
        <v>93</v>
      </c>
      <c r="C14" s="151">
        <v>82</v>
      </c>
      <c r="D14" s="151">
        <v>71</v>
      </c>
      <c r="E14" s="152">
        <f t="shared" si="0"/>
        <v>-11</v>
      </c>
      <c r="F14" s="151">
        <v>5</v>
      </c>
      <c r="G14" s="151">
        <v>10</v>
      </c>
      <c r="H14" s="152">
        <f t="shared" si="1"/>
        <v>5</v>
      </c>
      <c r="I14" s="151">
        <v>14</v>
      </c>
      <c r="J14" s="151"/>
      <c r="K14" s="151">
        <f>J14-I14</f>
        <v>-14</v>
      </c>
      <c r="L14" s="151">
        <v>7</v>
      </c>
      <c r="M14" s="140"/>
      <c r="N14" s="151">
        <f t="shared" si="2"/>
        <v>-7</v>
      </c>
    </row>
    <row r="15" spans="1:14" ht="16.5" customHeight="1">
      <c r="A15" s="45" t="s">
        <v>19</v>
      </c>
      <c r="B15" s="45" t="s">
        <v>113</v>
      </c>
      <c r="C15" s="151">
        <v>68</v>
      </c>
      <c r="D15" s="151">
        <v>80</v>
      </c>
      <c r="E15" s="152">
        <f t="shared" si="0"/>
        <v>12</v>
      </c>
      <c r="F15" s="151">
        <v>25</v>
      </c>
      <c r="G15" s="151">
        <v>22</v>
      </c>
      <c r="H15" s="152">
        <f t="shared" si="1"/>
        <v>-3</v>
      </c>
      <c r="I15" s="151">
        <v>5</v>
      </c>
      <c r="J15" s="151"/>
      <c r="K15" s="151">
        <f>J15-I15</f>
        <v>-5</v>
      </c>
      <c r="L15" s="151"/>
      <c r="M15" s="140"/>
      <c r="N15" s="151">
        <f t="shared" si="2"/>
        <v>0</v>
      </c>
    </row>
    <row r="16" spans="1:14" ht="16.5" customHeight="1">
      <c r="A16" s="45" t="s">
        <v>20</v>
      </c>
      <c r="B16" s="45" t="s">
        <v>94</v>
      </c>
      <c r="C16" s="151">
        <v>118</v>
      </c>
      <c r="D16" s="151">
        <v>144</v>
      </c>
      <c r="E16" s="152">
        <f t="shared" si="0"/>
        <v>26</v>
      </c>
      <c r="F16" s="151">
        <v>29</v>
      </c>
      <c r="G16" s="151">
        <v>26</v>
      </c>
      <c r="H16" s="152">
        <f t="shared" si="1"/>
        <v>-3</v>
      </c>
      <c r="I16" s="151"/>
      <c r="J16" s="151"/>
      <c r="K16" s="151"/>
      <c r="L16" s="151"/>
      <c r="M16" s="140"/>
      <c r="N16" s="151">
        <f t="shared" si="2"/>
        <v>0</v>
      </c>
    </row>
    <row r="17" spans="1:14" ht="16.5" customHeight="1">
      <c r="A17" s="147" t="s">
        <v>21</v>
      </c>
      <c r="B17" s="45" t="s">
        <v>95</v>
      </c>
      <c r="C17" s="151">
        <v>54</v>
      </c>
      <c r="D17" s="151">
        <v>52</v>
      </c>
      <c r="E17" s="152">
        <f t="shared" si="0"/>
        <v>-2</v>
      </c>
      <c r="F17" s="151">
        <v>12</v>
      </c>
      <c r="G17" s="152">
        <v>2</v>
      </c>
      <c r="H17" s="152">
        <f t="shared" si="1"/>
        <v>-10</v>
      </c>
      <c r="I17" s="151"/>
      <c r="J17" s="151"/>
      <c r="K17" s="151"/>
      <c r="L17" s="151"/>
      <c r="M17" s="140"/>
      <c r="N17" s="151">
        <f t="shared" si="2"/>
        <v>0</v>
      </c>
    </row>
    <row r="18" spans="1:14" ht="16.5" customHeight="1">
      <c r="A18" s="147" t="s">
        <v>22</v>
      </c>
      <c r="B18" s="45" t="s">
        <v>96</v>
      </c>
      <c r="C18" s="152"/>
      <c r="D18" s="152"/>
      <c r="E18" s="152"/>
      <c r="F18" s="152"/>
      <c r="G18" s="152"/>
      <c r="H18" s="152"/>
      <c r="I18" s="151">
        <v>1486</v>
      </c>
      <c r="J18" s="151">
        <v>1870</v>
      </c>
      <c r="K18" s="151">
        <f>J18-I18</f>
        <v>384</v>
      </c>
      <c r="L18" s="151">
        <v>720</v>
      </c>
      <c r="M18" s="140">
        <v>820</v>
      </c>
      <c r="N18" s="151">
        <f t="shared" si="2"/>
        <v>100</v>
      </c>
    </row>
    <row r="19" spans="1:14" ht="21" customHeight="1">
      <c r="A19" s="44"/>
      <c r="B19" s="44" t="s">
        <v>23</v>
      </c>
      <c r="C19" s="114">
        <f>SUM(C6:C18)</f>
        <v>1638</v>
      </c>
      <c r="D19" s="151">
        <f>SUM(D6:D18)</f>
        <v>1514</v>
      </c>
      <c r="E19" s="151">
        <f>D19-C19</f>
        <v>-124</v>
      </c>
      <c r="F19" s="114">
        <f>SUM(F6:F18)</f>
        <v>338</v>
      </c>
      <c r="G19" s="151">
        <f>SUM(G6:G18)</f>
        <v>239</v>
      </c>
      <c r="H19" s="151">
        <f>G19-F19</f>
        <v>-99</v>
      </c>
      <c r="I19" s="114">
        <f>SUM(I10:I18)</f>
        <v>1924</v>
      </c>
      <c r="J19" s="151">
        <f>SUM(J10:J18)</f>
        <v>2225</v>
      </c>
      <c r="K19" s="151">
        <f>J19-I19</f>
        <v>301</v>
      </c>
      <c r="L19" s="114">
        <f>SUM(L10:L18)</f>
        <v>861</v>
      </c>
      <c r="M19" s="151">
        <f>SUM(M10:M18)</f>
        <v>905</v>
      </c>
      <c r="N19" s="151">
        <f t="shared" si="2"/>
        <v>44</v>
      </c>
    </row>
    <row r="22" spans="1:15" ht="15.75">
      <c r="A22" s="160" t="s">
        <v>111</v>
      </c>
      <c r="C22" s="121"/>
      <c r="D22" s="121"/>
      <c r="E22" s="121"/>
      <c r="F22" s="121"/>
      <c r="G22" s="121"/>
      <c r="H22" s="121"/>
      <c r="I22" s="121"/>
      <c r="M22" s="231" t="s">
        <v>99</v>
      </c>
      <c r="N22" s="231"/>
      <c r="O22" s="231"/>
    </row>
    <row r="23" spans="2:18" ht="14.2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ht="14.25">
      <c r="B24" s="145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</sheetData>
  <mergeCells count="1">
    <mergeCell ref="M22:O22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5"/>
  <sheetViews>
    <sheetView view="pageBreakPreview" zoomScale="75" zoomScaleNormal="75" zoomScaleSheetLayoutView="75" workbookViewId="0" topLeftCell="A1">
      <selection activeCell="G19" sqref="G19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8.875" style="0" customWidth="1"/>
    <col min="4" max="4" width="10.25390625" style="0" customWidth="1"/>
    <col min="5" max="6" width="11.625" style="0" customWidth="1"/>
    <col min="7" max="7" width="11.375" style="0" customWidth="1"/>
    <col min="8" max="8" width="11.875" style="0" customWidth="1"/>
    <col min="9" max="9" width="12.25390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32"/>
      <c r="B2" s="32"/>
      <c r="C2" s="32"/>
      <c r="D2" s="1" t="s">
        <v>127</v>
      </c>
      <c r="E2" s="1"/>
      <c r="F2" s="1"/>
      <c r="G2" s="1"/>
      <c r="H2" s="1"/>
      <c r="I2" s="1"/>
      <c r="J2" s="1"/>
      <c r="K2" s="1"/>
      <c r="L2" s="32"/>
      <c r="M2" s="32"/>
      <c r="N2" s="32"/>
    </row>
    <row r="3" spans="1:14" ht="15">
      <c r="A3" s="232" t="s">
        <v>87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5">
      <c r="A4" s="35" t="s">
        <v>2</v>
      </c>
      <c r="B4" s="38" t="s">
        <v>3</v>
      </c>
      <c r="C4" s="36" t="s">
        <v>47</v>
      </c>
      <c r="D4" s="37"/>
      <c r="E4" s="40"/>
      <c r="F4" s="233" t="s">
        <v>97</v>
      </c>
      <c r="G4" s="234"/>
      <c r="H4" s="86" t="s">
        <v>49</v>
      </c>
      <c r="I4" s="38"/>
      <c r="J4" s="35" t="s">
        <v>48</v>
      </c>
      <c r="K4" s="87" t="s">
        <v>52</v>
      </c>
      <c r="L4" s="88"/>
      <c r="M4" s="87" t="s">
        <v>84</v>
      </c>
      <c r="N4" s="91"/>
    </row>
    <row r="5" spans="1:14" ht="15">
      <c r="A5" s="46"/>
      <c r="B5" s="48"/>
      <c r="C5" s="30">
        <v>2008</v>
      </c>
      <c r="D5" s="31">
        <v>2009</v>
      </c>
      <c r="E5" s="33" t="s">
        <v>48</v>
      </c>
      <c r="F5" s="235"/>
      <c r="G5" s="236"/>
      <c r="H5" s="43" t="s">
        <v>50</v>
      </c>
      <c r="I5" s="50"/>
      <c r="J5" s="46" t="s">
        <v>108</v>
      </c>
      <c r="K5" s="89" t="s">
        <v>53</v>
      </c>
      <c r="L5" s="50"/>
      <c r="M5" s="17" t="s">
        <v>83</v>
      </c>
      <c r="N5" s="18"/>
    </row>
    <row r="6" spans="1:14" ht="15">
      <c r="A6" s="42"/>
      <c r="B6" s="50"/>
      <c r="C6" s="54"/>
      <c r="D6" s="42"/>
      <c r="E6" s="41" t="s">
        <v>107</v>
      </c>
      <c r="F6" s="41">
        <v>2008</v>
      </c>
      <c r="G6" s="42">
        <v>2009</v>
      </c>
      <c r="H6" s="10">
        <v>2008</v>
      </c>
      <c r="I6" s="59">
        <v>2009</v>
      </c>
      <c r="J6" s="42"/>
      <c r="K6" s="34" t="s">
        <v>1</v>
      </c>
      <c r="L6" s="36" t="s">
        <v>51</v>
      </c>
      <c r="M6" s="52" t="s">
        <v>67</v>
      </c>
      <c r="N6" s="90" t="s">
        <v>68</v>
      </c>
    </row>
    <row r="7" spans="1:14" ht="16.5" customHeight="1">
      <c r="A7" s="44" t="s">
        <v>10</v>
      </c>
      <c r="B7" s="44" t="s">
        <v>117</v>
      </c>
      <c r="C7" s="187"/>
      <c r="D7" s="44"/>
      <c r="E7" s="44"/>
      <c r="F7" s="187"/>
      <c r="G7" s="44"/>
      <c r="H7" s="44"/>
      <c r="I7" s="44"/>
      <c r="J7" s="44"/>
      <c r="K7" s="44"/>
      <c r="L7" s="44"/>
      <c r="M7" s="16"/>
      <c r="N7" s="44"/>
    </row>
    <row r="8" spans="1:14" ht="16.5" customHeight="1">
      <c r="A8" s="44" t="s">
        <v>11</v>
      </c>
      <c r="B8" s="44" t="s">
        <v>89</v>
      </c>
      <c r="C8" s="187"/>
      <c r="D8" s="44"/>
      <c r="E8" s="44"/>
      <c r="F8" s="187"/>
      <c r="G8" s="44"/>
      <c r="H8" s="44"/>
      <c r="I8" s="149"/>
      <c r="J8" s="149"/>
      <c r="K8" s="149"/>
      <c r="L8" s="149"/>
      <c r="M8" s="168"/>
      <c r="N8" s="168"/>
    </row>
    <row r="9" spans="1:14" ht="16.5" customHeight="1">
      <c r="A9" s="44" t="s">
        <v>12</v>
      </c>
      <c r="B9" s="44" t="s">
        <v>90</v>
      </c>
      <c r="C9" s="187"/>
      <c r="D9" s="44"/>
      <c r="E9" s="44"/>
      <c r="F9" s="187"/>
      <c r="G9" s="44"/>
      <c r="H9" s="44"/>
      <c r="I9" s="44"/>
      <c r="J9" s="44"/>
      <c r="K9" s="149"/>
      <c r="L9" s="149"/>
      <c r="M9" s="168"/>
      <c r="N9" s="168"/>
    </row>
    <row r="10" spans="1:14" ht="16.5" customHeight="1">
      <c r="A10" s="44" t="s">
        <v>13</v>
      </c>
      <c r="B10" s="44" t="s">
        <v>115</v>
      </c>
      <c r="C10" s="187"/>
      <c r="D10" s="44"/>
      <c r="E10" s="44"/>
      <c r="F10" s="187"/>
      <c r="G10" s="44"/>
      <c r="H10" s="44"/>
      <c r="I10" s="44"/>
      <c r="J10" s="44"/>
      <c r="K10" s="149"/>
      <c r="L10" s="149"/>
      <c r="M10" s="168"/>
      <c r="N10" s="168"/>
    </row>
    <row r="11" spans="1:14" ht="16.5" customHeight="1">
      <c r="A11" s="44" t="s">
        <v>14</v>
      </c>
      <c r="B11" s="44" t="s">
        <v>116</v>
      </c>
      <c r="C11" s="151">
        <v>497</v>
      </c>
      <c r="D11" s="114">
        <v>695</v>
      </c>
      <c r="E11" s="114">
        <f>D11-C11</f>
        <v>198</v>
      </c>
      <c r="F11" s="151">
        <v>304</v>
      </c>
      <c r="G11" s="114">
        <v>291</v>
      </c>
      <c r="H11" s="142">
        <v>1600</v>
      </c>
      <c r="I11" s="173">
        <f>G11*100/19</f>
        <v>1531.578947368421</v>
      </c>
      <c r="J11" s="142">
        <f>I11-H11</f>
        <v>-68.42105263157896</v>
      </c>
      <c r="K11" s="114">
        <v>79</v>
      </c>
      <c r="L11" s="114">
        <v>29</v>
      </c>
      <c r="M11" s="185">
        <f>G11/L11</f>
        <v>10.03448275862069</v>
      </c>
      <c r="N11" s="185">
        <f>(D11-G11)/(K11-L11)</f>
        <v>8.08</v>
      </c>
    </row>
    <row r="12" spans="1:15" ht="16.5" customHeight="1">
      <c r="A12" s="44" t="s">
        <v>15</v>
      </c>
      <c r="B12" s="45" t="s">
        <v>91</v>
      </c>
      <c r="C12" s="151">
        <v>544</v>
      </c>
      <c r="D12" s="114">
        <v>699</v>
      </c>
      <c r="E12" s="114">
        <f>D12-C12</f>
        <v>155</v>
      </c>
      <c r="F12" s="151">
        <v>503</v>
      </c>
      <c r="G12" s="114">
        <v>541</v>
      </c>
      <c r="H12" s="173">
        <v>628.75</v>
      </c>
      <c r="I12" s="173">
        <f>G12*100/80</f>
        <v>676.25</v>
      </c>
      <c r="J12" s="142">
        <f>I12-H12</f>
        <v>47.5</v>
      </c>
      <c r="K12" s="114">
        <v>81</v>
      </c>
      <c r="L12" s="114">
        <v>62</v>
      </c>
      <c r="M12" s="185">
        <f>G12/L12</f>
        <v>8.725806451612904</v>
      </c>
      <c r="N12" s="185">
        <f>(D12-G12)/(K12-L12)</f>
        <v>8.31578947368421</v>
      </c>
      <c r="O12" s="26"/>
    </row>
    <row r="13" spans="1:14" ht="16.5" customHeight="1">
      <c r="A13" s="44" t="s">
        <v>16</v>
      </c>
      <c r="B13" s="44" t="s">
        <v>92</v>
      </c>
      <c r="C13" s="151"/>
      <c r="D13" s="114"/>
      <c r="E13" s="114"/>
      <c r="F13" s="151"/>
      <c r="G13" s="114"/>
      <c r="H13" s="142"/>
      <c r="I13" s="173"/>
      <c r="J13" s="142"/>
      <c r="K13" s="114"/>
      <c r="L13" s="114"/>
      <c r="M13" s="185"/>
      <c r="N13" s="185"/>
    </row>
    <row r="14" spans="1:14" ht="16.5" customHeight="1">
      <c r="A14" s="45" t="s">
        <v>17</v>
      </c>
      <c r="B14" s="45" t="s">
        <v>114</v>
      </c>
      <c r="C14" s="151"/>
      <c r="D14" s="114"/>
      <c r="E14" s="114"/>
      <c r="F14" s="151"/>
      <c r="G14" s="114"/>
      <c r="H14" s="142"/>
      <c r="I14" s="173"/>
      <c r="J14" s="142"/>
      <c r="K14" s="115"/>
      <c r="L14" s="115"/>
      <c r="M14" s="185"/>
      <c r="N14" s="185"/>
    </row>
    <row r="15" spans="1:14" ht="16.5" customHeight="1">
      <c r="A15" s="45" t="s">
        <v>18</v>
      </c>
      <c r="B15" s="45" t="s">
        <v>93</v>
      </c>
      <c r="C15" s="151">
        <v>50</v>
      </c>
      <c r="D15" s="114"/>
      <c r="E15" s="114"/>
      <c r="F15" s="151">
        <v>20</v>
      </c>
      <c r="G15" s="114"/>
      <c r="H15" s="142">
        <v>1000</v>
      </c>
      <c r="I15" s="173"/>
      <c r="J15" s="142">
        <f>I15-H15</f>
        <v>-1000</v>
      </c>
      <c r="K15" s="115"/>
      <c r="L15" s="115"/>
      <c r="M15" s="185"/>
      <c r="N15" s="185"/>
    </row>
    <row r="16" spans="1:14" ht="16.5" customHeight="1">
      <c r="A16" s="45" t="s">
        <v>19</v>
      </c>
      <c r="B16" s="45" t="s">
        <v>113</v>
      </c>
      <c r="C16" s="151"/>
      <c r="D16" s="114"/>
      <c r="E16" s="114"/>
      <c r="F16" s="151"/>
      <c r="G16" s="114"/>
      <c r="H16" s="142"/>
      <c r="I16" s="173"/>
      <c r="J16" s="142"/>
      <c r="K16" s="115"/>
      <c r="L16" s="115"/>
      <c r="M16" s="185"/>
      <c r="N16" s="185"/>
    </row>
    <row r="17" spans="1:14" ht="16.5" customHeight="1">
      <c r="A17" s="45" t="s">
        <v>20</v>
      </c>
      <c r="B17" s="45" t="s">
        <v>94</v>
      </c>
      <c r="C17" s="151"/>
      <c r="D17" s="114"/>
      <c r="E17" s="114"/>
      <c r="F17" s="151"/>
      <c r="G17" s="114"/>
      <c r="H17" s="142"/>
      <c r="I17" s="173"/>
      <c r="J17" s="142"/>
      <c r="K17" s="173"/>
      <c r="L17" s="173"/>
      <c r="M17" s="185"/>
      <c r="N17" s="185"/>
    </row>
    <row r="18" spans="1:14" ht="16.5" customHeight="1">
      <c r="A18" s="45" t="s">
        <v>21</v>
      </c>
      <c r="B18" s="45" t="s">
        <v>95</v>
      </c>
      <c r="C18" s="151"/>
      <c r="D18" s="114"/>
      <c r="E18" s="114"/>
      <c r="F18" s="151"/>
      <c r="G18" s="114"/>
      <c r="H18" s="142"/>
      <c r="I18" s="173"/>
      <c r="J18" s="142"/>
      <c r="K18" s="115"/>
      <c r="L18" s="115"/>
      <c r="M18" s="185"/>
      <c r="N18" s="185"/>
    </row>
    <row r="19" spans="1:14" ht="16.5" customHeight="1">
      <c r="A19" s="45" t="s">
        <v>22</v>
      </c>
      <c r="B19" s="45" t="s">
        <v>96</v>
      </c>
      <c r="C19" s="183">
        <v>7072</v>
      </c>
      <c r="D19" s="114">
        <v>10076</v>
      </c>
      <c r="E19" s="114">
        <f>D19-C19</f>
        <v>3004</v>
      </c>
      <c r="F19" s="151">
        <v>4358</v>
      </c>
      <c r="G19" s="114">
        <v>4840</v>
      </c>
      <c r="H19" s="173">
        <v>1980.909090909091</v>
      </c>
      <c r="I19" s="173">
        <f>G19*100/220</f>
        <v>2200</v>
      </c>
      <c r="J19" s="142">
        <f>I19-H19</f>
        <v>219.090909090909</v>
      </c>
      <c r="K19" s="115">
        <v>1391</v>
      </c>
      <c r="L19" s="115">
        <v>618</v>
      </c>
      <c r="M19" s="185">
        <f>G19/L19</f>
        <v>7.831715210355987</v>
      </c>
      <c r="N19" s="185">
        <f>(D19-G19)/(K19-L19)</f>
        <v>6.773609314359637</v>
      </c>
    </row>
    <row r="20" spans="1:14" ht="15" customHeight="1">
      <c r="A20" s="32"/>
      <c r="B20" s="44" t="s">
        <v>23</v>
      </c>
      <c r="C20" s="114">
        <f>SUM(C7:C19)</f>
        <v>8163</v>
      </c>
      <c r="D20" s="114">
        <f>SUM(D8:D19)</f>
        <v>11470</v>
      </c>
      <c r="E20" s="114">
        <f>D20-C20</f>
        <v>3307</v>
      </c>
      <c r="F20" s="114">
        <f>SUM(F11:F19)</f>
        <v>5185</v>
      </c>
      <c r="G20" s="114">
        <f>SUM(G11:G19)</f>
        <v>5672</v>
      </c>
      <c r="H20" s="173">
        <v>1566.4652567975832</v>
      </c>
      <c r="I20" s="173">
        <f>G20*100/333</f>
        <v>1703.3033033033032</v>
      </c>
      <c r="J20" s="142">
        <f>I20-H20</f>
        <v>136.83804650572006</v>
      </c>
      <c r="K20" s="142">
        <f>SUM(K8:K19)</f>
        <v>1551</v>
      </c>
      <c r="L20" s="142">
        <f>SUM(L8:L19)</f>
        <v>709</v>
      </c>
      <c r="M20" s="185">
        <f>G20/L20</f>
        <v>8</v>
      </c>
      <c r="N20" s="185">
        <f>(D20-G20)/(K20-L20)</f>
        <v>6.885985748218527</v>
      </c>
    </row>
    <row r="23" spans="1:12" s="32" customFormat="1" ht="15">
      <c r="A23" s="32" t="s">
        <v>111</v>
      </c>
      <c r="K23" s="158"/>
      <c r="L23" s="158" t="s">
        <v>99</v>
      </c>
    </row>
    <row r="24" spans="2:18" ht="14.2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4.25">
      <c r="B25" s="145" t="s">
        <v>100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</sheetData>
  <mergeCells count="2">
    <mergeCell ref="A3:N3"/>
    <mergeCell ref="F4:G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75" zoomScaleNormal="75" zoomScaleSheetLayoutView="75"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2" max="2" width="36.1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237" t="s">
        <v>126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5">
      <c r="A2" s="232" t="s">
        <v>86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47" t="s">
        <v>2</v>
      </c>
      <c r="B4" s="33" t="s">
        <v>3</v>
      </c>
      <c r="C4" s="36" t="s">
        <v>39</v>
      </c>
      <c r="D4" s="37"/>
      <c r="E4" s="40"/>
      <c r="F4" s="12" t="s">
        <v>40</v>
      </c>
      <c r="G4" s="14"/>
      <c r="H4" s="35" t="s">
        <v>42</v>
      </c>
      <c r="I4" s="47" t="s">
        <v>43</v>
      </c>
      <c r="J4" s="33"/>
      <c r="K4" s="35" t="s">
        <v>42</v>
      </c>
      <c r="L4" s="86" t="s">
        <v>45</v>
      </c>
      <c r="M4" s="33"/>
      <c r="N4" s="35" t="s">
        <v>42</v>
      </c>
    </row>
    <row r="5" spans="1:14" ht="15">
      <c r="A5" s="53"/>
      <c r="B5" s="39"/>
      <c r="C5" s="30">
        <v>2008</v>
      </c>
      <c r="D5" s="31">
        <v>2009</v>
      </c>
      <c r="E5" s="31" t="s">
        <v>102</v>
      </c>
      <c r="F5" s="31">
        <v>2008</v>
      </c>
      <c r="G5" s="19">
        <v>2009</v>
      </c>
      <c r="H5" s="60" t="s">
        <v>41</v>
      </c>
      <c r="I5" s="43" t="s">
        <v>44</v>
      </c>
      <c r="J5" s="41"/>
      <c r="K5" s="60" t="s">
        <v>41</v>
      </c>
      <c r="L5" s="92" t="s">
        <v>46</v>
      </c>
      <c r="M5" s="41"/>
      <c r="N5" s="60" t="s">
        <v>41</v>
      </c>
    </row>
    <row r="6" spans="1:14" ht="15">
      <c r="A6" s="43"/>
      <c r="B6" s="41"/>
      <c r="C6" s="54"/>
      <c r="D6" s="21"/>
      <c r="E6" s="21" t="s">
        <v>103</v>
      </c>
      <c r="F6" s="42"/>
      <c r="G6" s="41"/>
      <c r="H6" s="42" t="s">
        <v>105</v>
      </c>
      <c r="I6" s="10">
        <v>2008</v>
      </c>
      <c r="J6" s="10">
        <v>2009</v>
      </c>
      <c r="K6" s="21" t="s">
        <v>106</v>
      </c>
      <c r="L6" s="10">
        <v>2008</v>
      </c>
      <c r="M6" s="10">
        <v>2009</v>
      </c>
      <c r="N6" s="42" t="s">
        <v>105</v>
      </c>
    </row>
    <row r="7" spans="1:14" ht="16.5" customHeight="1">
      <c r="A7" s="44" t="s">
        <v>10</v>
      </c>
      <c r="B7" s="44" t="s">
        <v>117</v>
      </c>
      <c r="C7" s="154">
        <v>48</v>
      </c>
      <c r="D7" s="149">
        <v>12</v>
      </c>
      <c r="E7" s="149">
        <f>D7*100/C7</f>
        <v>25</v>
      </c>
      <c r="F7" s="154">
        <v>27</v>
      </c>
      <c r="G7" s="149">
        <v>6</v>
      </c>
      <c r="H7" s="149">
        <f aca="true" t="shared" si="0" ref="H7:H18">G7-F7</f>
        <v>-21</v>
      </c>
      <c r="I7" s="149">
        <v>57.4468085106383</v>
      </c>
      <c r="J7" s="149">
        <f>G7*100/20</f>
        <v>30</v>
      </c>
      <c r="K7" s="149">
        <f aca="true" t="shared" si="1" ref="K7:K18">J7-I7</f>
        <v>-27.4468085106383</v>
      </c>
      <c r="L7" s="149">
        <v>44.680851063829785</v>
      </c>
      <c r="M7" s="149">
        <f>(D7-G7)*100/20</f>
        <v>30</v>
      </c>
      <c r="N7" s="149">
        <f>M7-L7</f>
        <v>-14.680851063829785</v>
      </c>
    </row>
    <row r="8" spans="1:14" ht="16.5" customHeight="1">
      <c r="A8" s="44" t="s">
        <v>11</v>
      </c>
      <c r="B8" s="44" t="s">
        <v>89</v>
      </c>
      <c r="C8" s="154">
        <v>237</v>
      </c>
      <c r="D8" s="149">
        <v>124</v>
      </c>
      <c r="E8" s="149">
        <f aca="true" t="shared" si="2" ref="E8:E20">D8*100/C8</f>
        <v>52.32067510548523</v>
      </c>
      <c r="F8" s="154">
        <v>211</v>
      </c>
      <c r="G8" s="149">
        <v>116</v>
      </c>
      <c r="H8" s="149">
        <f t="shared" si="0"/>
        <v>-95</v>
      </c>
      <c r="I8" s="149">
        <v>105.5</v>
      </c>
      <c r="J8" s="149">
        <f>G8*100/200</f>
        <v>58</v>
      </c>
      <c r="K8" s="149">
        <f t="shared" si="1"/>
        <v>-47.5</v>
      </c>
      <c r="L8" s="149">
        <v>13</v>
      </c>
      <c r="M8" s="149">
        <f>(D8-G8)*100/200</f>
        <v>4</v>
      </c>
      <c r="N8" s="149">
        <f>M8-L8</f>
        <v>-9</v>
      </c>
    </row>
    <row r="9" spans="1:14" ht="16.5" customHeight="1">
      <c r="A9" s="44" t="s">
        <v>12</v>
      </c>
      <c r="B9" s="44" t="s">
        <v>90</v>
      </c>
      <c r="C9" s="154">
        <v>104</v>
      </c>
      <c r="D9" s="149">
        <v>95</v>
      </c>
      <c r="E9" s="149">
        <f t="shared" si="2"/>
        <v>91.34615384615384</v>
      </c>
      <c r="F9" s="154">
        <v>81</v>
      </c>
      <c r="G9" s="150">
        <v>79</v>
      </c>
      <c r="H9" s="149">
        <f t="shared" si="0"/>
        <v>-2</v>
      </c>
      <c r="I9" s="149">
        <v>77.14285714285714</v>
      </c>
      <c r="J9" s="149">
        <f>G9*100/105</f>
        <v>75.23809523809524</v>
      </c>
      <c r="K9" s="149">
        <f>J9-I9</f>
        <v>-1.904761904761898</v>
      </c>
      <c r="L9" s="149">
        <v>21.904761904761905</v>
      </c>
      <c r="M9" s="149">
        <f>(D9-G9)*100/105</f>
        <v>15.238095238095237</v>
      </c>
      <c r="N9" s="149">
        <f>M9-L9</f>
        <v>-6.666666666666668</v>
      </c>
    </row>
    <row r="10" spans="1:14" ht="16.5" customHeight="1">
      <c r="A10" s="44" t="s">
        <v>13</v>
      </c>
      <c r="B10" s="44" t="s">
        <v>115</v>
      </c>
      <c r="C10" s="154">
        <v>53</v>
      </c>
      <c r="D10" s="149">
        <v>54</v>
      </c>
      <c r="E10" s="149">
        <f t="shared" si="2"/>
        <v>101.88679245283019</v>
      </c>
      <c r="F10" s="154">
        <v>49</v>
      </c>
      <c r="G10" s="149">
        <v>51</v>
      </c>
      <c r="H10" s="149">
        <f t="shared" si="0"/>
        <v>2</v>
      </c>
      <c r="I10" s="149">
        <v>90.74074074074075</v>
      </c>
      <c r="J10" s="149">
        <f>G10*100/54</f>
        <v>94.44444444444444</v>
      </c>
      <c r="K10" s="149">
        <f>J10-I10</f>
        <v>3.7037037037036953</v>
      </c>
      <c r="L10" s="149">
        <v>7.407407407407407</v>
      </c>
      <c r="M10" s="149">
        <f>(D10-G10)*100/54</f>
        <v>5.555555555555555</v>
      </c>
      <c r="N10" s="149">
        <f>M10-L10</f>
        <v>-1.851851851851852</v>
      </c>
    </row>
    <row r="11" spans="1:14" ht="16.5" customHeight="1">
      <c r="A11" s="44" t="s">
        <v>14</v>
      </c>
      <c r="B11" s="44" t="s">
        <v>116</v>
      </c>
      <c r="C11" s="154">
        <v>248</v>
      </c>
      <c r="D11" s="149">
        <v>241</v>
      </c>
      <c r="E11" s="149">
        <f t="shared" si="2"/>
        <v>97.1774193548387</v>
      </c>
      <c r="F11" s="154">
        <v>221</v>
      </c>
      <c r="G11" s="149">
        <v>199</v>
      </c>
      <c r="H11" s="149">
        <f t="shared" si="0"/>
        <v>-22</v>
      </c>
      <c r="I11" s="149">
        <v>67.3780487804878</v>
      </c>
      <c r="J11" s="149">
        <f>G11*100/308</f>
        <v>64.6103896103896</v>
      </c>
      <c r="K11" s="149">
        <f t="shared" si="1"/>
        <v>-2.7676591700981987</v>
      </c>
      <c r="L11" s="149">
        <v>8.231707317073171</v>
      </c>
      <c r="M11" s="149">
        <f>(D11-G11)*100/308</f>
        <v>13.636363636363637</v>
      </c>
      <c r="N11" s="149">
        <f aca="true" t="shared" si="3" ref="N11:N20">M11-L11</f>
        <v>5.404656319290465</v>
      </c>
    </row>
    <row r="12" spans="1:14" ht="16.5" customHeight="1">
      <c r="A12" s="44" t="s">
        <v>15</v>
      </c>
      <c r="B12" s="45" t="s">
        <v>91</v>
      </c>
      <c r="C12" s="154">
        <v>250</v>
      </c>
      <c r="D12" s="149">
        <v>198</v>
      </c>
      <c r="E12" s="149">
        <f t="shared" si="2"/>
        <v>79.2</v>
      </c>
      <c r="F12" s="154">
        <v>187</v>
      </c>
      <c r="G12" s="149">
        <v>145</v>
      </c>
      <c r="H12" s="149">
        <f t="shared" si="0"/>
        <v>-42</v>
      </c>
      <c r="I12" s="149">
        <v>66.78571428571429</v>
      </c>
      <c r="J12" s="149">
        <f>G12*100/280</f>
        <v>51.785714285714285</v>
      </c>
      <c r="K12" s="149">
        <f t="shared" si="1"/>
        <v>-15.000000000000007</v>
      </c>
      <c r="L12" s="149">
        <v>22.5</v>
      </c>
      <c r="M12" s="149">
        <f>(D12-G12)*100/280</f>
        <v>18.928571428571427</v>
      </c>
      <c r="N12" s="149">
        <f t="shared" si="3"/>
        <v>-3.571428571428573</v>
      </c>
    </row>
    <row r="13" spans="1:14" ht="16.5" customHeight="1">
      <c r="A13" s="44" t="s">
        <v>16</v>
      </c>
      <c r="B13" s="44" t="s">
        <v>92</v>
      </c>
      <c r="C13" s="154">
        <v>45</v>
      </c>
      <c r="D13" s="149"/>
      <c r="E13" s="149"/>
      <c r="F13" s="154">
        <v>45</v>
      </c>
      <c r="G13" s="149"/>
      <c r="H13" s="149">
        <f t="shared" si="0"/>
        <v>-45</v>
      </c>
      <c r="I13" s="149">
        <v>66.17647058823529</v>
      </c>
      <c r="J13" s="149"/>
      <c r="K13" s="149">
        <f t="shared" si="1"/>
        <v>-66.17647058823529</v>
      </c>
      <c r="L13" s="149">
        <v>0</v>
      </c>
      <c r="M13" s="149"/>
      <c r="N13" s="149"/>
    </row>
    <row r="14" spans="1:14" ht="16.5" customHeight="1">
      <c r="A14" s="45" t="s">
        <v>17</v>
      </c>
      <c r="B14" s="45" t="s">
        <v>114</v>
      </c>
      <c r="C14" s="155">
        <v>81</v>
      </c>
      <c r="D14" s="150">
        <v>141</v>
      </c>
      <c r="E14" s="149">
        <f t="shared" si="2"/>
        <v>174.07407407407408</v>
      </c>
      <c r="F14" s="155">
        <v>49</v>
      </c>
      <c r="G14" s="150">
        <v>113</v>
      </c>
      <c r="H14" s="149">
        <f t="shared" si="0"/>
        <v>64</v>
      </c>
      <c r="I14" s="150">
        <v>57.64705882352941</v>
      </c>
      <c r="J14" s="150">
        <f>G14*100/85</f>
        <v>132.94117647058823</v>
      </c>
      <c r="K14" s="149">
        <f t="shared" si="1"/>
        <v>75.29411764705881</v>
      </c>
      <c r="L14" s="149">
        <v>37.64705882352941</v>
      </c>
      <c r="M14" s="149">
        <f>(D14-G14)*100/85</f>
        <v>32.94117647058823</v>
      </c>
      <c r="N14" s="150">
        <f t="shared" si="3"/>
        <v>-4.705882352941181</v>
      </c>
    </row>
    <row r="15" spans="1:14" ht="16.5" customHeight="1">
      <c r="A15" s="45" t="s">
        <v>18</v>
      </c>
      <c r="B15" s="45" t="s">
        <v>93</v>
      </c>
      <c r="C15" s="155">
        <v>71</v>
      </c>
      <c r="D15" s="150">
        <v>63</v>
      </c>
      <c r="E15" s="149">
        <f t="shared" si="2"/>
        <v>88.73239436619718</v>
      </c>
      <c r="F15" s="155">
        <v>57</v>
      </c>
      <c r="G15" s="150">
        <v>60</v>
      </c>
      <c r="H15" s="149">
        <f t="shared" si="0"/>
        <v>3</v>
      </c>
      <c r="I15" s="150">
        <v>82.6086956521739</v>
      </c>
      <c r="J15" s="150">
        <f>G15*100/69</f>
        <v>86.95652173913044</v>
      </c>
      <c r="K15" s="149">
        <f t="shared" si="1"/>
        <v>4.34782608695653</v>
      </c>
      <c r="L15" s="149">
        <v>20.28985507246377</v>
      </c>
      <c r="M15" s="149">
        <f>(D15-G15)*100/69</f>
        <v>4.3478260869565215</v>
      </c>
      <c r="N15" s="150">
        <f t="shared" si="3"/>
        <v>-15.942028985507248</v>
      </c>
    </row>
    <row r="16" spans="1:14" ht="16.5" customHeight="1">
      <c r="A16" s="45" t="s">
        <v>19</v>
      </c>
      <c r="B16" s="45" t="s">
        <v>113</v>
      </c>
      <c r="C16" s="155">
        <v>56</v>
      </c>
      <c r="D16" s="150">
        <v>63</v>
      </c>
      <c r="E16" s="149">
        <f t="shared" si="2"/>
        <v>112.5</v>
      </c>
      <c r="F16" s="155">
        <v>42</v>
      </c>
      <c r="G16" s="150">
        <v>56</v>
      </c>
      <c r="H16" s="149">
        <f t="shared" si="0"/>
        <v>14</v>
      </c>
      <c r="I16" s="150">
        <v>105</v>
      </c>
      <c r="J16" s="150">
        <f>G16*100/48</f>
        <v>116.66666666666667</v>
      </c>
      <c r="K16" s="149">
        <f t="shared" si="1"/>
        <v>11.666666666666671</v>
      </c>
      <c r="L16" s="149">
        <v>35</v>
      </c>
      <c r="M16" s="149">
        <f>(D16-G16)*100/48</f>
        <v>14.583333333333334</v>
      </c>
      <c r="N16" s="150">
        <f t="shared" si="3"/>
        <v>-20.416666666666664</v>
      </c>
    </row>
    <row r="17" spans="1:14" ht="16.5" customHeight="1">
      <c r="A17" s="45" t="s">
        <v>20</v>
      </c>
      <c r="B17" s="45" t="s">
        <v>94</v>
      </c>
      <c r="C17" s="155">
        <v>132</v>
      </c>
      <c r="D17" s="150">
        <v>99</v>
      </c>
      <c r="E17" s="149">
        <f t="shared" si="2"/>
        <v>75</v>
      </c>
      <c r="F17" s="155">
        <v>110</v>
      </c>
      <c r="G17" s="150">
        <v>86</v>
      </c>
      <c r="H17" s="149">
        <f t="shared" si="0"/>
        <v>-24</v>
      </c>
      <c r="I17" s="150">
        <v>110</v>
      </c>
      <c r="J17" s="150">
        <f>G17*100/100</f>
        <v>86</v>
      </c>
      <c r="K17" s="149">
        <f t="shared" si="1"/>
        <v>-24</v>
      </c>
      <c r="L17" s="149">
        <v>22</v>
      </c>
      <c r="M17" s="149">
        <f>(D17-G17)*100/100</f>
        <v>13</v>
      </c>
      <c r="N17" s="150">
        <f t="shared" si="3"/>
        <v>-9</v>
      </c>
    </row>
    <row r="18" spans="1:14" ht="16.5" customHeight="1">
      <c r="A18" s="45" t="s">
        <v>21</v>
      </c>
      <c r="B18" s="45" t="s">
        <v>95</v>
      </c>
      <c r="C18" s="155">
        <v>46</v>
      </c>
      <c r="D18" s="150">
        <v>46</v>
      </c>
      <c r="E18" s="149">
        <f t="shared" si="2"/>
        <v>100</v>
      </c>
      <c r="F18" s="155">
        <v>40</v>
      </c>
      <c r="G18" s="150">
        <v>46</v>
      </c>
      <c r="H18" s="149">
        <f t="shared" si="0"/>
        <v>6</v>
      </c>
      <c r="I18" s="150">
        <v>95.23809523809524</v>
      </c>
      <c r="J18" s="150">
        <f>G18*100/42</f>
        <v>109.52380952380952</v>
      </c>
      <c r="K18" s="149">
        <f t="shared" si="1"/>
        <v>14.285714285714278</v>
      </c>
      <c r="L18" s="149">
        <v>14.285714285714286</v>
      </c>
      <c r="M18" s="149">
        <f>(D18-G18)*100/42</f>
        <v>0</v>
      </c>
      <c r="N18" s="150">
        <f t="shared" si="3"/>
        <v>-14.285714285714286</v>
      </c>
    </row>
    <row r="19" spans="1:14" ht="16.5" customHeight="1">
      <c r="A19" s="45" t="s">
        <v>22</v>
      </c>
      <c r="B19" s="45" t="s">
        <v>96</v>
      </c>
      <c r="C19" s="155"/>
      <c r="D19" s="150"/>
      <c r="E19" s="149"/>
      <c r="F19" s="155"/>
      <c r="G19" s="150"/>
      <c r="H19" s="150"/>
      <c r="I19" s="150"/>
      <c r="J19" s="150"/>
      <c r="K19" s="150"/>
      <c r="L19" s="149"/>
      <c r="M19" s="149"/>
      <c r="N19" s="150"/>
    </row>
    <row r="20" spans="1:14" ht="16.5" customHeight="1">
      <c r="A20" s="44"/>
      <c r="B20" s="44" t="s">
        <v>23</v>
      </c>
      <c r="C20" s="149">
        <f>SUM(C7:C19)</f>
        <v>1371</v>
      </c>
      <c r="D20" s="44">
        <f>SUM(D7:D19)</f>
        <v>1136</v>
      </c>
      <c r="E20" s="149">
        <f t="shared" si="2"/>
        <v>82.85922684172137</v>
      </c>
      <c r="F20" s="44">
        <f>SUM(F7:F19)</f>
        <v>1119</v>
      </c>
      <c r="G20" s="44">
        <f>SUM(G7:G19)</f>
        <v>957</v>
      </c>
      <c r="H20" s="44">
        <f>G20-F20</f>
        <v>-162</v>
      </c>
      <c r="I20" s="149">
        <v>78.91396332863188</v>
      </c>
      <c r="J20" s="149">
        <f>G20*100/1311</f>
        <v>72.99771167048056</v>
      </c>
      <c r="K20" s="149">
        <f>J20-I20</f>
        <v>-5.9162516581513245</v>
      </c>
      <c r="L20" s="149">
        <v>17.77150916784203</v>
      </c>
      <c r="M20" s="149">
        <f>(D20-G20)*100/1311</f>
        <v>13.653699466056445</v>
      </c>
      <c r="N20" s="149">
        <f t="shared" si="3"/>
        <v>-4.1178097017855855</v>
      </c>
    </row>
    <row r="23" spans="1:15" ht="12.75">
      <c r="A23" s="160" t="s">
        <v>98</v>
      </c>
      <c r="C23" s="121"/>
      <c r="D23" s="121"/>
      <c r="E23" s="121"/>
      <c r="F23" s="121"/>
      <c r="G23" s="121"/>
      <c r="H23" s="121"/>
      <c r="I23" s="121"/>
      <c r="M23" s="238" t="s">
        <v>99</v>
      </c>
      <c r="N23" s="238"/>
      <c r="O23" s="238"/>
    </row>
    <row r="24" spans="2:18" ht="14.2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4.25">
      <c r="B25" s="145" t="s">
        <v>100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</sheetData>
  <mergeCells count="3">
    <mergeCell ref="A2:N2"/>
    <mergeCell ref="A1:N1"/>
    <mergeCell ref="M23:O23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Normal="75" zoomScaleSheetLayoutView="10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12.125" style="0" customWidth="1"/>
    <col min="4" max="4" width="14.625" style="0" customWidth="1"/>
    <col min="5" max="5" width="13.00390625" style="0" customWidth="1"/>
    <col min="6" max="6" width="13.25390625" style="0" customWidth="1"/>
  </cols>
  <sheetData>
    <row r="1" spans="1:9" ht="15.75" customHeight="1">
      <c r="A1" s="239" t="s">
        <v>24</v>
      </c>
      <c r="B1" s="239"/>
      <c r="C1" s="239"/>
      <c r="D1" s="239"/>
      <c r="E1" s="239"/>
      <c r="F1" s="239"/>
      <c r="G1" s="2"/>
      <c r="H1" s="2"/>
      <c r="I1" s="2"/>
    </row>
    <row r="2" spans="1:9" ht="15.75">
      <c r="A2" s="240" t="s">
        <v>133</v>
      </c>
      <c r="B2" s="240"/>
      <c r="C2" s="240"/>
      <c r="D2" s="240"/>
      <c r="E2" s="240"/>
      <c r="F2" s="240"/>
      <c r="G2" s="2"/>
      <c r="H2" s="2"/>
      <c r="I2" s="2"/>
    </row>
    <row r="3" spans="1:9" ht="15">
      <c r="A3" s="5" t="s">
        <v>2</v>
      </c>
      <c r="B3" s="11" t="s">
        <v>3</v>
      </c>
      <c r="C3" s="12" t="s">
        <v>65</v>
      </c>
      <c r="D3" s="13"/>
      <c r="E3" s="12" t="s">
        <v>66</v>
      </c>
      <c r="F3" s="14"/>
      <c r="G3" s="2"/>
      <c r="H3" s="2"/>
      <c r="I3" s="2"/>
    </row>
    <row r="4" spans="1:9" ht="15">
      <c r="A4" s="6"/>
      <c r="B4" s="15"/>
      <c r="C4" s="30">
        <v>2008</v>
      </c>
      <c r="D4" s="31">
        <v>2009</v>
      </c>
      <c r="E4" s="31">
        <v>2008</v>
      </c>
      <c r="F4" s="19">
        <v>2009</v>
      </c>
      <c r="G4" s="2"/>
      <c r="H4" s="2"/>
      <c r="I4" s="2"/>
    </row>
    <row r="5" spans="1:9" ht="15">
      <c r="A5" s="7"/>
      <c r="B5" s="16"/>
      <c r="C5" s="17"/>
      <c r="D5" s="16"/>
      <c r="E5" s="16"/>
      <c r="F5" s="18"/>
      <c r="G5" s="2"/>
      <c r="H5" s="2"/>
      <c r="I5" s="2"/>
    </row>
    <row r="6" spans="1:9" ht="15">
      <c r="A6" s="4" t="s">
        <v>10</v>
      </c>
      <c r="B6" s="139" t="s">
        <v>117</v>
      </c>
      <c r="C6" s="51">
        <f>(молоко!C6*1000)/1577</f>
        <v>46.47431832593532</v>
      </c>
      <c r="D6" s="51">
        <f>(молоко!D6*1000)/1575</f>
        <v>7.917460317460318</v>
      </c>
      <c r="E6" s="51">
        <f>(мясо!C7*1000)/1577</f>
        <v>5.516804058338618</v>
      </c>
      <c r="F6" s="51">
        <f>(мясо!D7*1000)/1575</f>
        <v>11.66984126984127</v>
      </c>
      <c r="H6" s="2"/>
      <c r="I6" s="2"/>
    </row>
    <row r="7" spans="1:9" ht="15">
      <c r="A7" s="4" t="s">
        <v>11</v>
      </c>
      <c r="B7" s="3" t="s">
        <v>89</v>
      </c>
      <c r="C7" s="51">
        <f>(молоко!C7*1000)/1875</f>
        <v>266.6666666666667</v>
      </c>
      <c r="D7" s="51">
        <f>(молоко!D7*1000)/1875</f>
        <v>211.52</v>
      </c>
      <c r="E7" s="51">
        <f>(мясо!C8*1000)/1875</f>
        <v>37.49333333333333</v>
      </c>
      <c r="F7" s="51">
        <f>(мясо!D8*1000)/1875</f>
        <v>50.026666666666664</v>
      </c>
      <c r="H7" s="2"/>
      <c r="I7" s="2"/>
    </row>
    <row r="8" spans="1:9" ht="15">
      <c r="A8" s="4" t="s">
        <v>12</v>
      </c>
      <c r="B8" s="3" t="s">
        <v>90</v>
      </c>
      <c r="C8" s="51">
        <f>(молоко!C8*1000)/799</f>
        <v>330.6633291614518</v>
      </c>
      <c r="D8" s="51">
        <f>(молоко!D8*1000)/799</f>
        <v>342.9286608260325</v>
      </c>
      <c r="E8" s="51">
        <f>(мясо!C9*1000)/799</f>
        <v>46.68335419274093</v>
      </c>
      <c r="F8" s="51">
        <f>(мясо!D9*1000)/799</f>
        <v>18.773466833541928</v>
      </c>
      <c r="H8" s="2"/>
      <c r="I8" s="2"/>
    </row>
    <row r="9" spans="1:9" ht="15">
      <c r="A9" s="4" t="s">
        <v>13</v>
      </c>
      <c r="B9" s="139" t="s">
        <v>115</v>
      </c>
      <c r="C9" s="51">
        <f>(молоко!C9*1000)/2025</f>
        <v>71.11111111111111</v>
      </c>
      <c r="D9" s="51">
        <f>(молоко!D9*1000)/1793</f>
        <v>93.69771332961517</v>
      </c>
      <c r="E9" s="51">
        <f>(мясо!C10*1000)/2025</f>
        <v>6.864197530864198</v>
      </c>
      <c r="F9" s="51">
        <f>(мясо!D10*1000)/1793</f>
        <v>8.198549916341328</v>
      </c>
      <c r="H9" s="2"/>
      <c r="I9" s="2"/>
    </row>
    <row r="10" spans="1:9" ht="15">
      <c r="A10" s="4" t="s">
        <v>14</v>
      </c>
      <c r="B10" s="139" t="s">
        <v>116</v>
      </c>
      <c r="C10" s="51">
        <f>(молоко!C10*1000)/2903</f>
        <v>299.5521873923527</v>
      </c>
      <c r="D10" s="51">
        <f>(молоко!D10*1000)/2797</f>
        <v>303.96853771898463</v>
      </c>
      <c r="E10" s="51">
        <f>(мясо!C11*1000)/2903</f>
        <v>51.05063727178781</v>
      </c>
      <c r="F10" s="51">
        <f>(мясо!D11*1000)/2797</f>
        <v>38.21952091526636</v>
      </c>
      <c r="H10" s="2"/>
      <c r="I10" s="2"/>
    </row>
    <row r="11" spans="1:9" ht="15">
      <c r="A11" s="4" t="s">
        <v>15</v>
      </c>
      <c r="B11" s="146" t="s">
        <v>91</v>
      </c>
      <c r="C11" s="51">
        <f>(молоко!C11*1000)/2184</f>
        <v>285.7142857142857</v>
      </c>
      <c r="D11" s="51">
        <f>(молоко!D11*1000)/2184</f>
        <v>239.9267399267399</v>
      </c>
      <c r="E11" s="51">
        <f>(мясо!C12*1000)/2184</f>
        <v>57.646520146520146</v>
      </c>
      <c r="F11" s="51">
        <f>(мясо!D12*1000)/2184</f>
        <v>55.4029304029304</v>
      </c>
      <c r="H11" s="2"/>
      <c r="I11" s="2"/>
    </row>
    <row r="12" spans="1:9" ht="15">
      <c r="A12" s="4" t="s">
        <v>16</v>
      </c>
      <c r="B12" s="139" t="s">
        <v>92</v>
      </c>
      <c r="C12" s="51">
        <f>(молоко!C12*1000)/1906</f>
        <v>43.59916054564533</v>
      </c>
      <c r="D12" s="51"/>
      <c r="E12" s="51">
        <f>(мясо!C13*1000)/1906</f>
        <v>27.597061909758658</v>
      </c>
      <c r="F12" s="51"/>
      <c r="H12" s="2"/>
      <c r="I12" s="2"/>
    </row>
    <row r="13" spans="1:9" ht="15">
      <c r="A13" s="25" t="s">
        <v>17</v>
      </c>
      <c r="B13" s="146" t="s">
        <v>114</v>
      </c>
      <c r="C13" s="51">
        <f>(молоко!C13*1000)/868</f>
        <v>405.29953917050693</v>
      </c>
      <c r="D13" s="51">
        <f>(молоко!D13*1000)/865</f>
        <v>407.1676300578035</v>
      </c>
      <c r="E13" s="51">
        <f>(мясо!C14*1000)/868</f>
        <v>36.52073732718894</v>
      </c>
      <c r="F13" s="51">
        <f>(мясо!D14*1000)/865</f>
        <v>46.358381502890175</v>
      </c>
      <c r="H13" s="2"/>
      <c r="I13" s="2"/>
    </row>
    <row r="14" spans="1:9" ht="15">
      <c r="A14" s="25" t="s">
        <v>18</v>
      </c>
      <c r="B14" s="8" t="s">
        <v>93</v>
      </c>
      <c r="C14" s="51">
        <f>(молоко!C14*1000)/1492</f>
        <v>138.73994638069706</v>
      </c>
      <c r="D14" s="51">
        <f>(молоко!D14*1000)/1492</f>
        <v>131.09919571045577</v>
      </c>
      <c r="E14" s="51">
        <f>(мясо!C15*1000)/1492</f>
        <v>31.300268096514746</v>
      </c>
      <c r="F14" s="51">
        <f>(мясо!D15*1000)/1492</f>
        <v>27.144772117962468</v>
      </c>
      <c r="H14" s="2"/>
      <c r="I14" s="2"/>
    </row>
    <row r="15" spans="1:9" ht="15">
      <c r="A15" s="25" t="s">
        <v>19</v>
      </c>
      <c r="B15" s="146" t="s">
        <v>113</v>
      </c>
      <c r="C15" s="51">
        <f>(молоко!C15*1000)/1082</f>
        <v>121.1645101663586</v>
      </c>
      <c r="D15" s="51">
        <f>(молоко!D15*1000)/1082</f>
        <v>191.3123844731978</v>
      </c>
      <c r="E15" s="51">
        <f>(мясо!C16*1000)/1082</f>
        <v>10.027726432532347</v>
      </c>
      <c r="F15" s="51">
        <f>(мясо!D16*1000)/1082</f>
        <v>9.611829944547136</v>
      </c>
      <c r="H15" s="2"/>
      <c r="I15" s="2"/>
    </row>
    <row r="16" spans="1:9" ht="15">
      <c r="A16" s="25" t="s">
        <v>20</v>
      </c>
      <c r="B16" s="8" t="s">
        <v>94</v>
      </c>
      <c r="C16" s="51">
        <f>(молоко!C16*1000)/1118</f>
        <v>230.32200357781753</v>
      </c>
      <c r="D16" s="51">
        <f>(молоко!D16*1000)/1109</f>
        <v>207.39404869251578</v>
      </c>
      <c r="E16" s="51">
        <f>(мясо!C17*1000)/1118</f>
        <v>26.29695885509839</v>
      </c>
      <c r="F16" s="51">
        <f>(мясо!D17*1000)/1109</f>
        <v>26.0595130748422</v>
      </c>
      <c r="H16" s="2"/>
      <c r="I16" s="2"/>
    </row>
    <row r="17" spans="1:9" ht="15">
      <c r="A17" s="25" t="s">
        <v>21</v>
      </c>
      <c r="B17" s="8" t="s">
        <v>95</v>
      </c>
      <c r="C17" s="51">
        <f>(молоко!C17*1000)/674</f>
        <v>204.15430267062314</v>
      </c>
      <c r="D17" s="51">
        <f>(молоко!D17*1000)/663</f>
        <v>184.01206636500754</v>
      </c>
      <c r="E17" s="51">
        <f>(мясо!C18*1000)/674</f>
        <v>16.765578635014837</v>
      </c>
      <c r="F17" s="51">
        <f>(мясо!D18*1000)/663</f>
        <v>20.663650075414782</v>
      </c>
      <c r="H17" s="2"/>
      <c r="I17" s="2"/>
    </row>
    <row r="18" spans="1:9" ht="15">
      <c r="A18" s="25" t="s">
        <v>22</v>
      </c>
      <c r="B18" s="8" t="s">
        <v>96</v>
      </c>
      <c r="C18" s="51"/>
      <c r="D18" s="51"/>
      <c r="E18" s="51">
        <f>(мясо!C19*1000)/954</f>
        <v>671.9077568134172</v>
      </c>
      <c r="F18" s="51">
        <f>(мясо!D19*1000)/954</f>
        <v>734.8008385744234</v>
      </c>
      <c r="H18" s="2"/>
      <c r="I18" s="2"/>
    </row>
    <row r="19" spans="1:6" ht="15">
      <c r="A19" s="3"/>
      <c r="B19" s="3" t="s">
        <v>23</v>
      </c>
      <c r="C19" s="51">
        <f>(молоко!C19*1000)/19457</f>
        <v>187.24315156498946</v>
      </c>
      <c r="D19" s="51">
        <f>(молоко!D19*1000)/22363</f>
        <v>148.99923981576708</v>
      </c>
      <c r="E19" s="51">
        <f>(мясо!C20*1000)/19457</f>
        <v>63.10582309708588</v>
      </c>
      <c r="F19" s="51">
        <f>(мясо!D20*1000)/22363</f>
        <v>53.855922729508556</v>
      </c>
    </row>
    <row r="22" spans="1:15" ht="15">
      <c r="A22" s="122" t="s">
        <v>112</v>
      </c>
      <c r="C22" s="121"/>
      <c r="D22" s="121"/>
      <c r="E22" s="121"/>
      <c r="F22" s="157" t="s">
        <v>99</v>
      </c>
      <c r="G22" s="157"/>
      <c r="H22" s="157"/>
      <c r="J22" s="121"/>
      <c r="K22" s="121"/>
      <c r="L22" s="121"/>
      <c r="M22" s="121"/>
      <c r="N22" s="121"/>
      <c r="O22" s="119"/>
    </row>
    <row r="23" spans="2:18" ht="14.2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ht="14.25">
      <c r="B24" s="161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75" zoomScaleNormal="75" zoomScaleSheetLayoutView="75" workbookViewId="0" topLeftCell="A1">
      <selection activeCell="F21" sqref="F21"/>
    </sheetView>
  </sheetViews>
  <sheetFormatPr defaultColWidth="9.00390625" defaultRowHeight="12.75"/>
  <cols>
    <col min="1" max="1" width="3.375" style="0" customWidth="1"/>
    <col min="2" max="2" width="40.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32"/>
      <c r="B1" s="24"/>
      <c r="C1" s="58" t="s">
        <v>125</v>
      </c>
      <c r="D1" s="58"/>
      <c r="E1" s="58"/>
      <c r="F1" s="24"/>
      <c r="G1" s="24"/>
      <c r="H1" s="24"/>
      <c r="I1" s="24"/>
      <c r="J1" s="24"/>
      <c r="K1" s="24"/>
    </row>
    <row r="2" spans="1:11" ht="18">
      <c r="A2" s="32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>
      <c r="A3" s="47" t="s">
        <v>2</v>
      </c>
      <c r="B3" s="93" t="s">
        <v>3</v>
      </c>
      <c r="C3" s="94" t="s">
        <v>25</v>
      </c>
      <c r="D3" s="95"/>
      <c r="E3" s="96"/>
      <c r="F3" s="97" t="s">
        <v>26</v>
      </c>
      <c r="G3" s="98" t="s">
        <v>29</v>
      </c>
      <c r="H3" s="99" t="s">
        <v>31</v>
      </c>
      <c r="I3" s="100"/>
      <c r="J3" s="93"/>
      <c r="K3" s="93" t="s">
        <v>32</v>
      </c>
    </row>
    <row r="4" spans="1:11" ht="18">
      <c r="A4" s="53"/>
      <c r="B4" s="101"/>
      <c r="C4" s="102">
        <v>2008</v>
      </c>
      <c r="D4" s="97">
        <v>2009</v>
      </c>
      <c r="E4" s="97" t="s">
        <v>102</v>
      </c>
      <c r="F4" s="103" t="s">
        <v>27</v>
      </c>
      <c r="G4" s="104" t="s">
        <v>30</v>
      </c>
      <c r="H4" s="97">
        <v>2008</v>
      </c>
      <c r="I4" s="98">
        <v>2009</v>
      </c>
      <c r="J4" s="105" t="s">
        <v>102</v>
      </c>
      <c r="K4" s="106" t="s">
        <v>33</v>
      </c>
    </row>
    <row r="5" spans="1:11" ht="18">
      <c r="A5" s="43"/>
      <c r="B5" s="107"/>
      <c r="C5" s="108"/>
      <c r="D5" s="109"/>
      <c r="E5" s="109" t="s">
        <v>103</v>
      </c>
      <c r="F5" s="109" t="s">
        <v>28</v>
      </c>
      <c r="G5" s="110"/>
      <c r="H5" s="111"/>
      <c r="I5" s="112"/>
      <c r="J5" s="111" t="s">
        <v>103</v>
      </c>
      <c r="K5" s="113" t="s">
        <v>0</v>
      </c>
    </row>
    <row r="6" spans="1:11" ht="16.5" customHeight="1">
      <c r="A6" s="44" t="s">
        <v>10</v>
      </c>
      <c r="B6" s="114" t="s">
        <v>117</v>
      </c>
      <c r="C6" s="22">
        <v>73.29</v>
      </c>
      <c r="D6" s="22">
        <v>12.47</v>
      </c>
      <c r="E6" s="23">
        <f aca="true" t="shared" si="0" ref="E6:E11">D6/C6*100</f>
        <v>17.014599536089506</v>
      </c>
      <c r="F6" s="22">
        <v>7.81</v>
      </c>
      <c r="G6" s="23">
        <f aca="true" t="shared" si="1" ref="G6:G17">F6/D6*100</f>
        <v>62.63031275060143</v>
      </c>
      <c r="H6" s="23">
        <v>2364.193548387097</v>
      </c>
      <c r="I6" s="23">
        <f>D6/'численность 1'!K6*1000</f>
        <v>1558.75</v>
      </c>
      <c r="J6" s="23">
        <f aca="true" t="shared" si="2" ref="J6:J11">I6/H6*100</f>
        <v>65.93157320234684</v>
      </c>
      <c r="K6" s="22"/>
    </row>
    <row r="7" spans="1:11" ht="16.5" customHeight="1">
      <c r="A7" s="44" t="s">
        <v>11</v>
      </c>
      <c r="B7" s="114" t="s">
        <v>89</v>
      </c>
      <c r="C7" s="22">
        <v>500</v>
      </c>
      <c r="D7" s="22">
        <v>396.6</v>
      </c>
      <c r="E7" s="23">
        <f t="shared" si="0"/>
        <v>79.32000000000001</v>
      </c>
      <c r="F7" s="22">
        <v>326.3</v>
      </c>
      <c r="G7" s="23">
        <f t="shared" si="1"/>
        <v>82.27433182047402</v>
      </c>
      <c r="H7" s="23">
        <v>2500</v>
      </c>
      <c r="I7" s="23">
        <f>D7/'численность 1'!K7*1000</f>
        <v>2062.32</v>
      </c>
      <c r="J7" s="23">
        <f t="shared" si="2"/>
        <v>82.49280000000002</v>
      </c>
      <c r="K7" s="22"/>
    </row>
    <row r="8" spans="1:11" ht="16.5" customHeight="1">
      <c r="A8" s="44" t="s">
        <v>12</v>
      </c>
      <c r="B8" s="114" t="s">
        <v>90</v>
      </c>
      <c r="C8" s="22">
        <v>264.2</v>
      </c>
      <c r="D8" s="22">
        <v>274</v>
      </c>
      <c r="E8" s="23">
        <f t="shared" si="0"/>
        <v>103.70931112793338</v>
      </c>
      <c r="F8" s="27">
        <v>237</v>
      </c>
      <c r="G8" s="23">
        <f t="shared" si="1"/>
        <v>86.4963503649635</v>
      </c>
      <c r="H8" s="23">
        <v>2516.1904761904757</v>
      </c>
      <c r="I8" s="23">
        <f>D8/'численность 1'!K8*1000</f>
        <v>2609.5238095238096</v>
      </c>
      <c r="J8" s="23">
        <f t="shared" si="2"/>
        <v>103.7093111279334</v>
      </c>
      <c r="K8" s="22"/>
    </row>
    <row r="9" spans="1:11" ht="16.5" customHeight="1">
      <c r="A9" s="44" t="s">
        <v>13</v>
      </c>
      <c r="B9" s="114" t="s">
        <v>115</v>
      </c>
      <c r="C9" s="22">
        <v>144</v>
      </c>
      <c r="D9" s="22">
        <v>168</v>
      </c>
      <c r="E9" s="23">
        <f t="shared" si="0"/>
        <v>116.66666666666667</v>
      </c>
      <c r="F9" s="22">
        <v>129</v>
      </c>
      <c r="G9" s="23">
        <f t="shared" si="1"/>
        <v>76.78571428571429</v>
      </c>
      <c r="H9" s="23">
        <v>2666.6666666666665</v>
      </c>
      <c r="I9" s="23">
        <f>D9/'численность 1'!K9*1000</f>
        <v>3111.1111111111113</v>
      </c>
      <c r="J9" s="23">
        <f t="shared" si="2"/>
        <v>116.66666666666667</v>
      </c>
      <c r="K9" s="22"/>
    </row>
    <row r="10" spans="1:11" ht="17.25" customHeight="1">
      <c r="A10" s="44" t="s">
        <v>14</v>
      </c>
      <c r="B10" s="114" t="s">
        <v>116</v>
      </c>
      <c r="C10" s="22">
        <v>869.6</v>
      </c>
      <c r="D10" s="22">
        <v>850.2</v>
      </c>
      <c r="E10" s="23">
        <f t="shared" si="0"/>
        <v>97.76908923643055</v>
      </c>
      <c r="F10" s="22">
        <v>760.2</v>
      </c>
      <c r="G10" s="23">
        <f t="shared" si="1"/>
        <v>89.41425546930134</v>
      </c>
      <c r="H10" s="23">
        <v>2667.4846625766872</v>
      </c>
      <c r="I10" s="23">
        <f>D10/'численность 1'!K10*1000</f>
        <v>2763.1500000000005</v>
      </c>
      <c r="J10" s="23">
        <f t="shared" si="2"/>
        <v>103.58635004599816</v>
      </c>
      <c r="K10" s="22"/>
    </row>
    <row r="11" spans="1:11" ht="16.5" customHeight="1">
      <c r="A11" s="56" t="s">
        <v>15</v>
      </c>
      <c r="B11" s="115" t="s">
        <v>91</v>
      </c>
      <c r="C11" s="22">
        <v>624</v>
      </c>
      <c r="D11" s="22">
        <v>524</v>
      </c>
      <c r="E11" s="23">
        <f t="shared" si="0"/>
        <v>83.97435897435898</v>
      </c>
      <c r="F11" s="22">
        <v>424</v>
      </c>
      <c r="G11" s="23">
        <f>F11/D11*100</f>
        <v>80.91603053435115</v>
      </c>
      <c r="H11" s="23">
        <v>2228.5714285714284</v>
      </c>
      <c r="I11" s="23">
        <f>D11/'численность 1'!K11*1000</f>
        <v>1918.8732394366198</v>
      </c>
      <c r="J11" s="23">
        <f t="shared" si="2"/>
        <v>86.10328638497653</v>
      </c>
      <c r="K11" s="22"/>
    </row>
    <row r="12" spans="1:11" ht="16.5" customHeight="1">
      <c r="A12" s="44" t="s">
        <v>16</v>
      </c>
      <c r="B12" s="114" t="s">
        <v>92</v>
      </c>
      <c r="C12" s="22">
        <v>83.1</v>
      </c>
      <c r="D12" s="22"/>
      <c r="E12" s="23"/>
      <c r="F12" s="22"/>
      <c r="G12" s="23"/>
      <c r="H12" s="23">
        <v>1695.9183673469388</v>
      </c>
      <c r="I12" s="23"/>
      <c r="J12" s="23"/>
      <c r="K12" s="22"/>
    </row>
    <row r="13" spans="1:11" ht="16.5" customHeight="1">
      <c r="A13" s="45" t="s">
        <v>17</v>
      </c>
      <c r="B13" s="115" t="s">
        <v>114</v>
      </c>
      <c r="C13" s="27">
        <v>351.8</v>
      </c>
      <c r="D13" s="27">
        <v>352.2</v>
      </c>
      <c r="E13" s="28">
        <f>D13/C13*100</f>
        <v>100.11370096645823</v>
      </c>
      <c r="F13" s="27">
        <v>267.1</v>
      </c>
      <c r="G13" s="28">
        <f t="shared" si="1"/>
        <v>75.83759227711528</v>
      </c>
      <c r="H13" s="23">
        <v>4138.823529411765</v>
      </c>
      <c r="I13" s="23">
        <f>D13/'численность 1'!K13*1000</f>
        <v>4143.529411764706</v>
      </c>
      <c r="J13" s="28">
        <f>I13/H13*100</f>
        <v>100.11370096645823</v>
      </c>
      <c r="K13" s="27">
        <v>262.2</v>
      </c>
    </row>
    <row r="14" spans="1:11" ht="16.5" customHeight="1">
      <c r="A14" s="45" t="s">
        <v>18</v>
      </c>
      <c r="B14" s="115" t="s">
        <v>93</v>
      </c>
      <c r="C14" s="27">
        <v>207</v>
      </c>
      <c r="D14" s="27">
        <v>195.6</v>
      </c>
      <c r="E14" s="28">
        <f>D14/C14*100</f>
        <v>94.4927536231884</v>
      </c>
      <c r="F14" s="27">
        <v>150</v>
      </c>
      <c r="G14" s="28">
        <f t="shared" si="1"/>
        <v>76.68711656441718</v>
      </c>
      <c r="H14" s="23">
        <v>3000</v>
      </c>
      <c r="I14" s="23">
        <f>D14/'численность 1'!K14*1000</f>
        <v>3166.625155666252</v>
      </c>
      <c r="J14" s="28">
        <f>I14/H14*100</f>
        <v>105.55417185554172</v>
      </c>
      <c r="K14" s="27"/>
    </row>
    <row r="15" spans="1:11" ht="16.5" customHeight="1">
      <c r="A15" s="45" t="s">
        <v>19</v>
      </c>
      <c r="B15" s="115" t="s">
        <v>113</v>
      </c>
      <c r="C15" s="27">
        <v>131.1</v>
      </c>
      <c r="D15" s="27">
        <v>207</v>
      </c>
      <c r="E15" s="28">
        <f>D15/C15*100</f>
        <v>157.89473684210526</v>
      </c>
      <c r="F15" s="27">
        <v>174</v>
      </c>
      <c r="G15" s="28">
        <f t="shared" si="1"/>
        <v>84.05797101449275</v>
      </c>
      <c r="H15" s="23">
        <v>3197.560975609756</v>
      </c>
      <c r="I15" s="23">
        <f>D15/'численность 1'!K15*1000</f>
        <v>3980.769230769231</v>
      </c>
      <c r="J15" s="28">
        <f>I15/H15*100</f>
        <v>124.49392712550609</v>
      </c>
      <c r="K15" s="27">
        <v>45.5</v>
      </c>
    </row>
    <row r="16" spans="1:11" ht="16.5" customHeight="1">
      <c r="A16" s="45" t="s">
        <v>20</v>
      </c>
      <c r="B16" s="115" t="s">
        <v>94</v>
      </c>
      <c r="C16" s="27">
        <v>257.5</v>
      </c>
      <c r="D16" s="27">
        <v>230</v>
      </c>
      <c r="E16" s="28">
        <f>D16/C16*100</f>
        <v>89.32038834951457</v>
      </c>
      <c r="F16" s="27">
        <v>174</v>
      </c>
      <c r="G16" s="28">
        <f t="shared" si="1"/>
        <v>75.65217391304347</v>
      </c>
      <c r="H16" s="23">
        <v>2575</v>
      </c>
      <c r="I16" s="23">
        <f>D16/'численность 1'!K16*1000</f>
        <v>2300</v>
      </c>
      <c r="J16" s="28">
        <f>I16/H16*100</f>
        <v>89.32038834951457</v>
      </c>
      <c r="K16" s="27"/>
    </row>
    <row r="17" spans="1:11" ht="16.5" customHeight="1">
      <c r="A17" s="45" t="s">
        <v>21</v>
      </c>
      <c r="B17" s="115" t="s">
        <v>95</v>
      </c>
      <c r="C17" s="27">
        <v>137.6</v>
      </c>
      <c r="D17" s="27">
        <v>122</v>
      </c>
      <c r="E17" s="28">
        <f>D17/C17*100</f>
        <v>88.66279069767442</v>
      </c>
      <c r="F17" s="27">
        <v>92</v>
      </c>
      <c r="G17" s="28">
        <f t="shared" si="1"/>
        <v>75.40983606557377</v>
      </c>
      <c r="H17" s="23">
        <v>3276.190476190476</v>
      </c>
      <c r="I17" s="23">
        <f>D17/'численность 1'!K17*1000</f>
        <v>2904.7619047619046</v>
      </c>
      <c r="J17" s="28">
        <f>I17/H17*100</f>
        <v>88.66279069767441</v>
      </c>
      <c r="K17" s="27"/>
    </row>
    <row r="18" spans="1:11" ht="16.5" customHeight="1">
      <c r="A18" s="45" t="s">
        <v>22</v>
      </c>
      <c r="B18" s="115" t="s">
        <v>96</v>
      </c>
      <c r="C18" s="27"/>
      <c r="D18" s="27"/>
      <c r="E18" s="28"/>
      <c r="F18" s="27"/>
      <c r="G18" s="28"/>
      <c r="H18" s="23"/>
      <c r="I18" s="23"/>
      <c r="J18" s="28"/>
      <c r="K18" s="27"/>
    </row>
    <row r="19" spans="1:11" ht="18">
      <c r="A19" s="44"/>
      <c r="B19" s="114" t="s">
        <v>23</v>
      </c>
      <c r="C19" s="116">
        <f>SUM(C6:C18)</f>
        <v>3643.19</v>
      </c>
      <c r="D19" s="116">
        <f>SUM(D6:D18)</f>
        <v>3332.0699999999997</v>
      </c>
      <c r="E19" s="23">
        <f>D19/C19*100</f>
        <v>91.46023128082805</v>
      </c>
      <c r="F19" s="116">
        <f>SUM(F6:F18)</f>
        <v>2741.41</v>
      </c>
      <c r="G19" s="23">
        <f>F19/D19*100</f>
        <v>82.27348164954518</v>
      </c>
      <c r="H19" s="23">
        <v>2632.362716763006</v>
      </c>
      <c r="I19" s="23">
        <f>D19/'численность 1'!K19*1000</f>
        <v>2600.5229032839043</v>
      </c>
      <c r="J19" s="23">
        <f>I19/H19*100</f>
        <v>98.79044733173188</v>
      </c>
      <c r="K19" s="116">
        <f>SUM(K7:K18)</f>
        <v>307.7</v>
      </c>
    </row>
    <row r="21" ht="12.75">
      <c r="C21" s="153"/>
    </row>
    <row r="23" spans="1:12" ht="12.75">
      <c r="A23" s="160" t="s">
        <v>111</v>
      </c>
      <c r="C23" s="121"/>
      <c r="D23" s="121"/>
      <c r="E23" s="121"/>
      <c r="F23" s="121"/>
      <c r="G23" s="121"/>
      <c r="H23" s="121"/>
      <c r="I23" s="121"/>
      <c r="J23" s="238" t="s">
        <v>99</v>
      </c>
      <c r="K23" s="238"/>
      <c r="L23" s="238"/>
    </row>
    <row r="24" spans="2:18" ht="14.2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4.25">
      <c r="B25" s="145" t="s">
        <v>100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</sheetData>
  <mergeCells count="1">
    <mergeCell ref="J23:L23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2009-11-05T08:43:02Z</cp:lastPrinted>
  <dcterms:created xsi:type="dcterms:W3CDTF">2002-11-05T10:10:22Z</dcterms:created>
  <dcterms:modified xsi:type="dcterms:W3CDTF">2010-01-18T06:27:10Z</dcterms:modified>
  <cp:category/>
  <cp:version/>
  <cp:contentType/>
  <cp:contentStatus/>
</cp:coreProperties>
</file>