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0"/>
  </bookViews>
  <sheets>
    <sheet name="пало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'молоко'!$A$1:$K$18</definedName>
    <definedName name="_xlnm.Print_Area" localSheetId="9">'мясо'!$A$1:$K$20</definedName>
    <definedName name="_xlnm.Print_Area" localSheetId="7">'на 100 га'!$A$1:$F$17</definedName>
    <definedName name="_xlnm.Print_Area" localSheetId="0">'пало'!$A$1:$T$19</definedName>
    <definedName name="_xlnm.Print_Area" localSheetId="1">'привес'!$A$1:$T$20</definedName>
    <definedName name="_xlnm.Print_Area" localSheetId="4">'приплод 2'!$A$1:$P$19</definedName>
    <definedName name="_xlnm.Print_Area" localSheetId="3">'численность 1'!$A$1:$U$19</definedName>
    <definedName name="_xlnm.Print_Area" localSheetId="2">'численность 2'!$A$1:$N$19</definedName>
  </definedNames>
  <calcPr fullCalcOnLoad="1"/>
</workbook>
</file>

<file path=xl/sharedStrings.xml><?xml version="1.0" encoding="utf-8"?>
<sst xmlns="http://schemas.openxmlformats.org/spreadsheetml/2006/main" count="287" uniqueCount="112">
  <si>
    <t>молока</t>
  </si>
  <si>
    <t>всего</t>
  </si>
  <si>
    <t>№</t>
  </si>
  <si>
    <t>Наименование хозяйств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</si>
  <si>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</si>
  <si>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</si>
  <si>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</si>
  <si>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</si>
  <si>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</si>
  <si>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</si>
  <si>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</si>
  <si>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По району</t>
  </si>
  <si>
    <t xml:space="preserve">    ПРОИЗВОДСТВО МЯСА И МОЛОКА НА 100 га с/х угодий</t>
  </si>
  <si>
    <t xml:space="preserve"> производство молока, т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</si>
  <si>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</si>
  <si>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</si>
  <si>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</si>
  <si>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</si>
  <si>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</si>
  <si>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</si>
  <si>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</si>
  <si>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</si>
  <si>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</si>
  <si>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</si>
  <si>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</si>
  <si>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</si>
  <si>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</si>
  <si>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</si>
  <si>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</si>
  <si>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</si>
  <si>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</si>
  <si>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</si>
  <si>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</si>
  <si>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</si>
  <si>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</si>
  <si>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в т.ч.осн.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</si>
  <si>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</si>
  <si>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</si>
  <si>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</si>
  <si>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</si>
  <si>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</si>
  <si>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</si>
  <si>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</si>
  <si>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   КРС 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</si>
  <si>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</si>
  <si>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</si>
  <si>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</si>
  <si>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</si>
  <si>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</si>
  <si>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</si>
  <si>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</si>
  <si>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</si>
  <si>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</si>
  <si>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</si>
  <si>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</si>
  <si>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</si>
  <si>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</si>
  <si>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</si>
  <si>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</si>
  <si>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 xml:space="preserve">             КРС</t>
  </si>
  <si>
    <t>по Ибресинскому району</t>
  </si>
  <si>
    <t xml:space="preserve">                      по Ибресинкому  району</t>
  </si>
  <si>
    <t xml:space="preserve">           по Ибресинскому району</t>
  </si>
  <si>
    <t>ЗАО А-ф"Ибр."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</si>
  <si>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</si>
  <si>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</si>
  <si>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</si>
  <si>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</si>
  <si>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</si>
  <si>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"Трудовик"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</si>
  <si>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</si>
  <si>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</si>
  <si>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</si>
  <si>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</si>
  <si>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</si>
  <si>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</si>
  <si>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2009 к 2008 г. %</t>
  </si>
  <si>
    <t>2010 в %</t>
  </si>
  <si>
    <t>к 2009 г.</t>
  </si>
  <si>
    <t>2010 к 2009 г. %</t>
  </si>
  <si>
    <t>с 2009 г.</t>
  </si>
  <si>
    <t>2009 г.</t>
  </si>
  <si>
    <t>Среднегодовое поголовье коров, гол</t>
  </si>
  <si>
    <t>в % к 2009 г.</t>
  </si>
  <si>
    <t>Наличие кормов, ц.к.ед.</t>
  </si>
  <si>
    <t>в т.ч. конц.</t>
  </si>
  <si>
    <t>из них покуп.</t>
  </si>
  <si>
    <t>ООО "Агропромкомплект"</t>
  </si>
  <si>
    <t xml:space="preserve">   Производство мяса за январь-май 2010 г.</t>
  </si>
  <si>
    <t xml:space="preserve">            Производство молока за январь-май  2010г. по Ибресинскому району</t>
  </si>
  <si>
    <t>по Ибресинскому району за январь-май 2010 года (ц)</t>
  </si>
  <si>
    <t>Поступление приплода (телят) за январь-май 2010 г.</t>
  </si>
  <si>
    <t>СЛУЧЕНО И ОСЕМЕНЕНО за январь-май 2010 г.по Ибресинскому р-ну</t>
  </si>
  <si>
    <t>Поступление приплода (поросят) за январь-май 2010 г.</t>
  </si>
  <si>
    <t xml:space="preserve">      ЧИСЛЕННОСТЬ СКОТА по Ибресинскому району на 1.06.2010 г., (голов)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</si>
  <si>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1.06.2010 г., (голов)</t>
    </r>
  </si>
  <si>
    <t>Показатели получения привесов за январь-май 2010 года</t>
  </si>
  <si>
    <t>ПАЛО И ПОГИБЛО - КУПЛЕНО- ПРОДАНО крс, свиней за январь-май 2010 г.по Ибресинскому.р-ну</t>
  </si>
  <si>
    <t>Итого по району</t>
  </si>
  <si>
    <t>ООО "А-ф "Путиловка"</t>
  </si>
  <si>
    <t>СПК "Патман"</t>
  </si>
  <si>
    <t xml:space="preserve">           свиней</t>
  </si>
  <si>
    <t>лшади</t>
  </si>
  <si>
    <t>овецы и козы</t>
  </si>
  <si>
    <t xml:space="preserve"> в т.ч.  нетелей</t>
  </si>
  <si>
    <t>Крупного рогатого скота</t>
  </si>
  <si>
    <t>разница с 2009 г.</t>
  </si>
  <si>
    <t xml:space="preserve">    Опоросилось свиноматок, голов</t>
  </si>
  <si>
    <t xml:space="preserve">Получено поросят на 1 свиноматку </t>
  </si>
  <si>
    <t xml:space="preserve">Получено поросят на 100 осн. свиноматок </t>
  </si>
  <si>
    <t>Получено поросят , гол.</t>
  </si>
  <si>
    <t>по Ибресинскому  району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</si>
</sst>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15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3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16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3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172" fontId="4" fillId="0" borderId="1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4" fontId="1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Fill="1" applyBorder="1" applyAlignment="1">
      <alignment/>
    </xf>
    <xf numFmtId="1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72" fontId="1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/>
    </xf>
    <xf numFmtId="172" fontId="2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1" fontId="2" fillId="0" borderId="7" xfId="0" applyNumberFormat="1" applyFont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7" xfId="0" applyBorder="1" applyAlignment="1">
      <alignment/>
    </xf>
    <xf numFmtId="0" fontId="2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BreakPreview" zoomScale="75"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28" sqref="F28"/>
    </sheetView>
  </sheetViews>
  <sheetFormatPr defaultColWidth="9.00390625" defaultRowHeight="12.75"/>
  <cols>
    <col min="1" max="1" width="4.00390625" style="75" customWidth="1"/>
    <col min="2" max="2" width="28.625" style="75" customWidth="1"/>
    <col min="3" max="4" width="8.75390625" style="75" customWidth="1"/>
    <col min="5" max="5" width="8.875" style="75" customWidth="1"/>
    <col min="6" max="7" width="8.75390625" style="75" customWidth="1"/>
    <col min="8" max="8" width="8.875" style="75" customWidth="1"/>
    <col min="9" max="14" width="8.75390625" style="75" customWidth="1"/>
    <col min="15" max="15" width="8.875" style="75" customWidth="1"/>
    <col min="16" max="18" width="8.75390625" style="75" customWidth="1"/>
    <col min="19" max="19" width="8.875" style="75" customWidth="1"/>
    <col min="20" max="20" width="8.75390625" style="75" customWidth="1"/>
    <col min="21" max="16384" width="9.125" style="75" customWidth="1"/>
  </cols>
  <sheetData>
    <row r="1" spans="3:18" ht="15">
      <c r="C1" s="126" t="s">
        <v>97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3:10" ht="15">
      <c r="C2" s="76"/>
      <c r="D2" s="76"/>
      <c r="E2" s="76"/>
      <c r="F2" s="76"/>
      <c r="G2" s="76"/>
      <c r="H2" s="76"/>
      <c r="I2" s="76"/>
      <c r="J2" s="76"/>
    </row>
    <row r="3" spans="1:20" s="21" customFormat="1" ht="18.75" customHeight="1">
      <c r="A3" s="145" t="s">
        <v>2</v>
      </c>
      <c r="B3" s="145" t="s">
        <v>3</v>
      </c>
      <c r="C3" s="23" t="s">
        <v>41</v>
      </c>
      <c r="D3" s="23"/>
      <c r="E3" s="24"/>
      <c r="F3" s="23" t="s">
        <v>56</v>
      </c>
      <c r="G3" s="23"/>
      <c r="H3" s="24"/>
      <c r="I3" s="25"/>
      <c r="J3" s="26" t="s">
        <v>44</v>
      </c>
      <c r="K3" s="26"/>
      <c r="L3" s="26"/>
      <c r="M3" s="27"/>
      <c r="N3" s="27"/>
      <c r="O3" s="27"/>
      <c r="P3" s="27"/>
      <c r="Q3" s="25"/>
      <c r="R3" s="26" t="s">
        <v>45</v>
      </c>
      <c r="S3" s="26"/>
      <c r="T3" s="28"/>
    </row>
    <row r="4" spans="1:20" s="21" customFormat="1" ht="18.75" customHeight="1">
      <c r="A4" s="183"/>
      <c r="B4" s="183"/>
      <c r="C4" s="127">
        <v>2009</v>
      </c>
      <c r="D4" s="127">
        <v>2010</v>
      </c>
      <c r="E4" s="105" t="s">
        <v>42</v>
      </c>
      <c r="F4" s="127">
        <v>2009</v>
      </c>
      <c r="G4" s="127">
        <v>2010</v>
      </c>
      <c r="H4" s="105" t="s">
        <v>42</v>
      </c>
      <c r="I4" s="110" t="s">
        <v>43</v>
      </c>
      <c r="J4" s="109"/>
      <c r="K4" s="109" t="s">
        <v>9</v>
      </c>
      <c r="L4" s="111"/>
      <c r="M4" s="129" t="s">
        <v>102</v>
      </c>
      <c r="N4" s="130"/>
      <c r="O4" s="106" t="s">
        <v>103</v>
      </c>
      <c r="P4" s="107"/>
      <c r="Q4" s="106" t="s">
        <v>59</v>
      </c>
      <c r="R4" s="108"/>
      <c r="S4" s="107" t="s">
        <v>101</v>
      </c>
      <c r="T4" s="108"/>
    </row>
    <row r="5" spans="1:20" s="21" customFormat="1" ht="18.75" customHeight="1">
      <c r="A5" s="184"/>
      <c r="B5" s="184"/>
      <c r="C5" s="128"/>
      <c r="D5" s="128"/>
      <c r="E5" s="109" t="s">
        <v>80</v>
      </c>
      <c r="F5" s="128"/>
      <c r="G5" s="128"/>
      <c r="H5" s="109" t="s">
        <v>80</v>
      </c>
      <c r="I5" s="108">
        <v>2009</v>
      </c>
      <c r="J5" s="115">
        <v>2010</v>
      </c>
      <c r="K5" s="108">
        <v>2009</v>
      </c>
      <c r="L5" s="115">
        <v>2010</v>
      </c>
      <c r="M5" s="108">
        <v>2009</v>
      </c>
      <c r="N5" s="115">
        <v>2010</v>
      </c>
      <c r="O5" s="108">
        <v>2009</v>
      </c>
      <c r="P5" s="115">
        <v>2010</v>
      </c>
      <c r="Q5" s="108">
        <v>2009</v>
      </c>
      <c r="R5" s="115">
        <v>2010</v>
      </c>
      <c r="S5" s="108">
        <v>2009</v>
      </c>
      <c r="T5" s="115">
        <v>2010</v>
      </c>
    </row>
    <row r="6" spans="1:20" s="21" customFormat="1" ht="13.5" customHeight="1">
      <c r="A6" s="32">
        <v>1</v>
      </c>
      <c r="B6" s="32" t="s">
        <v>63</v>
      </c>
      <c r="C6" s="4">
        <v>1</v>
      </c>
      <c r="D6" s="4"/>
      <c r="E6" s="1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>
        <v>2</v>
      </c>
      <c r="R6" s="4"/>
      <c r="S6" s="4"/>
      <c r="T6" s="4"/>
    </row>
    <row r="7" spans="1:20" s="21" customFormat="1" ht="15" customHeight="1">
      <c r="A7" s="32">
        <v>2</v>
      </c>
      <c r="B7" s="32" t="s">
        <v>64</v>
      </c>
      <c r="C7" s="4"/>
      <c r="D7" s="4"/>
      <c r="E7" s="1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21" customFormat="1" ht="13.5" customHeight="1">
      <c r="A8" s="32">
        <v>3</v>
      </c>
      <c r="B8" s="32" t="s">
        <v>65</v>
      </c>
      <c r="C8" s="4">
        <v>1</v>
      </c>
      <c r="D8" s="4">
        <v>2</v>
      </c>
      <c r="E8" s="12">
        <f aca="true" t="shared" si="0" ref="E8:E15">D8-C8</f>
        <v>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v>12</v>
      </c>
      <c r="R8" s="4">
        <v>36</v>
      </c>
      <c r="S8" s="4"/>
      <c r="T8" s="4"/>
    </row>
    <row r="9" spans="1:20" s="21" customFormat="1" ht="13.5" customHeight="1">
      <c r="A9" s="32">
        <v>4</v>
      </c>
      <c r="B9" s="32" t="s">
        <v>66</v>
      </c>
      <c r="C9" s="4">
        <v>1</v>
      </c>
      <c r="D9" s="4">
        <v>1</v>
      </c>
      <c r="E9" s="12">
        <f t="shared" si="0"/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v>9</v>
      </c>
      <c r="R9" s="4">
        <v>10</v>
      </c>
      <c r="S9" s="4"/>
      <c r="T9" s="4"/>
    </row>
    <row r="10" spans="1:20" s="21" customFormat="1" ht="12.75" customHeight="1">
      <c r="A10" s="32">
        <v>5</v>
      </c>
      <c r="B10" s="23" t="s">
        <v>67</v>
      </c>
      <c r="C10" s="4">
        <v>1</v>
      </c>
      <c r="D10" s="4">
        <v>2</v>
      </c>
      <c r="E10" s="12">
        <f t="shared" si="0"/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>
        <v>328</v>
      </c>
      <c r="T10" s="4">
        <v>247</v>
      </c>
    </row>
    <row r="11" spans="1:20" s="21" customFormat="1" ht="13.5" customHeight="1">
      <c r="A11" s="32">
        <v>6</v>
      </c>
      <c r="B11" s="99" t="s">
        <v>68</v>
      </c>
      <c r="C11" s="4"/>
      <c r="D11" s="4"/>
      <c r="E11" s="12"/>
      <c r="F11" s="4">
        <v>19</v>
      </c>
      <c r="G11" s="4">
        <v>74</v>
      </c>
      <c r="H11" s="4">
        <f>G11-F11</f>
        <v>55</v>
      </c>
      <c r="I11" s="12"/>
      <c r="J11" s="4"/>
      <c r="K11" s="12"/>
      <c r="L11" s="12"/>
      <c r="M11" s="12"/>
      <c r="N11" s="12"/>
      <c r="O11" s="12"/>
      <c r="P11" s="12"/>
      <c r="Q11" s="12">
        <v>3</v>
      </c>
      <c r="R11" s="12">
        <v>5</v>
      </c>
      <c r="S11" s="4">
        <v>331</v>
      </c>
      <c r="T11" s="4">
        <v>159</v>
      </c>
    </row>
    <row r="12" spans="1:20" s="21" customFormat="1" ht="12.75" customHeight="1">
      <c r="A12" s="32">
        <v>7</v>
      </c>
      <c r="B12" s="33" t="s">
        <v>100</v>
      </c>
      <c r="C12" s="4">
        <v>5</v>
      </c>
      <c r="D12" s="4">
        <v>2</v>
      </c>
      <c r="E12" s="12">
        <f t="shared" si="0"/>
        <v>-3</v>
      </c>
      <c r="F12" s="4"/>
      <c r="G12" s="4"/>
      <c r="H12" s="4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4"/>
      <c r="T12" s="4"/>
    </row>
    <row r="13" spans="1:20" s="21" customFormat="1" ht="12.75" customHeight="1">
      <c r="A13" s="32">
        <v>8</v>
      </c>
      <c r="B13" s="32" t="s">
        <v>69</v>
      </c>
      <c r="C13" s="4">
        <v>1</v>
      </c>
      <c r="D13" s="4">
        <v>2</v>
      </c>
      <c r="E13" s="12">
        <f t="shared" si="0"/>
        <v>1</v>
      </c>
      <c r="F13" s="4"/>
      <c r="G13" s="4"/>
      <c r="H13" s="4"/>
      <c r="I13" s="4"/>
      <c r="J13" s="4">
        <v>9</v>
      </c>
      <c r="K13" s="4"/>
      <c r="L13" s="4"/>
      <c r="M13" s="4"/>
      <c r="N13" s="4"/>
      <c r="O13" s="4"/>
      <c r="P13" s="4"/>
      <c r="Q13" s="4">
        <v>20</v>
      </c>
      <c r="R13" s="4"/>
      <c r="S13" s="4"/>
      <c r="T13" s="4"/>
    </row>
    <row r="14" spans="1:20" s="21" customFormat="1" ht="13.5" customHeight="1">
      <c r="A14" s="32">
        <v>9</v>
      </c>
      <c r="B14" s="33" t="s">
        <v>99</v>
      </c>
      <c r="C14" s="4">
        <v>4</v>
      </c>
      <c r="D14" s="4"/>
      <c r="E14" s="12">
        <f t="shared" si="0"/>
        <v>-4</v>
      </c>
      <c r="F14" s="4"/>
      <c r="G14" s="4"/>
      <c r="H14" s="4"/>
      <c r="I14" s="4"/>
      <c r="J14" s="4"/>
      <c r="K14" s="4"/>
      <c r="L14" s="4"/>
      <c r="M14" s="4"/>
      <c r="N14" s="4"/>
      <c r="O14" s="4">
        <v>50</v>
      </c>
      <c r="P14" s="4"/>
      <c r="Q14" s="4">
        <v>15</v>
      </c>
      <c r="R14" s="4">
        <v>19</v>
      </c>
      <c r="S14" s="4">
        <v>16</v>
      </c>
      <c r="T14" s="4"/>
    </row>
    <row r="15" spans="1:20" s="21" customFormat="1" ht="12.75" customHeight="1">
      <c r="A15" s="32">
        <v>10</v>
      </c>
      <c r="B15" s="32" t="s">
        <v>70</v>
      </c>
      <c r="C15" s="4">
        <v>3</v>
      </c>
      <c r="D15" s="4"/>
      <c r="E15" s="12">
        <f t="shared" si="0"/>
        <v>-3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v>7</v>
      </c>
      <c r="R15" s="4"/>
      <c r="S15" s="4"/>
      <c r="T15" s="4"/>
    </row>
    <row r="16" spans="1:20" s="21" customFormat="1" ht="12.75" customHeight="1">
      <c r="A16" s="32">
        <v>11</v>
      </c>
      <c r="B16" s="32" t="s">
        <v>71</v>
      </c>
      <c r="C16" s="4"/>
      <c r="D16" s="4"/>
      <c r="E16" s="1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s="21" customFormat="1" ht="12.75" customHeight="1">
      <c r="A17" s="32">
        <v>12</v>
      </c>
      <c r="B17" s="32" t="s">
        <v>72</v>
      </c>
      <c r="C17" s="4"/>
      <c r="D17" s="4"/>
      <c r="E17" s="12"/>
      <c r="F17" s="4">
        <v>173</v>
      </c>
      <c r="G17" s="4">
        <v>346</v>
      </c>
      <c r="H17" s="4">
        <f>G17-F17</f>
        <v>173</v>
      </c>
      <c r="I17" s="4"/>
      <c r="J17" s="4"/>
      <c r="K17" s="4">
        <v>7</v>
      </c>
      <c r="L17" s="4"/>
      <c r="M17" s="4"/>
      <c r="N17" s="4"/>
      <c r="O17" s="4"/>
      <c r="P17" s="4"/>
      <c r="Q17" s="4"/>
      <c r="R17" s="4"/>
      <c r="S17" s="4">
        <v>996</v>
      </c>
      <c r="T17" s="4">
        <v>754</v>
      </c>
    </row>
    <row r="18" spans="1:20" s="21" customFormat="1" ht="12.75" customHeight="1">
      <c r="A18" s="32">
        <v>13</v>
      </c>
      <c r="B18" s="33" t="s">
        <v>87</v>
      </c>
      <c r="C18" s="4"/>
      <c r="D18" s="4"/>
      <c r="E18" s="12"/>
      <c r="F18" s="4"/>
      <c r="G18" s="4"/>
      <c r="H18" s="4"/>
      <c r="I18" s="4"/>
      <c r="J18" s="4"/>
      <c r="K18" s="4"/>
      <c r="L18" s="4"/>
      <c r="M18" s="4"/>
      <c r="N18" s="4">
        <v>57</v>
      </c>
      <c r="O18" s="4"/>
      <c r="P18" s="4"/>
      <c r="Q18" s="4"/>
      <c r="R18" s="4"/>
      <c r="S18" s="23"/>
      <c r="T18" s="23"/>
    </row>
    <row r="19" spans="1:20" s="21" customFormat="1" ht="13.5" customHeight="1">
      <c r="A19" s="169" t="s">
        <v>98</v>
      </c>
      <c r="B19" s="177"/>
      <c r="C19" s="4">
        <f>SUM(C6:C16)</f>
        <v>17</v>
      </c>
      <c r="D19" s="4">
        <f>SUM(D6:D17)</f>
        <v>9</v>
      </c>
      <c r="E19" s="12">
        <f>D19-C19</f>
        <v>-8</v>
      </c>
      <c r="F19" s="4">
        <f>SUM(F11:F18)</f>
        <v>192</v>
      </c>
      <c r="G19" s="4">
        <f>SUM(G11:G18)</f>
        <v>420</v>
      </c>
      <c r="H19" s="4">
        <f>G19-F19</f>
        <v>228</v>
      </c>
      <c r="I19" s="4">
        <f aca="true" t="shared" si="1" ref="I19:R19">SUM(I6:I17)</f>
        <v>0</v>
      </c>
      <c r="J19" s="4">
        <f t="shared" si="1"/>
        <v>9</v>
      </c>
      <c r="K19" s="4">
        <f t="shared" si="1"/>
        <v>7</v>
      </c>
      <c r="L19" s="4">
        <f t="shared" si="1"/>
        <v>0</v>
      </c>
      <c r="M19" s="4">
        <v>0</v>
      </c>
      <c r="N19" s="4">
        <f>SUM(N18)</f>
        <v>57</v>
      </c>
      <c r="O19" s="4">
        <f t="shared" si="1"/>
        <v>50</v>
      </c>
      <c r="P19" s="4">
        <f t="shared" si="1"/>
        <v>0</v>
      </c>
      <c r="Q19" s="4">
        <f t="shared" si="1"/>
        <v>68</v>
      </c>
      <c r="R19" s="4">
        <f t="shared" si="1"/>
        <v>70</v>
      </c>
      <c r="S19" s="4">
        <f>SUM(S10:S17)</f>
        <v>1671</v>
      </c>
      <c r="T19" s="4">
        <f>SUM(T6:T17)</f>
        <v>1160</v>
      </c>
    </row>
    <row r="20" ht="14.25">
      <c r="B20" s="78"/>
    </row>
  </sheetData>
  <mergeCells count="9">
    <mergeCell ref="A19:B19"/>
    <mergeCell ref="B3:B5"/>
    <mergeCell ref="A3:A5"/>
    <mergeCell ref="C1:R1"/>
    <mergeCell ref="C4:C5"/>
    <mergeCell ref="D4:D5"/>
    <mergeCell ref="F4:F5"/>
    <mergeCell ref="G4:G5"/>
    <mergeCell ref="M4:N4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="75" zoomScaleNormal="65" zoomScaleSheetLayoutView="75" workbookViewId="0" topLeftCell="A1">
      <selection activeCell="F29" sqref="F29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21"/>
      <c r="B1" s="21"/>
      <c r="C1" s="1" t="s">
        <v>88</v>
      </c>
      <c r="D1" s="1"/>
      <c r="E1" s="1"/>
      <c r="F1" s="21"/>
      <c r="G1" s="21"/>
      <c r="H1" s="21"/>
      <c r="I1" s="21"/>
      <c r="J1" s="21"/>
      <c r="K1" s="21"/>
      <c r="L1" s="21"/>
      <c r="M1" s="21"/>
    </row>
    <row r="2" spans="1:13" ht="15">
      <c r="A2" s="21"/>
      <c r="B2" s="21"/>
      <c r="C2" s="21"/>
      <c r="D2" s="21" t="s">
        <v>62</v>
      </c>
      <c r="E2" s="21"/>
      <c r="F2" s="21"/>
      <c r="G2" s="21"/>
      <c r="H2" s="21"/>
      <c r="I2" s="21"/>
      <c r="J2" s="21"/>
      <c r="K2" s="21"/>
      <c r="L2" s="21"/>
      <c r="M2" s="21"/>
    </row>
    <row r="3" spans="1:13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>
      <c r="A4" s="176" t="s">
        <v>2</v>
      </c>
      <c r="B4" s="178" t="s">
        <v>3</v>
      </c>
      <c r="C4" s="169" t="s">
        <v>22</v>
      </c>
      <c r="D4" s="181"/>
      <c r="E4" s="177"/>
      <c r="F4" s="169" t="s">
        <v>23</v>
      </c>
      <c r="G4" s="181"/>
      <c r="H4" s="181"/>
      <c r="I4" s="181"/>
      <c r="J4" s="181"/>
      <c r="K4" s="177"/>
      <c r="L4" s="21"/>
      <c r="M4" s="21"/>
    </row>
    <row r="5" spans="1:13" ht="15">
      <c r="A5" s="176"/>
      <c r="B5" s="179"/>
      <c r="C5" s="19">
        <v>2009</v>
      </c>
      <c r="D5" s="20">
        <v>2010</v>
      </c>
      <c r="E5" s="20" t="s">
        <v>77</v>
      </c>
      <c r="F5" s="25" t="s">
        <v>26</v>
      </c>
      <c r="G5" s="28"/>
      <c r="H5" s="25" t="s">
        <v>24</v>
      </c>
      <c r="I5" s="28"/>
      <c r="J5" s="25" t="s">
        <v>25</v>
      </c>
      <c r="K5" s="28"/>
      <c r="L5" s="21"/>
      <c r="M5" s="21"/>
    </row>
    <row r="6" spans="1:13" ht="15">
      <c r="A6" s="176"/>
      <c r="B6" s="180"/>
      <c r="C6" s="40"/>
      <c r="D6" s="12"/>
      <c r="E6" s="12" t="s">
        <v>78</v>
      </c>
      <c r="F6" s="19">
        <v>2009</v>
      </c>
      <c r="G6" s="20">
        <v>2010</v>
      </c>
      <c r="H6" s="19">
        <v>2009</v>
      </c>
      <c r="I6" s="20">
        <v>2010</v>
      </c>
      <c r="J6" s="19">
        <v>2009</v>
      </c>
      <c r="K6" s="20">
        <v>2010</v>
      </c>
      <c r="L6" s="21"/>
      <c r="M6" s="21"/>
    </row>
    <row r="7" spans="1:13" ht="18">
      <c r="A7" s="32">
        <v>1</v>
      </c>
      <c r="B7" s="32" t="s">
        <v>63</v>
      </c>
      <c r="C7" s="87">
        <v>7.94</v>
      </c>
      <c r="D7" s="87"/>
      <c r="E7" s="86"/>
      <c r="F7" s="13">
        <v>7.94</v>
      </c>
      <c r="G7" s="87"/>
      <c r="H7" s="13"/>
      <c r="I7" s="87"/>
      <c r="J7" s="13"/>
      <c r="K7" s="87"/>
      <c r="L7" s="21"/>
      <c r="M7" s="21"/>
    </row>
    <row r="8" spans="1:13" ht="18">
      <c r="A8" s="32">
        <v>2</v>
      </c>
      <c r="B8" s="32" t="s">
        <v>64</v>
      </c>
      <c r="C8" s="87">
        <v>49.8</v>
      </c>
      <c r="D8" s="87">
        <v>12.3</v>
      </c>
      <c r="E8" s="86">
        <f aca="true" t="shared" si="0" ref="E8:E20">D8*100/C8</f>
        <v>24.698795180722893</v>
      </c>
      <c r="F8" s="13">
        <v>47.4</v>
      </c>
      <c r="G8" s="87">
        <v>12</v>
      </c>
      <c r="H8" s="13"/>
      <c r="I8" s="87"/>
      <c r="J8" s="13">
        <v>2.4</v>
      </c>
      <c r="K8" s="87">
        <v>0.3</v>
      </c>
      <c r="L8" s="21"/>
      <c r="M8" s="21"/>
    </row>
    <row r="9" spans="1:13" ht="18">
      <c r="A9" s="32">
        <v>3</v>
      </c>
      <c r="B9" s="32" t="s">
        <v>65</v>
      </c>
      <c r="C9" s="87">
        <v>7</v>
      </c>
      <c r="D9" s="87">
        <v>2</v>
      </c>
      <c r="E9" s="86">
        <f t="shared" si="0"/>
        <v>28.571428571428573</v>
      </c>
      <c r="F9" s="13">
        <v>7</v>
      </c>
      <c r="G9" s="87">
        <v>2</v>
      </c>
      <c r="H9" s="13"/>
      <c r="I9" s="87"/>
      <c r="J9" s="13"/>
      <c r="K9" s="87"/>
      <c r="L9" s="21"/>
      <c r="M9" s="21"/>
    </row>
    <row r="10" spans="1:13" ht="18">
      <c r="A10" s="32">
        <v>4</v>
      </c>
      <c r="B10" s="32" t="s">
        <v>66</v>
      </c>
      <c r="C10" s="87">
        <v>4.2</v>
      </c>
      <c r="D10" s="87">
        <v>1.1</v>
      </c>
      <c r="E10" s="86">
        <f t="shared" si="0"/>
        <v>26.190476190476193</v>
      </c>
      <c r="F10" s="13">
        <v>3.7</v>
      </c>
      <c r="G10" s="87">
        <v>1.1</v>
      </c>
      <c r="H10" s="13"/>
      <c r="I10" s="87"/>
      <c r="J10" s="13">
        <v>0.5</v>
      </c>
      <c r="K10" s="87"/>
      <c r="L10" s="21"/>
      <c r="M10" s="21"/>
    </row>
    <row r="11" spans="1:13" ht="18">
      <c r="A11" s="32">
        <v>5</v>
      </c>
      <c r="B11" s="41" t="s">
        <v>67</v>
      </c>
      <c r="C11" s="87">
        <v>44.7</v>
      </c>
      <c r="D11" s="87">
        <v>32.9</v>
      </c>
      <c r="E11" s="86">
        <f t="shared" si="0"/>
        <v>73.60178970917225</v>
      </c>
      <c r="F11" s="13">
        <v>37.2</v>
      </c>
      <c r="G11" s="87">
        <v>29.7</v>
      </c>
      <c r="H11" s="13">
        <v>6</v>
      </c>
      <c r="I11" s="87">
        <v>2.3</v>
      </c>
      <c r="J11" s="13">
        <v>1.5</v>
      </c>
      <c r="K11" s="87">
        <v>0.9</v>
      </c>
      <c r="L11" s="21"/>
      <c r="M11" s="21"/>
    </row>
    <row r="12" spans="1:13" ht="18">
      <c r="A12" s="32">
        <v>6</v>
      </c>
      <c r="B12" s="32" t="s">
        <v>68</v>
      </c>
      <c r="C12" s="87">
        <v>62.8</v>
      </c>
      <c r="D12" s="87">
        <v>25.6</v>
      </c>
      <c r="E12" s="86">
        <f t="shared" si="0"/>
        <v>40.76433121019109</v>
      </c>
      <c r="F12" s="13">
        <v>43</v>
      </c>
      <c r="G12" s="87">
        <v>19</v>
      </c>
      <c r="H12" s="13">
        <v>14.6</v>
      </c>
      <c r="I12" s="87">
        <v>6</v>
      </c>
      <c r="J12" s="13">
        <v>5.2</v>
      </c>
      <c r="K12" s="87">
        <v>0.6</v>
      </c>
      <c r="L12" s="21"/>
      <c r="M12" s="21"/>
    </row>
    <row r="13" spans="1:13" ht="18">
      <c r="A13" s="32">
        <v>7</v>
      </c>
      <c r="B13" s="33" t="s">
        <v>100</v>
      </c>
      <c r="C13" s="87">
        <v>15.3</v>
      </c>
      <c r="D13" s="87">
        <v>11.9</v>
      </c>
      <c r="E13" s="86">
        <f t="shared" si="0"/>
        <v>77.77777777777777</v>
      </c>
      <c r="F13" s="13">
        <v>14</v>
      </c>
      <c r="G13" s="88">
        <v>10.9</v>
      </c>
      <c r="H13" s="13"/>
      <c r="I13" s="88"/>
      <c r="J13" s="13">
        <v>1.3</v>
      </c>
      <c r="K13" s="88">
        <v>1</v>
      </c>
      <c r="L13" s="21"/>
      <c r="M13" s="21"/>
    </row>
    <row r="14" spans="1:13" ht="18">
      <c r="A14" s="32">
        <v>8</v>
      </c>
      <c r="B14" s="33" t="s">
        <v>69</v>
      </c>
      <c r="C14" s="87">
        <v>17.5</v>
      </c>
      <c r="D14" s="87">
        <v>7.9</v>
      </c>
      <c r="E14" s="86">
        <f t="shared" si="0"/>
        <v>45.142857142857146</v>
      </c>
      <c r="F14" s="17">
        <v>13.7</v>
      </c>
      <c r="G14" s="88">
        <v>7.9</v>
      </c>
      <c r="H14" s="17">
        <v>2.8</v>
      </c>
      <c r="I14" s="88"/>
      <c r="J14" s="17">
        <v>1</v>
      </c>
      <c r="K14" s="88"/>
      <c r="L14" s="21"/>
      <c r="M14" s="21"/>
    </row>
    <row r="15" spans="1:13" ht="18">
      <c r="A15" s="32">
        <v>9</v>
      </c>
      <c r="B15" s="33" t="s">
        <v>99</v>
      </c>
      <c r="C15" s="87">
        <v>2.2</v>
      </c>
      <c r="D15" s="87">
        <v>5.6</v>
      </c>
      <c r="E15" s="86">
        <f t="shared" si="0"/>
        <v>254.54545454545453</v>
      </c>
      <c r="F15" s="17">
        <v>2.2</v>
      </c>
      <c r="G15" s="88">
        <v>5.6</v>
      </c>
      <c r="H15" s="17"/>
      <c r="I15" s="88"/>
      <c r="J15" s="17"/>
      <c r="K15" s="88"/>
      <c r="L15" s="21"/>
      <c r="M15" s="21"/>
    </row>
    <row r="16" spans="1:13" ht="18">
      <c r="A16" s="32">
        <v>10</v>
      </c>
      <c r="B16" s="33" t="s">
        <v>70</v>
      </c>
      <c r="C16" s="87">
        <v>11.4</v>
      </c>
      <c r="D16" s="87">
        <v>8.9</v>
      </c>
      <c r="E16" s="86">
        <f t="shared" si="0"/>
        <v>78.0701754385965</v>
      </c>
      <c r="F16" s="17">
        <v>8.7</v>
      </c>
      <c r="G16" s="88">
        <v>8.9</v>
      </c>
      <c r="H16" s="17"/>
      <c r="I16" s="88"/>
      <c r="J16" s="17">
        <v>2.7</v>
      </c>
      <c r="K16" s="88"/>
      <c r="L16" s="21"/>
      <c r="M16" s="21"/>
    </row>
    <row r="17" spans="1:13" ht="18">
      <c r="A17" s="32">
        <v>11</v>
      </c>
      <c r="B17" s="33" t="s">
        <v>71</v>
      </c>
      <c r="C17" s="87">
        <v>6.05</v>
      </c>
      <c r="D17" s="87">
        <v>3.7</v>
      </c>
      <c r="E17" s="86">
        <f t="shared" si="0"/>
        <v>61.15702479338843</v>
      </c>
      <c r="F17" s="17">
        <v>6.056</v>
      </c>
      <c r="G17" s="88">
        <v>3.7</v>
      </c>
      <c r="H17" s="17"/>
      <c r="I17" s="88"/>
      <c r="J17" s="17"/>
      <c r="K17" s="88"/>
      <c r="L17" s="21"/>
      <c r="M17" s="21"/>
    </row>
    <row r="18" spans="1:13" ht="18">
      <c r="A18" s="32">
        <v>12</v>
      </c>
      <c r="B18" s="33" t="s">
        <v>72</v>
      </c>
      <c r="C18" s="87">
        <v>258</v>
      </c>
      <c r="D18" s="87">
        <v>276</v>
      </c>
      <c r="E18" s="86">
        <f t="shared" si="0"/>
        <v>106.97674418604652</v>
      </c>
      <c r="F18" s="17"/>
      <c r="G18" s="88"/>
      <c r="H18" s="17">
        <v>258</v>
      </c>
      <c r="I18" s="88">
        <v>276</v>
      </c>
      <c r="J18" s="17"/>
      <c r="K18" s="88"/>
      <c r="L18" s="21"/>
      <c r="M18" s="21"/>
    </row>
    <row r="19" spans="1:13" ht="18">
      <c r="A19" s="32">
        <v>13</v>
      </c>
      <c r="B19" s="33" t="s">
        <v>87</v>
      </c>
      <c r="C19" s="3"/>
      <c r="D19" s="87"/>
      <c r="E19" s="86"/>
      <c r="F19" s="17"/>
      <c r="G19" s="88"/>
      <c r="H19" s="17"/>
      <c r="I19" s="88"/>
      <c r="J19" s="17"/>
      <c r="K19" s="88"/>
      <c r="L19" s="21"/>
      <c r="M19" s="21"/>
    </row>
    <row r="20" spans="1:13" ht="16.5">
      <c r="A20" s="169" t="s">
        <v>11</v>
      </c>
      <c r="B20" s="177"/>
      <c r="C20" s="90">
        <f>SUM(C7:C19)</f>
        <v>486.89</v>
      </c>
      <c r="D20" s="90">
        <f>SUM(D7:D19)</f>
        <v>387.90000000000003</v>
      </c>
      <c r="E20" s="86">
        <f t="shared" si="0"/>
        <v>79.6689190576927</v>
      </c>
      <c r="F20" s="89">
        <f aca="true" t="shared" si="1" ref="F20:K20">SUM(F7:F18)</f>
        <v>190.896</v>
      </c>
      <c r="G20" s="90">
        <f t="shared" si="1"/>
        <v>100.80000000000001</v>
      </c>
      <c r="H20" s="90">
        <f>SUM(H7:H19)</f>
        <v>281.4</v>
      </c>
      <c r="I20" s="90">
        <f t="shared" si="1"/>
        <v>284.3</v>
      </c>
      <c r="J20" s="90">
        <f t="shared" si="1"/>
        <v>14.600000000000001</v>
      </c>
      <c r="K20" s="90">
        <f t="shared" si="1"/>
        <v>2.8</v>
      </c>
      <c r="L20" s="21"/>
      <c r="M20" s="21"/>
    </row>
  </sheetData>
  <mergeCells count="5">
    <mergeCell ref="A20:B20"/>
    <mergeCell ref="B4:B6"/>
    <mergeCell ref="A4:A6"/>
    <mergeCell ref="F4:K4"/>
    <mergeCell ref="C4:E4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75" zoomScaleNormal="75" zoomScaleSheetLayoutView="75" workbookViewId="0" topLeftCell="A1">
      <pane xSplit="2" topLeftCell="C1" activePane="topRight" state="frozen"/>
      <selection pane="topLeft" activeCell="A1" sqref="A1"/>
      <selection pane="topRight" activeCell="I24" sqref="I24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4" width="7.125" style="0" customWidth="1"/>
    <col min="5" max="5" width="8.875" style="0" customWidth="1"/>
    <col min="6" max="7" width="7.125" style="0" customWidth="1"/>
    <col min="8" max="8" width="8.625" style="0" customWidth="1"/>
    <col min="9" max="10" width="10.25390625" style="0" customWidth="1"/>
    <col min="11" max="11" width="8.25390625" style="0" customWidth="1"/>
    <col min="12" max="12" width="8.875" style="0" customWidth="1"/>
    <col min="13" max="13" width="9.00390625" style="0" customWidth="1"/>
    <col min="14" max="14" width="8.375" style="0" customWidth="1"/>
    <col min="15" max="15" width="7.00390625" style="0" customWidth="1"/>
    <col min="16" max="16" width="7.125" style="0" customWidth="1"/>
    <col min="17" max="17" width="8.625" style="0" customWidth="1"/>
    <col min="18" max="18" width="6.375" style="0" customWidth="1"/>
    <col min="19" max="19" width="6.25390625" style="0" customWidth="1"/>
    <col min="20" max="20" width="8.75390625" style="0" customWidth="1"/>
  </cols>
  <sheetData>
    <row r="1" spans="2:20" ht="1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2:20" ht="15.75">
      <c r="B2" s="21"/>
      <c r="C2" s="21"/>
      <c r="D2" s="21"/>
      <c r="E2" s="21"/>
      <c r="F2" s="21"/>
      <c r="G2" s="1" t="s">
        <v>96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2:20" ht="15">
      <c r="B3" s="21"/>
      <c r="C3" s="21"/>
      <c r="D3" s="21"/>
      <c r="E3" s="21"/>
      <c r="F3" s="21"/>
      <c r="G3" s="21"/>
      <c r="H3" s="21"/>
      <c r="I3" s="21" t="s">
        <v>60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5">
      <c r="A4" s="185" t="s">
        <v>2</v>
      </c>
      <c r="B4" s="142" t="s">
        <v>3</v>
      </c>
      <c r="C4" s="27" t="s">
        <v>74</v>
      </c>
      <c r="D4" s="27"/>
      <c r="E4" s="27"/>
      <c r="F4" s="26"/>
      <c r="G4" s="26"/>
      <c r="H4" s="22"/>
      <c r="I4" s="25" t="s">
        <v>50</v>
      </c>
      <c r="J4" s="26"/>
      <c r="K4" s="27"/>
      <c r="L4" s="26"/>
      <c r="M4" s="26"/>
      <c r="N4" s="22"/>
      <c r="O4" s="25" t="s">
        <v>51</v>
      </c>
      <c r="P4" s="26"/>
      <c r="Q4" s="27"/>
      <c r="R4" s="26"/>
      <c r="S4" s="26"/>
      <c r="T4" s="22"/>
    </row>
    <row r="5" spans="1:20" ht="15" customHeight="1">
      <c r="A5" s="143"/>
      <c r="B5" s="186"/>
      <c r="C5" s="26" t="s">
        <v>52</v>
      </c>
      <c r="D5" s="26"/>
      <c r="E5" s="133" t="s">
        <v>79</v>
      </c>
      <c r="F5" s="25" t="s">
        <v>53</v>
      </c>
      <c r="G5" s="28"/>
      <c r="H5" s="133" t="s">
        <v>79</v>
      </c>
      <c r="I5" s="136" t="s">
        <v>52</v>
      </c>
      <c r="J5" s="136"/>
      <c r="K5" s="133" t="s">
        <v>79</v>
      </c>
      <c r="L5" s="136" t="s">
        <v>53</v>
      </c>
      <c r="M5" s="136"/>
      <c r="N5" s="133" t="s">
        <v>79</v>
      </c>
      <c r="O5" s="26" t="s">
        <v>52</v>
      </c>
      <c r="P5" s="26"/>
      <c r="Q5" s="133" t="s">
        <v>76</v>
      </c>
      <c r="R5" s="137" t="s">
        <v>53</v>
      </c>
      <c r="S5" s="138"/>
      <c r="T5" s="133" t="s">
        <v>79</v>
      </c>
    </row>
    <row r="6" spans="1:20" ht="15" customHeight="1">
      <c r="A6" s="143"/>
      <c r="B6" s="186"/>
      <c r="C6" s="131">
        <v>2009</v>
      </c>
      <c r="D6" s="131">
        <v>2010</v>
      </c>
      <c r="E6" s="134"/>
      <c r="F6" s="131">
        <v>2009</v>
      </c>
      <c r="G6" s="131">
        <v>2010</v>
      </c>
      <c r="H6" s="134"/>
      <c r="I6" s="131">
        <v>2009</v>
      </c>
      <c r="J6" s="131">
        <v>2010</v>
      </c>
      <c r="K6" s="134"/>
      <c r="L6" s="131">
        <v>2009</v>
      </c>
      <c r="M6" s="131">
        <v>2010</v>
      </c>
      <c r="N6" s="134"/>
      <c r="O6" s="131">
        <v>2009</v>
      </c>
      <c r="P6" s="131">
        <v>2010</v>
      </c>
      <c r="Q6" s="134"/>
      <c r="R6" s="131">
        <v>2009</v>
      </c>
      <c r="S6" s="131">
        <v>2010</v>
      </c>
      <c r="T6" s="134"/>
    </row>
    <row r="7" spans="1:20" ht="15" customHeight="1">
      <c r="A7" s="144"/>
      <c r="B7" s="187"/>
      <c r="C7" s="132"/>
      <c r="D7" s="132"/>
      <c r="E7" s="135"/>
      <c r="F7" s="132"/>
      <c r="G7" s="132"/>
      <c r="H7" s="135"/>
      <c r="I7" s="132"/>
      <c r="J7" s="132"/>
      <c r="K7" s="135"/>
      <c r="L7" s="132"/>
      <c r="M7" s="132"/>
      <c r="N7" s="135"/>
      <c r="O7" s="132"/>
      <c r="P7" s="132"/>
      <c r="Q7" s="135"/>
      <c r="R7" s="132"/>
      <c r="S7" s="132"/>
      <c r="T7" s="135"/>
    </row>
    <row r="8" spans="1:20" ht="15">
      <c r="A8" s="2">
        <v>1</v>
      </c>
      <c r="B8" s="30" t="s">
        <v>63</v>
      </c>
      <c r="C8" s="4">
        <v>15.16</v>
      </c>
      <c r="D8" s="4"/>
      <c r="E8" s="37"/>
      <c r="F8" s="12"/>
      <c r="G8" s="12"/>
      <c r="H8" s="37"/>
      <c r="I8" s="4">
        <v>8964</v>
      </c>
      <c r="J8" s="12"/>
      <c r="K8" s="37"/>
      <c r="L8" s="4"/>
      <c r="M8" s="4"/>
      <c r="N8" s="37"/>
      <c r="O8" s="37">
        <f aca="true" t="shared" si="0" ref="O8:O18">C8/I8*100000</f>
        <v>169.12092815707274</v>
      </c>
      <c r="P8" s="37"/>
      <c r="Q8" s="37"/>
      <c r="R8" s="12"/>
      <c r="S8" s="12"/>
      <c r="T8" s="37"/>
    </row>
    <row r="9" spans="1:20" ht="15">
      <c r="A9" s="2">
        <v>2</v>
      </c>
      <c r="B9" s="23" t="s">
        <v>64</v>
      </c>
      <c r="C9" s="4">
        <v>179</v>
      </c>
      <c r="D9" s="4">
        <v>99</v>
      </c>
      <c r="E9" s="37">
        <f aca="true" t="shared" si="1" ref="E9:E18">D9/C9*100</f>
        <v>55.3072625698324</v>
      </c>
      <c r="F9" s="4"/>
      <c r="G9" s="4"/>
      <c r="H9" s="37"/>
      <c r="I9" s="4">
        <v>46267</v>
      </c>
      <c r="J9" s="4">
        <v>23282</v>
      </c>
      <c r="K9" s="37">
        <f>J9*100/I9</f>
        <v>50.32096310545313</v>
      </c>
      <c r="L9" s="4"/>
      <c r="M9" s="4"/>
      <c r="N9" s="37"/>
      <c r="O9" s="37">
        <f t="shared" si="0"/>
        <v>386.88482071454814</v>
      </c>
      <c r="P9" s="37">
        <f aca="true" t="shared" si="2" ref="P9:P17">D9/J9*100000</f>
        <v>425.2212009277554</v>
      </c>
      <c r="Q9" s="37">
        <f aca="true" t="shared" si="3" ref="Q9:Q18">P9/O9*100</f>
        <v>109.9089905213657</v>
      </c>
      <c r="R9" s="37"/>
      <c r="S9" s="37"/>
      <c r="T9" s="37"/>
    </row>
    <row r="10" spans="1:20" ht="15">
      <c r="A10" s="2">
        <v>3</v>
      </c>
      <c r="B10" s="23" t="s">
        <v>65</v>
      </c>
      <c r="C10" s="4">
        <v>45</v>
      </c>
      <c r="D10" s="4">
        <v>23</v>
      </c>
      <c r="E10" s="37">
        <f t="shared" si="1"/>
        <v>51.11111111111111</v>
      </c>
      <c r="F10" s="4"/>
      <c r="G10" s="4"/>
      <c r="H10" s="37"/>
      <c r="I10" s="4">
        <v>14998</v>
      </c>
      <c r="J10" s="4">
        <v>14347</v>
      </c>
      <c r="K10" s="37">
        <f aca="true" t="shared" si="4" ref="K10:K20">J10*100/I10</f>
        <v>95.65942125616749</v>
      </c>
      <c r="L10" s="4"/>
      <c r="M10" s="4"/>
      <c r="N10" s="37"/>
      <c r="O10" s="37">
        <f t="shared" si="0"/>
        <v>300.0400053340445</v>
      </c>
      <c r="P10" s="37">
        <f t="shared" si="2"/>
        <v>160.3122604028717</v>
      </c>
      <c r="Q10" s="37">
        <f t="shared" si="3"/>
        <v>53.430295144939336</v>
      </c>
      <c r="R10" s="37"/>
      <c r="S10" s="37"/>
      <c r="T10" s="37"/>
    </row>
    <row r="11" spans="1:20" ht="15">
      <c r="A11" s="2">
        <v>4</v>
      </c>
      <c r="B11" s="38" t="s">
        <v>66</v>
      </c>
      <c r="C11" s="20">
        <v>39</v>
      </c>
      <c r="D11" s="20">
        <v>29</v>
      </c>
      <c r="E11" s="37">
        <f t="shared" si="1"/>
        <v>74.35897435897436</v>
      </c>
      <c r="F11" s="20"/>
      <c r="G11" s="20"/>
      <c r="H11" s="37"/>
      <c r="I11" s="4">
        <v>6506</v>
      </c>
      <c r="J11" s="4">
        <v>5575</v>
      </c>
      <c r="K11" s="37">
        <f t="shared" si="4"/>
        <v>85.69013218567476</v>
      </c>
      <c r="L11" s="20"/>
      <c r="M11" s="20"/>
      <c r="N11" s="92"/>
      <c r="O11" s="37">
        <f t="shared" si="0"/>
        <v>599.4466646172763</v>
      </c>
      <c r="P11" s="37">
        <f t="shared" si="2"/>
        <v>520.1793721973094</v>
      </c>
      <c r="Q11" s="37">
        <f t="shared" si="3"/>
        <v>86.77658962860757</v>
      </c>
      <c r="R11" s="92"/>
      <c r="S11" s="92"/>
      <c r="T11" s="92"/>
    </row>
    <row r="12" spans="1:20" ht="15">
      <c r="A12" s="2">
        <v>5</v>
      </c>
      <c r="B12" s="23" t="s">
        <v>67</v>
      </c>
      <c r="C12" s="4">
        <v>197</v>
      </c>
      <c r="D12" s="4">
        <v>301</v>
      </c>
      <c r="E12" s="37">
        <f t="shared" si="1"/>
        <v>152.79187817258884</v>
      </c>
      <c r="F12" s="4">
        <v>145</v>
      </c>
      <c r="G12" s="4">
        <v>101</v>
      </c>
      <c r="H12" s="37">
        <f>G12/F12*100</f>
        <v>69.6551724137931</v>
      </c>
      <c r="I12" s="4">
        <v>69262</v>
      </c>
      <c r="J12" s="4">
        <v>76337</v>
      </c>
      <c r="K12" s="37">
        <f t="shared" si="4"/>
        <v>110.214836418238</v>
      </c>
      <c r="L12" s="4">
        <v>37421</v>
      </c>
      <c r="M12" s="4">
        <v>28498</v>
      </c>
      <c r="N12" s="37">
        <f>M12/L12*100</f>
        <v>76.1551000774966</v>
      </c>
      <c r="O12" s="37">
        <f t="shared" si="0"/>
        <v>284.427247264012</v>
      </c>
      <c r="P12" s="37">
        <f t="shared" si="2"/>
        <v>394.3042037282052</v>
      </c>
      <c r="Q12" s="37">
        <f t="shared" si="3"/>
        <v>138.6309530894566</v>
      </c>
      <c r="R12" s="37">
        <f>F12/L12*100000</f>
        <v>387.4829641110606</v>
      </c>
      <c r="S12" s="37">
        <f>G12/M12*100000</f>
        <v>354.4108358481297</v>
      </c>
      <c r="T12" s="37">
        <f>S12/R12*100</f>
        <v>91.4648819880887</v>
      </c>
    </row>
    <row r="13" spans="1:20" ht="15">
      <c r="A13" s="2">
        <v>6</v>
      </c>
      <c r="B13" s="23" t="s">
        <v>68</v>
      </c>
      <c r="C13" s="4">
        <v>238</v>
      </c>
      <c r="D13" s="93">
        <v>179</v>
      </c>
      <c r="E13" s="94">
        <f t="shared" si="1"/>
        <v>75.21008403361344</v>
      </c>
      <c r="F13" s="93">
        <v>97</v>
      </c>
      <c r="G13" s="93">
        <v>27</v>
      </c>
      <c r="H13" s="37">
        <f>G13/F13*100</f>
        <v>27.835051546391753</v>
      </c>
      <c r="I13" s="93">
        <v>43109</v>
      </c>
      <c r="J13" s="4">
        <v>34384</v>
      </c>
      <c r="K13" s="37">
        <f t="shared" si="4"/>
        <v>79.7606068338398</v>
      </c>
      <c r="L13" s="4">
        <v>31370</v>
      </c>
      <c r="M13" s="4">
        <v>8129</v>
      </c>
      <c r="N13" s="37">
        <f>M13/L13*100</f>
        <v>25.913292955052597</v>
      </c>
      <c r="O13" s="37">
        <f t="shared" si="0"/>
        <v>552.0888909508456</v>
      </c>
      <c r="P13" s="37">
        <f t="shared" si="2"/>
        <v>520.5909725453699</v>
      </c>
      <c r="Q13" s="37">
        <f t="shared" si="3"/>
        <v>94.2947740985645</v>
      </c>
      <c r="R13" s="37">
        <f>F13/L13*100000</f>
        <v>309.21262352566146</v>
      </c>
      <c r="S13" s="37">
        <f>G13/M13*100000</f>
        <v>332.1441751752983</v>
      </c>
      <c r="T13" s="37">
        <f>S13/R13*100</f>
        <v>107.41611108504235</v>
      </c>
    </row>
    <row r="14" spans="1:20" ht="15">
      <c r="A14" s="2">
        <v>7</v>
      </c>
      <c r="B14" s="39" t="s">
        <v>100</v>
      </c>
      <c r="C14" s="93">
        <v>37.4</v>
      </c>
      <c r="D14" s="93">
        <v>52.05</v>
      </c>
      <c r="E14" s="94">
        <f t="shared" si="1"/>
        <v>139.1711229946524</v>
      </c>
      <c r="F14" s="93"/>
      <c r="G14" s="93"/>
      <c r="H14" s="94"/>
      <c r="I14" s="93">
        <v>19660</v>
      </c>
      <c r="J14" s="93">
        <v>18594</v>
      </c>
      <c r="K14" s="37">
        <f t="shared" si="4"/>
        <v>94.57782299084435</v>
      </c>
      <c r="L14" s="93"/>
      <c r="M14" s="93"/>
      <c r="N14" s="94"/>
      <c r="O14" s="37">
        <f t="shared" si="0"/>
        <v>190.23397761953203</v>
      </c>
      <c r="P14" s="37">
        <f t="shared" si="2"/>
        <v>279.92900935785735</v>
      </c>
      <c r="Q14" s="37">
        <f t="shared" si="3"/>
        <v>147.1498482346384</v>
      </c>
      <c r="R14" s="37"/>
      <c r="S14" s="37"/>
      <c r="T14" s="94"/>
    </row>
    <row r="15" spans="1:20" ht="15">
      <c r="A15" s="2">
        <v>8</v>
      </c>
      <c r="B15" s="39" t="s">
        <v>69</v>
      </c>
      <c r="C15" s="93">
        <v>54.92</v>
      </c>
      <c r="D15" s="93">
        <v>58.17</v>
      </c>
      <c r="E15" s="94">
        <f t="shared" si="1"/>
        <v>105.91769847050254</v>
      </c>
      <c r="F15" s="93">
        <v>12</v>
      </c>
      <c r="G15" s="93"/>
      <c r="H15" s="94"/>
      <c r="I15" s="95">
        <v>12167</v>
      </c>
      <c r="J15" s="93">
        <v>13493</v>
      </c>
      <c r="K15" s="37">
        <f t="shared" si="4"/>
        <v>110.89833155256021</v>
      </c>
      <c r="L15" s="93">
        <v>4785</v>
      </c>
      <c r="M15" s="93"/>
      <c r="N15" s="94"/>
      <c r="O15" s="37">
        <f t="shared" si="0"/>
        <v>451.38489356455995</v>
      </c>
      <c r="P15" s="37">
        <f t="shared" si="2"/>
        <v>431.1124286667161</v>
      </c>
      <c r="Q15" s="94">
        <f t="shared" si="3"/>
        <v>95.50882956278103</v>
      </c>
      <c r="R15" s="37">
        <f>F15/L15*100000</f>
        <v>250.78369905956114</v>
      </c>
      <c r="S15" s="91"/>
      <c r="T15" s="94"/>
    </row>
    <row r="16" spans="1:20" s="74" customFormat="1" ht="15">
      <c r="A16" s="2">
        <v>9</v>
      </c>
      <c r="B16" s="33" t="s">
        <v>99</v>
      </c>
      <c r="C16" s="95">
        <v>80.63</v>
      </c>
      <c r="D16" s="95">
        <v>105.3</v>
      </c>
      <c r="E16" s="96">
        <f t="shared" si="1"/>
        <v>130.59655215180456</v>
      </c>
      <c r="F16" s="95"/>
      <c r="G16" s="95"/>
      <c r="H16" s="96"/>
      <c r="I16" s="93">
        <v>12003</v>
      </c>
      <c r="J16" s="95">
        <v>17185</v>
      </c>
      <c r="K16" s="37">
        <f t="shared" si="4"/>
        <v>143.17254019828377</v>
      </c>
      <c r="L16" s="95"/>
      <c r="M16" s="95"/>
      <c r="N16" s="96"/>
      <c r="O16" s="37">
        <f t="shared" si="0"/>
        <v>671.7487294842956</v>
      </c>
      <c r="P16" s="37">
        <f t="shared" si="2"/>
        <v>612.7436718068083</v>
      </c>
      <c r="Q16" s="96">
        <f t="shared" si="3"/>
        <v>91.21620107524643</v>
      </c>
      <c r="R16" s="37"/>
      <c r="S16" s="37"/>
      <c r="T16" s="37"/>
    </row>
    <row r="17" spans="1:20" ht="15">
      <c r="A17" s="2">
        <v>10</v>
      </c>
      <c r="B17" s="39" t="s">
        <v>70</v>
      </c>
      <c r="C17" s="93">
        <v>23</v>
      </c>
      <c r="D17" s="93">
        <v>74</v>
      </c>
      <c r="E17" s="94">
        <f t="shared" si="1"/>
        <v>321.7391304347826</v>
      </c>
      <c r="F17" s="93"/>
      <c r="G17" s="93"/>
      <c r="H17" s="94"/>
      <c r="I17" s="93">
        <v>12604</v>
      </c>
      <c r="J17" s="93">
        <v>13669</v>
      </c>
      <c r="K17" s="37">
        <f t="shared" si="4"/>
        <v>108.44969850841002</v>
      </c>
      <c r="L17" s="93"/>
      <c r="M17" s="93"/>
      <c r="N17" s="94"/>
      <c r="O17" s="37">
        <f t="shared" si="0"/>
        <v>182.4817518248175</v>
      </c>
      <c r="P17" s="37">
        <f t="shared" si="2"/>
        <v>541.3709854415099</v>
      </c>
      <c r="Q17" s="94">
        <f t="shared" si="3"/>
        <v>296.67130002194745</v>
      </c>
      <c r="R17" s="37"/>
      <c r="S17" s="37"/>
      <c r="T17" s="94"/>
    </row>
    <row r="18" spans="1:20" ht="15">
      <c r="A18" s="2">
        <v>11</v>
      </c>
      <c r="B18" s="39" t="s">
        <v>71</v>
      </c>
      <c r="C18" s="93">
        <v>24.7</v>
      </c>
      <c r="D18" s="93">
        <v>34.6</v>
      </c>
      <c r="E18" s="94">
        <f t="shared" si="1"/>
        <v>140.08097165991904</v>
      </c>
      <c r="F18" s="93"/>
      <c r="G18" s="93"/>
      <c r="H18" s="94"/>
      <c r="I18" s="93">
        <v>6380</v>
      </c>
      <c r="J18" s="93">
        <v>5633</v>
      </c>
      <c r="K18" s="37">
        <f t="shared" si="4"/>
        <v>88.29153605015674</v>
      </c>
      <c r="L18" s="93"/>
      <c r="M18" s="93"/>
      <c r="N18" s="94"/>
      <c r="O18" s="37">
        <f t="shared" si="0"/>
        <v>387.1473354231975</v>
      </c>
      <c r="P18" s="37">
        <f>D18/J18*100000</f>
        <v>614.2375288478609</v>
      </c>
      <c r="Q18" s="94">
        <f t="shared" si="3"/>
        <v>158.657305022241</v>
      </c>
      <c r="R18" s="37"/>
      <c r="S18" s="37"/>
      <c r="T18" s="94"/>
    </row>
    <row r="19" spans="1:20" ht="15">
      <c r="A19" s="84">
        <v>12</v>
      </c>
      <c r="B19" s="85" t="s">
        <v>72</v>
      </c>
      <c r="C19" s="93"/>
      <c r="D19" s="93"/>
      <c r="E19" s="94"/>
      <c r="F19" s="93">
        <v>2921</v>
      </c>
      <c r="G19" s="93">
        <v>3205</v>
      </c>
      <c r="H19" s="94">
        <f>G19/F19*100</f>
        <v>109.72269770626497</v>
      </c>
      <c r="I19" s="91"/>
      <c r="J19" s="93"/>
      <c r="K19" s="37"/>
      <c r="L19" s="93">
        <v>758763</v>
      </c>
      <c r="M19" s="93">
        <v>832723</v>
      </c>
      <c r="N19" s="94">
        <f>M19/L19*100</f>
        <v>109.7474441953548</v>
      </c>
      <c r="O19" s="37"/>
      <c r="P19" s="37"/>
      <c r="Q19" s="94"/>
      <c r="R19" s="37">
        <f>F19/L19*100000</f>
        <v>384.9686924639183</v>
      </c>
      <c r="S19" s="37">
        <f>G19/M19*100000</f>
        <v>384.8818874944009</v>
      </c>
      <c r="T19" s="94">
        <f>S19/R19*100</f>
        <v>99.97745142105926</v>
      </c>
    </row>
    <row r="20" spans="1:20" ht="15">
      <c r="A20" s="169" t="s">
        <v>98</v>
      </c>
      <c r="B20" s="177"/>
      <c r="C20" s="97">
        <f>SUM(C8:C19)</f>
        <v>933.81</v>
      </c>
      <c r="D20" s="4">
        <f>SUM(D8:D19)</f>
        <v>955.1199999999999</v>
      </c>
      <c r="E20" s="37">
        <f>D20/C20*100</f>
        <v>102.28204881078591</v>
      </c>
      <c r="F20" s="37">
        <f>SUM(F9:F19)</f>
        <v>3175</v>
      </c>
      <c r="G20" s="4">
        <f>SUM(G9:G19)</f>
        <v>3333</v>
      </c>
      <c r="H20" s="37">
        <f>G20/F20*100</f>
        <v>104.9763779527559</v>
      </c>
      <c r="I20" s="4">
        <f>SUM(I8:I18)</f>
        <v>251920</v>
      </c>
      <c r="J20" s="4">
        <f>SUM(J8:J19)</f>
        <v>222499</v>
      </c>
      <c r="K20" s="37">
        <f t="shared" si="4"/>
        <v>88.32129247380121</v>
      </c>
      <c r="L20" s="4">
        <f>SUM(L9:L19)</f>
        <v>832339</v>
      </c>
      <c r="M20" s="4">
        <f>SUM(M9:M19)</f>
        <v>869350</v>
      </c>
      <c r="N20" s="37">
        <f>M20/L20*100</f>
        <v>104.4466257138017</v>
      </c>
      <c r="O20" s="37">
        <f>C20/I20*100000</f>
        <v>370.6771991108288</v>
      </c>
      <c r="P20" s="37">
        <f>D20/J20*100000</f>
        <v>429.2693450307641</v>
      </c>
      <c r="Q20" s="37">
        <f>P20/O20*100</f>
        <v>115.80678446380968</v>
      </c>
      <c r="R20" s="37">
        <f>F20/L20*100000</f>
        <v>381.45515228770967</v>
      </c>
      <c r="S20" s="37">
        <f>G20/M20*100000</f>
        <v>383.3898889975269</v>
      </c>
      <c r="T20" s="37">
        <f>S20/R20*100</f>
        <v>100.50719899789371</v>
      </c>
    </row>
  </sheetData>
  <mergeCells count="24">
    <mergeCell ref="A20:B20"/>
    <mergeCell ref="B4:B7"/>
    <mergeCell ref="A4:A7"/>
    <mergeCell ref="C6:C7"/>
    <mergeCell ref="D6:D7"/>
    <mergeCell ref="K5:K7"/>
    <mergeCell ref="E5:E7"/>
    <mergeCell ref="I5:J5"/>
    <mergeCell ref="I6:I7"/>
    <mergeCell ref="J6:J7"/>
    <mergeCell ref="Q5:Q7"/>
    <mergeCell ref="G6:G7"/>
    <mergeCell ref="H5:H7"/>
    <mergeCell ref="N5:N7"/>
    <mergeCell ref="R6:R7"/>
    <mergeCell ref="F6:F7"/>
    <mergeCell ref="T5:T7"/>
    <mergeCell ref="L5:M5"/>
    <mergeCell ref="R5:S5"/>
    <mergeCell ref="L6:L7"/>
    <mergeCell ref="M6:M7"/>
    <mergeCell ref="O6:O7"/>
    <mergeCell ref="P6:P7"/>
    <mergeCell ref="S6:S7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75" zoomScaleNormal="50" zoomScaleSheetLayoutView="75" workbookViewId="0" topLeftCell="A1">
      <selection activeCell="A19" sqref="A19:B19"/>
    </sheetView>
  </sheetViews>
  <sheetFormatPr defaultColWidth="9.00390625" defaultRowHeight="12.75"/>
  <cols>
    <col min="1" max="1" width="3.625" style="0" customWidth="1"/>
    <col min="2" max="2" width="29.625" style="0" customWidth="1"/>
    <col min="3" max="3" width="7.25390625" style="0" customWidth="1"/>
    <col min="4" max="4" width="7.125" style="0" customWidth="1"/>
    <col min="5" max="5" width="8.125" style="0" customWidth="1"/>
    <col min="6" max="6" width="7.125" style="0" customWidth="1"/>
    <col min="7" max="7" width="6.25390625" style="0" customWidth="1"/>
    <col min="8" max="8" width="8.75390625" style="0" customWidth="1"/>
    <col min="9" max="9" width="7.25390625" style="0" customWidth="1"/>
    <col min="10" max="10" width="6.25390625" style="0" customWidth="1"/>
    <col min="11" max="11" width="8.875" style="0" customWidth="1"/>
    <col min="12" max="13" width="8.75390625" style="0" customWidth="1"/>
    <col min="14" max="14" width="9.125" style="77" customWidth="1"/>
  </cols>
  <sheetData>
    <row r="1" ht="15.75">
      <c r="C1" s="1" t="s">
        <v>95</v>
      </c>
    </row>
    <row r="2" spans="1:12" ht="15">
      <c r="A2" s="21"/>
      <c r="B2" s="21"/>
      <c r="C2" s="21"/>
      <c r="D2" s="21"/>
      <c r="E2" s="21"/>
      <c r="F2" s="21"/>
      <c r="G2" s="21"/>
      <c r="H2" s="11" t="s">
        <v>58</v>
      </c>
      <c r="I2" s="21"/>
      <c r="J2" s="21"/>
      <c r="K2" s="21"/>
      <c r="L2" s="21"/>
    </row>
    <row r="3" spans="1:14" ht="15" customHeight="1">
      <c r="A3" s="24" t="s">
        <v>2</v>
      </c>
      <c r="B3" s="24" t="s">
        <v>3</v>
      </c>
      <c r="C3" s="26"/>
      <c r="D3" s="26" t="s">
        <v>55</v>
      </c>
      <c r="E3" s="28"/>
      <c r="F3" s="137" t="s">
        <v>10</v>
      </c>
      <c r="G3" s="123"/>
      <c r="H3" s="138"/>
      <c r="I3" s="26" t="s">
        <v>6</v>
      </c>
      <c r="J3" s="22" t="s">
        <v>7</v>
      </c>
      <c r="K3" s="113" t="s">
        <v>84</v>
      </c>
      <c r="L3" s="114"/>
      <c r="M3" s="102"/>
      <c r="N3" s="124"/>
    </row>
    <row r="4" spans="1:14" ht="15">
      <c r="A4" s="34"/>
      <c r="B4" s="34"/>
      <c r="C4" s="10">
        <v>2009</v>
      </c>
      <c r="D4" s="42">
        <v>2010</v>
      </c>
      <c r="E4" s="19" t="s">
        <v>4</v>
      </c>
      <c r="F4" s="19">
        <v>2009</v>
      </c>
      <c r="G4" s="19">
        <v>2010</v>
      </c>
      <c r="H4" s="20" t="s">
        <v>4</v>
      </c>
      <c r="I4" s="42">
        <v>2009</v>
      </c>
      <c r="J4" s="20">
        <v>2010</v>
      </c>
      <c r="K4" s="133" t="s">
        <v>1</v>
      </c>
      <c r="L4" s="133" t="s">
        <v>85</v>
      </c>
      <c r="M4" s="104" t="s">
        <v>86</v>
      </c>
      <c r="N4" s="112"/>
    </row>
    <row r="5" spans="1:14" ht="15">
      <c r="A5" s="30"/>
      <c r="B5" s="30"/>
      <c r="C5" s="29"/>
      <c r="D5" s="36"/>
      <c r="E5" s="40">
        <v>2009</v>
      </c>
      <c r="F5" s="31"/>
      <c r="G5" s="31"/>
      <c r="H5" s="12">
        <v>2009</v>
      </c>
      <c r="I5" s="36"/>
      <c r="J5" s="30"/>
      <c r="K5" s="103"/>
      <c r="L5" s="103"/>
      <c r="M5" s="104"/>
      <c r="N5" s="112"/>
    </row>
    <row r="6" spans="1:13" ht="15">
      <c r="A6" s="4">
        <v>1</v>
      </c>
      <c r="B6" s="23" t="s">
        <v>63</v>
      </c>
      <c r="C6" s="4"/>
      <c r="D6" s="4"/>
      <c r="E6" s="37"/>
      <c r="F6" s="12"/>
      <c r="G6" s="12"/>
      <c r="H6" s="121"/>
      <c r="I6" s="37">
        <f>F6+(C6*0.2)+('численность 1'!M6*0.3)+'численность 1'!G6+(('численность 1'!C6-'численность 1'!G6)*0.6)</f>
        <v>37.599999999999994</v>
      </c>
      <c r="J6" s="120"/>
      <c r="K6" s="4"/>
      <c r="L6" s="4"/>
      <c r="M6" s="37"/>
    </row>
    <row r="7" spans="1:14" ht="15">
      <c r="A7" s="4">
        <v>2</v>
      </c>
      <c r="B7" s="23" t="s">
        <v>64</v>
      </c>
      <c r="C7" s="4"/>
      <c r="D7" s="4"/>
      <c r="E7" s="37"/>
      <c r="F7" s="4">
        <v>42</v>
      </c>
      <c r="G7" s="4">
        <v>27</v>
      </c>
      <c r="H7" s="94">
        <f aca="true" t="shared" si="0" ref="H7:H17">G7*100/F7</f>
        <v>64.28571428571429</v>
      </c>
      <c r="I7" s="37">
        <f>F7+(C7*0.2)+('численность 1'!M7*0.3)+'численность 1'!G7+(('численность 1'!C7-'численность 1'!G7)*0.6)</f>
        <v>406.4</v>
      </c>
      <c r="J7" s="37">
        <f>G7+(D7*0.2)+('численность 1'!N7*0.3)+'численность 1'!H7+(('численность 1'!D7-'численность 1'!H7)*0.6)</f>
        <v>315.6</v>
      </c>
      <c r="K7" s="4">
        <v>850</v>
      </c>
      <c r="L7" s="4">
        <v>253</v>
      </c>
      <c r="M7" s="37"/>
      <c r="N7" s="83"/>
    </row>
    <row r="8" spans="1:14" ht="15">
      <c r="A8" s="4">
        <v>3</v>
      </c>
      <c r="B8" s="23" t="s">
        <v>65</v>
      </c>
      <c r="C8" s="4"/>
      <c r="D8" s="4"/>
      <c r="E8" s="37"/>
      <c r="F8" s="4">
        <v>7</v>
      </c>
      <c r="G8" s="4">
        <v>7</v>
      </c>
      <c r="H8" s="94">
        <f t="shared" si="0"/>
        <v>100</v>
      </c>
      <c r="I8" s="37">
        <f>F8+(C8*0.2)+('численность 1'!M8*0.3)+'численность 1'!G8+(('численность 1'!C8-'численность 1'!G8)*0.6)</f>
        <v>173.2</v>
      </c>
      <c r="J8" s="37">
        <f>G8+(D8*0.2)+('численность 1'!N8*0.3)+'численность 1'!H8+(('численность 1'!D8-'численность 1'!H8)*0.6)</f>
        <v>169</v>
      </c>
      <c r="K8" s="4">
        <v>1916</v>
      </c>
      <c r="L8" s="4">
        <v>711</v>
      </c>
      <c r="M8" s="37"/>
      <c r="N8" s="83"/>
    </row>
    <row r="9" spans="1:14" ht="15">
      <c r="A9" s="4">
        <v>4</v>
      </c>
      <c r="B9" s="23" t="s">
        <v>66</v>
      </c>
      <c r="C9" s="4"/>
      <c r="D9" s="4"/>
      <c r="E9" s="37"/>
      <c r="F9" s="4">
        <v>6</v>
      </c>
      <c r="G9" s="4">
        <v>2</v>
      </c>
      <c r="H9" s="94">
        <f t="shared" si="0"/>
        <v>33.333333333333336</v>
      </c>
      <c r="I9" s="37">
        <f>F9+(C9*0.2)+('численность 1'!M9*0.3)+'численность 1'!G9+(('численность 1'!C9-'численность 1'!G9)*0.6)</f>
        <v>91.2</v>
      </c>
      <c r="J9" s="37">
        <f>G9+(D9*0.2)+('численность 1'!N9*0.3)+'численность 1'!H9+(('численность 1'!D9-'численность 1'!H9)*0.6)</f>
        <v>84.2</v>
      </c>
      <c r="K9" s="4">
        <v>370</v>
      </c>
      <c r="L9" s="4">
        <v>231</v>
      </c>
      <c r="M9" s="37"/>
      <c r="N9" s="83"/>
    </row>
    <row r="10" spans="1:14" ht="15">
      <c r="A10" s="4">
        <v>5</v>
      </c>
      <c r="B10" s="23" t="s">
        <v>67</v>
      </c>
      <c r="C10" s="4"/>
      <c r="D10" s="4"/>
      <c r="E10" s="4"/>
      <c r="F10" s="4">
        <v>37</v>
      </c>
      <c r="G10" s="4">
        <v>32</v>
      </c>
      <c r="H10" s="94">
        <f t="shared" si="0"/>
        <v>86.48648648648648</v>
      </c>
      <c r="I10" s="37">
        <f>F10+(C10*0.2)+('численность 1'!M10*0.3)+'численность 1'!G10+(('численность 1'!C10-'численность 1'!G10)*0.6)</f>
        <v>800.7</v>
      </c>
      <c r="J10" s="37">
        <f>G10+(D10*0.2)+('численность 1'!N10*0.3)+'численность 1'!H10+(('численность 1'!D10-'численность 1'!H10)*0.6)</f>
        <v>802.8</v>
      </c>
      <c r="K10" s="4">
        <v>1900</v>
      </c>
      <c r="L10" s="4">
        <v>1900</v>
      </c>
      <c r="M10" s="37"/>
      <c r="N10" s="83"/>
    </row>
    <row r="11" spans="1:14" ht="15">
      <c r="A11" s="4">
        <v>6</v>
      </c>
      <c r="B11" s="23" t="s">
        <v>68</v>
      </c>
      <c r="C11" s="4">
        <v>154</v>
      </c>
      <c r="D11" s="91">
        <v>157</v>
      </c>
      <c r="E11" s="94">
        <f>D11*100/C11</f>
        <v>101.94805194805195</v>
      </c>
      <c r="F11" s="4">
        <v>64</v>
      </c>
      <c r="G11" s="4">
        <v>56</v>
      </c>
      <c r="H11" s="94">
        <f t="shared" si="0"/>
        <v>87.5</v>
      </c>
      <c r="I11" s="37">
        <f>F11+(C11*0.2)+('численность 1'!M11*0.3)+'численность 1'!G11+(('численность 1'!C11-'численность 1'!G11)*0.6)</f>
        <v>709.5999999999999</v>
      </c>
      <c r="J11" s="37">
        <f>G11+(C11*0.2)+('численность 1'!N11*0.3)+'численность 1'!H11+(('численность 1'!D11-'численность 1'!H11)*0.6)</f>
        <v>605.6</v>
      </c>
      <c r="K11" s="4">
        <v>890</v>
      </c>
      <c r="L11" s="4">
        <v>616</v>
      </c>
      <c r="M11" s="37"/>
      <c r="N11" s="83"/>
    </row>
    <row r="12" spans="1:14" ht="15">
      <c r="A12" s="4">
        <v>7</v>
      </c>
      <c r="B12" s="39" t="s">
        <v>100</v>
      </c>
      <c r="C12" s="93"/>
      <c r="D12" s="93"/>
      <c r="E12" s="94"/>
      <c r="F12" s="4">
        <v>18</v>
      </c>
      <c r="G12" s="4">
        <v>15</v>
      </c>
      <c r="H12" s="94">
        <f t="shared" si="0"/>
        <v>83.33333333333333</v>
      </c>
      <c r="I12" s="37">
        <f>F12+(C12*0.2)+('численность 1'!M12*0.3)+'численность 1'!G12+(('численность 1'!C12-'численность 1'!G12)*0.6)</f>
        <v>272.79999999999995</v>
      </c>
      <c r="J12" s="37">
        <f>G12+(C12*0.2)+('численность 1'!N12*0.3)+'численность 1'!H12+(('численность 1'!D12-'численность 1'!H12)*0.6)</f>
        <v>236.2</v>
      </c>
      <c r="K12" s="93">
        <v>1100</v>
      </c>
      <c r="L12" s="93">
        <v>180</v>
      </c>
      <c r="M12" s="94"/>
      <c r="N12" s="83"/>
    </row>
    <row r="13" spans="1:14" ht="15">
      <c r="A13" s="4">
        <v>8</v>
      </c>
      <c r="B13" s="39" t="s">
        <v>69</v>
      </c>
      <c r="C13" s="93"/>
      <c r="D13" s="93"/>
      <c r="E13" s="94"/>
      <c r="F13" s="93">
        <v>4</v>
      </c>
      <c r="G13" s="93">
        <v>4</v>
      </c>
      <c r="H13" s="94">
        <f t="shared" si="0"/>
        <v>100</v>
      </c>
      <c r="I13" s="37">
        <f>F13+(C13*0.2)+('численность 1'!M13*0.3)+'численность 1'!G13+(('численность 1'!C13-'численность 1'!G13)*0.6)</f>
        <v>129.8</v>
      </c>
      <c r="J13" s="37">
        <f>G13+(C13*0.2)+('численность 1'!N13*0.3)+'численность 1'!H13+(('численность 1'!D13-'численность 1'!H13)*0.6)</f>
        <v>111.8</v>
      </c>
      <c r="K13" s="93">
        <v>330</v>
      </c>
      <c r="L13" s="93">
        <v>330</v>
      </c>
      <c r="M13" s="37"/>
      <c r="N13" s="83"/>
    </row>
    <row r="14" spans="1:14" ht="15">
      <c r="A14" s="4">
        <v>9</v>
      </c>
      <c r="B14" s="33" t="s">
        <v>99</v>
      </c>
      <c r="C14" s="93">
        <v>50</v>
      </c>
      <c r="D14" s="93">
        <v>124</v>
      </c>
      <c r="E14" s="94">
        <f>D14*100/C14</f>
        <v>248</v>
      </c>
      <c r="F14" s="4">
        <v>6</v>
      </c>
      <c r="G14" s="4">
        <v>4</v>
      </c>
      <c r="H14" s="94">
        <f t="shared" si="0"/>
        <v>66.66666666666667</v>
      </c>
      <c r="I14" s="37">
        <f>F14+(C14*0.2)+('численность 1'!M14*0.3)+'численность 1'!G14+(('численность 1'!C14-'численность 1'!G14)*0.6)</f>
        <v>131.8</v>
      </c>
      <c r="J14" s="37">
        <f>G14+(C14*0.2)+('численность 1'!N14*0.3)+'численность 1'!H14+(('численность 1'!D14-'численность 1'!H14)*0.6)</f>
        <v>155.6</v>
      </c>
      <c r="K14" s="93">
        <v>580</v>
      </c>
      <c r="L14" s="93">
        <v>150</v>
      </c>
      <c r="M14" s="37"/>
      <c r="N14" s="83"/>
    </row>
    <row r="15" spans="1:14" ht="15">
      <c r="A15" s="4">
        <v>10</v>
      </c>
      <c r="B15" s="39" t="s">
        <v>70</v>
      </c>
      <c r="C15" s="93"/>
      <c r="D15" s="93"/>
      <c r="E15" s="94"/>
      <c r="F15" s="4">
        <v>11</v>
      </c>
      <c r="G15" s="4">
        <v>17</v>
      </c>
      <c r="H15" s="94">
        <f t="shared" si="0"/>
        <v>154.54545454545453</v>
      </c>
      <c r="I15" s="37">
        <f>F15+(C15*0.2)+('численность 1'!M15*0.3)+'численность 1'!G15+(('численность 1'!C15-'численность 1'!G15)*0.6)</f>
        <v>214.8</v>
      </c>
      <c r="J15" s="37">
        <f>G15+(C15*0.2)+('численность 1'!N15*0.3)+'численность 1'!H15+(('численность 1'!D15-'численность 1'!H15)*0.6)</f>
        <v>185.39999999999998</v>
      </c>
      <c r="K15" s="93">
        <v>530</v>
      </c>
      <c r="L15" s="93">
        <v>220</v>
      </c>
      <c r="M15" s="37"/>
      <c r="N15" s="83"/>
    </row>
    <row r="16" spans="1:14" ht="15">
      <c r="A16" s="4">
        <v>11</v>
      </c>
      <c r="B16" s="39" t="s">
        <v>71</v>
      </c>
      <c r="C16" s="93"/>
      <c r="D16" s="93"/>
      <c r="E16" s="94"/>
      <c r="F16" s="4">
        <v>4</v>
      </c>
      <c r="G16" s="4">
        <v>3</v>
      </c>
      <c r="H16" s="94">
        <f t="shared" si="0"/>
        <v>75</v>
      </c>
      <c r="I16" s="37">
        <f>F16+(C16*0.2)+('численность 1'!M16*0.3)+'численность 1'!G16+(('численность 1'!C16-'численность 1'!G16)*0.6)</f>
        <v>72.4</v>
      </c>
      <c r="J16" s="37">
        <f>G16+(C16*0.2)+('численность 1'!N16*0.3)+'численность 1'!H16+(('численность 1'!D16-'численность 1'!H16)*0.6)</f>
        <v>69.4</v>
      </c>
      <c r="K16" s="93">
        <v>15</v>
      </c>
      <c r="L16" s="93">
        <v>15</v>
      </c>
      <c r="M16" s="37"/>
      <c r="N16" s="83"/>
    </row>
    <row r="17" spans="1:14" ht="15">
      <c r="A17" s="4">
        <v>12</v>
      </c>
      <c r="B17" s="39" t="s">
        <v>72</v>
      </c>
      <c r="C17" s="93"/>
      <c r="D17" s="93"/>
      <c r="E17" s="94"/>
      <c r="F17" s="4">
        <v>1</v>
      </c>
      <c r="G17" s="4">
        <v>1</v>
      </c>
      <c r="H17" s="94">
        <f t="shared" si="0"/>
        <v>100</v>
      </c>
      <c r="I17" s="37">
        <f>F17+(C17*0.2)+('численность 1'!M17*0.3)+'численность 1'!G17+(('численность 1'!C17-'численность 1'!G17)*0.6)</f>
        <v>2168.5</v>
      </c>
      <c r="J17" s="37">
        <f>G17+(C17*0.2)+('численность 1'!N17*0.3)+'численность 1'!H17+(('численность 1'!D17-'численность 1'!H17)*0.6)</f>
        <v>2322.4</v>
      </c>
      <c r="K17" s="93">
        <v>9030</v>
      </c>
      <c r="L17" s="93">
        <v>9030</v>
      </c>
      <c r="M17" s="94">
        <v>4800</v>
      </c>
      <c r="N17" s="83"/>
    </row>
    <row r="18" spans="1:14" ht="15">
      <c r="A18" s="4">
        <v>13</v>
      </c>
      <c r="B18" s="33" t="s">
        <v>87</v>
      </c>
      <c r="C18" s="93"/>
      <c r="D18" s="93"/>
      <c r="E18" s="94"/>
      <c r="F18" s="4"/>
      <c r="G18" s="4">
        <v>66</v>
      </c>
      <c r="H18" s="94"/>
      <c r="I18" s="37">
        <f>F18+(C18*0.2)+('численность 1'!M18*0.3)+'численность 1'!G18+(('численность 1'!C18-'численность 1'!G18)*0.6)</f>
        <v>0</v>
      </c>
      <c r="J18" s="37">
        <f>G18+(C18*0.2)+('численность 1'!N18*0.3)+'численность 1'!H18+(('численность 1'!D18-'численность 1'!H18)*0.6)</f>
        <v>66</v>
      </c>
      <c r="K18" s="93">
        <v>5669</v>
      </c>
      <c r="L18" s="93">
        <v>71</v>
      </c>
      <c r="M18" s="37"/>
      <c r="N18" s="83"/>
    </row>
    <row r="19" spans="1:14" ht="15">
      <c r="A19" s="169" t="s">
        <v>98</v>
      </c>
      <c r="B19" s="177"/>
      <c r="C19" s="4">
        <f>SUM(C7:C17)</f>
        <v>204</v>
      </c>
      <c r="D19" s="4">
        <f>SUM(D7:D17)</f>
        <v>281</v>
      </c>
      <c r="E19" s="37">
        <f>D19/C19*100</f>
        <v>137.7450980392157</v>
      </c>
      <c r="F19" s="4">
        <f>SUM(F6:F18)</f>
        <v>200</v>
      </c>
      <c r="G19" s="4">
        <f>SUM(G6:G18)</f>
        <v>234</v>
      </c>
      <c r="H19" s="94">
        <f>G19*100/F19</f>
        <v>117</v>
      </c>
      <c r="I19" s="37">
        <f>F19+(C19*0.2)+('численность 1'!M19*0.3)+'численность 1'!G19+(('численность 1'!C19-'численность 1'!G19)*0.6)</f>
        <v>5208.8</v>
      </c>
      <c r="J19" s="37">
        <f>G19+(D19*0.2)+('численность 1'!N19*0.3)+'численность 1'!H19+(('численность 1'!D19-'численность 1'!H19)*0.6)</f>
        <v>5139.4</v>
      </c>
      <c r="K19" s="4">
        <f>SUM(K7:K18)</f>
        <v>23180</v>
      </c>
      <c r="L19" s="4">
        <f>SUM(L7:L18)</f>
        <v>13707</v>
      </c>
      <c r="M19" s="37">
        <f>SUM(M7:M18)</f>
        <v>4800</v>
      </c>
      <c r="N19" s="83"/>
    </row>
  </sheetData>
  <mergeCells count="7">
    <mergeCell ref="A19:B19"/>
    <mergeCell ref="F3:H3"/>
    <mergeCell ref="N3:N5"/>
    <mergeCell ref="K3:M3"/>
    <mergeCell ref="K4:K5"/>
    <mergeCell ref="L4:L5"/>
    <mergeCell ref="M4:M5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9"/>
  <sheetViews>
    <sheetView view="pageBreakPreview" zoomScale="60" zoomScaleNormal="50" workbookViewId="0" topLeftCell="A1">
      <selection activeCell="A19" sqref="A19:B19"/>
    </sheetView>
  </sheetViews>
  <sheetFormatPr defaultColWidth="9.00390625" defaultRowHeight="12.75"/>
  <cols>
    <col min="1" max="1" width="5.25390625" style="0" customWidth="1"/>
    <col min="2" max="2" width="34.125" style="0" customWidth="1"/>
    <col min="3" max="3" width="9.75390625" style="0" customWidth="1"/>
    <col min="4" max="4" width="9.875" style="0" customWidth="1"/>
    <col min="5" max="5" width="10.75390625" style="0" customWidth="1"/>
    <col min="6" max="6" width="11.75390625" style="0" customWidth="1"/>
    <col min="7" max="7" width="9.875" style="0" customWidth="1"/>
    <col min="8" max="8" width="9.75390625" style="0" customWidth="1"/>
    <col min="9" max="9" width="10.75390625" style="0" customWidth="1"/>
    <col min="10" max="10" width="9.75390625" style="0" customWidth="1"/>
    <col min="11" max="11" width="9.875" style="0" customWidth="1"/>
    <col min="12" max="12" width="10.75390625" style="0" customWidth="1"/>
    <col min="13" max="13" width="9.875" style="0" customWidth="1"/>
    <col min="14" max="14" width="9.75390625" style="0" customWidth="1"/>
    <col min="15" max="15" width="10.75390625" style="0" customWidth="1"/>
    <col min="16" max="17" width="9.75390625" style="0" customWidth="1"/>
    <col min="18" max="18" width="10.875" style="0" customWidth="1"/>
    <col min="19" max="20" width="9.75390625" style="0" customWidth="1"/>
    <col min="21" max="21" width="10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47" t="s">
        <v>94</v>
      </c>
      <c r="F1" s="47"/>
      <c r="G1" s="47"/>
      <c r="H1" s="46"/>
      <c r="I1" s="46"/>
      <c r="J1" s="46"/>
      <c r="K1" s="46"/>
      <c r="L1" s="46"/>
      <c r="M1" s="46"/>
      <c r="N1" s="46"/>
      <c r="O1" s="46"/>
      <c r="P1" s="15"/>
      <c r="Q1" s="43"/>
      <c r="R1" s="1"/>
    </row>
    <row r="2" spans="5:17" ht="20.25">
      <c r="E2" s="46"/>
      <c r="F2" s="46"/>
      <c r="G2" s="46"/>
      <c r="H2" s="48" t="s">
        <v>57</v>
      </c>
      <c r="I2" s="48"/>
      <c r="J2" s="48"/>
      <c r="K2" s="48"/>
      <c r="L2" s="48"/>
      <c r="M2" s="48"/>
      <c r="N2" s="46"/>
      <c r="O2" s="46"/>
      <c r="P2" s="15"/>
      <c r="Q2" s="15"/>
    </row>
    <row r="3" spans="1:21" s="21" customFormat="1" ht="44.25" customHeight="1">
      <c r="A3" s="24" t="s">
        <v>2</v>
      </c>
      <c r="B3" s="145" t="s">
        <v>3</v>
      </c>
      <c r="C3" s="139" t="s">
        <v>105</v>
      </c>
      <c r="D3" s="140"/>
      <c r="E3" s="141"/>
      <c r="F3" s="142" t="s">
        <v>104</v>
      </c>
      <c r="G3" s="139" t="s">
        <v>8</v>
      </c>
      <c r="H3" s="140"/>
      <c r="I3" s="141"/>
      <c r="J3" s="148" t="s">
        <v>82</v>
      </c>
      <c r="K3" s="149"/>
      <c r="L3" s="150"/>
      <c r="M3" s="139" t="s">
        <v>9</v>
      </c>
      <c r="N3" s="140"/>
      <c r="O3" s="140"/>
      <c r="P3" s="140"/>
      <c r="Q3" s="140"/>
      <c r="R3" s="140"/>
      <c r="S3" s="140"/>
      <c r="T3" s="140"/>
      <c r="U3" s="141"/>
    </row>
    <row r="4" spans="1:21" s="21" customFormat="1" ht="23.25" customHeight="1">
      <c r="A4" s="34"/>
      <c r="B4" s="146"/>
      <c r="C4" s="19">
        <v>2009</v>
      </c>
      <c r="D4" s="20">
        <v>2010</v>
      </c>
      <c r="E4" s="44" t="s">
        <v>4</v>
      </c>
      <c r="F4" s="143"/>
      <c r="G4" s="19">
        <v>2009</v>
      </c>
      <c r="H4" s="20">
        <v>2010</v>
      </c>
      <c r="I4" s="44" t="s">
        <v>4</v>
      </c>
      <c r="J4" s="131">
        <v>2009</v>
      </c>
      <c r="K4" s="131">
        <v>2010</v>
      </c>
      <c r="L4" s="152" t="s">
        <v>83</v>
      </c>
      <c r="M4" s="19">
        <v>2009</v>
      </c>
      <c r="N4" s="20">
        <v>2010</v>
      </c>
      <c r="O4" s="117" t="s">
        <v>4</v>
      </c>
      <c r="P4" s="101" t="s">
        <v>5</v>
      </c>
      <c r="Q4" s="82" t="s">
        <v>75</v>
      </c>
      <c r="R4" s="118" t="s">
        <v>4</v>
      </c>
      <c r="S4" s="101" t="s">
        <v>54</v>
      </c>
      <c r="T4" s="116"/>
      <c r="U4" s="20" t="s">
        <v>4</v>
      </c>
    </row>
    <row r="5" spans="1:21" s="21" customFormat="1" ht="23.25" customHeight="1">
      <c r="A5" s="30"/>
      <c r="B5" s="147"/>
      <c r="C5" s="30"/>
      <c r="D5" s="30"/>
      <c r="E5" s="12">
        <v>2009</v>
      </c>
      <c r="F5" s="144"/>
      <c r="G5" s="29"/>
      <c r="H5" s="36"/>
      <c r="I5" s="12">
        <v>2009</v>
      </c>
      <c r="J5" s="151"/>
      <c r="K5" s="151"/>
      <c r="L5" s="153"/>
      <c r="M5" s="29"/>
      <c r="N5" s="29"/>
      <c r="O5" s="40">
        <v>2009</v>
      </c>
      <c r="P5" s="4">
        <v>2009</v>
      </c>
      <c r="Q5" s="4">
        <v>2010</v>
      </c>
      <c r="R5" s="40">
        <v>2009</v>
      </c>
      <c r="S5" s="4">
        <v>2009</v>
      </c>
      <c r="T5" s="4">
        <v>2010</v>
      </c>
      <c r="U5" s="12">
        <v>2009</v>
      </c>
    </row>
    <row r="6" spans="1:21" s="21" customFormat="1" ht="24.75" customHeight="1">
      <c r="A6" s="4">
        <v>1</v>
      </c>
      <c r="B6" s="23" t="s">
        <v>63</v>
      </c>
      <c r="C6" s="4">
        <v>56</v>
      </c>
      <c r="D6" s="4"/>
      <c r="E6" s="37"/>
      <c r="F6" s="4"/>
      <c r="G6" s="4">
        <v>10</v>
      </c>
      <c r="H6" s="4"/>
      <c r="I6" s="37"/>
      <c r="J6" s="37">
        <v>18.333333333333332</v>
      </c>
      <c r="K6" s="119">
        <v>0</v>
      </c>
      <c r="L6" s="37"/>
      <c r="M6" s="4"/>
      <c r="N6" s="4"/>
      <c r="O6" s="37"/>
      <c r="P6" s="12"/>
      <c r="Q6" s="12"/>
      <c r="R6" s="37"/>
      <c r="S6" s="12"/>
      <c r="T6" s="12"/>
      <c r="U6" s="120"/>
    </row>
    <row r="7" spans="1:34" s="21" customFormat="1" ht="24.75" customHeight="1">
      <c r="A7" s="4">
        <v>2</v>
      </c>
      <c r="B7" s="23" t="s">
        <v>64</v>
      </c>
      <c r="C7" s="4">
        <v>474</v>
      </c>
      <c r="D7" s="4">
        <v>361</v>
      </c>
      <c r="E7" s="37">
        <f aca="true" t="shared" si="0" ref="E7:E16">D7*100/C7</f>
        <v>76.16033755274262</v>
      </c>
      <c r="F7" s="4">
        <v>21</v>
      </c>
      <c r="G7" s="4">
        <v>200</v>
      </c>
      <c r="H7" s="4">
        <v>180</v>
      </c>
      <c r="I7" s="37">
        <f aca="true" t="shared" si="1" ref="I7:I16">H7*100/G7</f>
        <v>90</v>
      </c>
      <c r="J7" s="4">
        <v>200</v>
      </c>
      <c r="K7" s="119">
        <v>180</v>
      </c>
      <c r="L7" s="37">
        <f aca="true" t="shared" si="2" ref="L7:L19">K7*100/J7</f>
        <v>90</v>
      </c>
      <c r="M7" s="4"/>
      <c r="N7" s="4"/>
      <c r="O7" s="37"/>
      <c r="P7" s="37"/>
      <c r="Q7" s="4"/>
      <c r="R7" s="37"/>
      <c r="S7" s="37"/>
      <c r="T7" s="37"/>
      <c r="U7" s="37"/>
      <c r="AH7" s="91"/>
    </row>
    <row r="8" spans="1:34" s="21" customFormat="1" ht="24.75" customHeight="1">
      <c r="A8" s="4">
        <v>3</v>
      </c>
      <c r="B8" s="23" t="s">
        <v>65</v>
      </c>
      <c r="C8" s="4">
        <v>207</v>
      </c>
      <c r="D8" s="4">
        <v>200</v>
      </c>
      <c r="E8" s="37">
        <f t="shared" si="0"/>
        <v>96.61835748792271</v>
      </c>
      <c r="F8" s="4">
        <v>6</v>
      </c>
      <c r="G8" s="4">
        <v>105</v>
      </c>
      <c r="H8" s="4">
        <v>105</v>
      </c>
      <c r="I8" s="37">
        <f t="shared" si="1"/>
        <v>100</v>
      </c>
      <c r="J8" s="4">
        <v>105</v>
      </c>
      <c r="K8" s="119">
        <v>105</v>
      </c>
      <c r="L8" s="37">
        <f t="shared" si="2"/>
        <v>100</v>
      </c>
      <c r="M8" s="4"/>
      <c r="N8" s="4"/>
      <c r="O8" s="37"/>
      <c r="P8" s="37"/>
      <c r="Q8" s="4"/>
      <c r="R8" s="37"/>
      <c r="S8" s="37"/>
      <c r="T8" s="37"/>
      <c r="U8" s="37"/>
      <c r="AH8" s="91"/>
    </row>
    <row r="9" spans="1:34" s="21" customFormat="1" ht="24.75" customHeight="1">
      <c r="A9" s="4">
        <v>4</v>
      </c>
      <c r="B9" s="23" t="s">
        <v>66</v>
      </c>
      <c r="C9" s="4">
        <v>106</v>
      </c>
      <c r="D9" s="4">
        <v>101</v>
      </c>
      <c r="E9" s="37">
        <f t="shared" si="0"/>
        <v>95.28301886792453</v>
      </c>
      <c r="F9" s="93">
        <v>7</v>
      </c>
      <c r="G9" s="4">
        <v>54</v>
      </c>
      <c r="H9" s="4">
        <v>54</v>
      </c>
      <c r="I9" s="37">
        <f t="shared" si="1"/>
        <v>100</v>
      </c>
      <c r="J9" s="4">
        <v>54</v>
      </c>
      <c r="K9" s="119">
        <v>54</v>
      </c>
      <c r="L9" s="37">
        <f t="shared" si="2"/>
        <v>100</v>
      </c>
      <c r="M9" s="4"/>
      <c r="N9" s="4"/>
      <c r="O9" s="37"/>
      <c r="P9" s="37"/>
      <c r="Q9" s="4"/>
      <c r="R9" s="37"/>
      <c r="S9" s="37"/>
      <c r="T9" s="37"/>
      <c r="U9" s="37"/>
      <c r="AH9" s="91"/>
    </row>
    <row r="10" spans="1:34" s="21" customFormat="1" ht="24.75" customHeight="1">
      <c r="A10" s="4">
        <v>5</v>
      </c>
      <c r="B10" s="23" t="s">
        <v>67</v>
      </c>
      <c r="C10" s="4">
        <v>913</v>
      </c>
      <c r="D10" s="4">
        <v>866</v>
      </c>
      <c r="E10" s="37">
        <f t="shared" si="0"/>
        <v>94.85213581599123</v>
      </c>
      <c r="F10" s="4">
        <v>14</v>
      </c>
      <c r="G10" s="4">
        <v>308</v>
      </c>
      <c r="H10" s="4">
        <v>304</v>
      </c>
      <c r="I10" s="37">
        <f t="shared" si="1"/>
        <v>98.7012987012987</v>
      </c>
      <c r="J10" s="4">
        <v>308</v>
      </c>
      <c r="K10" s="119">
        <v>304</v>
      </c>
      <c r="L10" s="37">
        <f t="shared" si="2"/>
        <v>98.7012987012987</v>
      </c>
      <c r="M10" s="4">
        <v>309</v>
      </c>
      <c r="N10" s="4">
        <v>432</v>
      </c>
      <c r="O10" s="37">
        <f>N10*100/M10</f>
        <v>139.80582524271844</v>
      </c>
      <c r="P10" s="4">
        <v>19</v>
      </c>
      <c r="Q10" s="4">
        <v>27</v>
      </c>
      <c r="R10" s="37">
        <f>Q10*100/P10</f>
        <v>142.10526315789474</v>
      </c>
      <c r="S10" s="4">
        <v>14</v>
      </c>
      <c r="T10" s="4">
        <v>30</v>
      </c>
      <c r="U10" s="37">
        <f>T10*100/S10</f>
        <v>214.28571428571428</v>
      </c>
      <c r="AH10" s="91"/>
    </row>
    <row r="11" spans="1:34" s="21" customFormat="1" ht="24.75" customHeight="1">
      <c r="A11" s="4">
        <v>6</v>
      </c>
      <c r="B11" s="23" t="s">
        <v>68</v>
      </c>
      <c r="C11" s="4">
        <v>598</v>
      </c>
      <c r="D11" s="4">
        <v>505</v>
      </c>
      <c r="E11" s="37">
        <f t="shared" si="0"/>
        <v>84.44816053511705</v>
      </c>
      <c r="F11" s="93">
        <v>4</v>
      </c>
      <c r="G11" s="4">
        <v>280</v>
      </c>
      <c r="H11" s="4">
        <v>250</v>
      </c>
      <c r="I11" s="37">
        <f t="shared" si="1"/>
        <v>89.28571428571429</v>
      </c>
      <c r="J11" s="4">
        <v>280</v>
      </c>
      <c r="K11" s="119">
        <v>250</v>
      </c>
      <c r="L11" s="37">
        <f t="shared" si="2"/>
        <v>89.28571428571429</v>
      </c>
      <c r="M11" s="4">
        <v>480</v>
      </c>
      <c r="N11" s="4">
        <v>386</v>
      </c>
      <c r="O11" s="37">
        <f>N11*100/M11</f>
        <v>80.41666666666667</v>
      </c>
      <c r="P11" s="4">
        <v>80</v>
      </c>
      <c r="Q11" s="4">
        <v>80</v>
      </c>
      <c r="R11" s="37">
        <f>Q11*100/P11</f>
        <v>100</v>
      </c>
      <c r="S11" s="4">
        <v>42</v>
      </c>
      <c r="T11" s="4">
        <v>49</v>
      </c>
      <c r="U11" s="37">
        <f>T11*100/S11</f>
        <v>116.66666666666667</v>
      </c>
      <c r="AH11" s="91"/>
    </row>
    <row r="12" spans="1:34" s="21" customFormat="1" ht="24.75" customHeight="1">
      <c r="A12" s="4">
        <v>7</v>
      </c>
      <c r="B12" s="39" t="s">
        <v>100</v>
      </c>
      <c r="C12" s="4">
        <v>368</v>
      </c>
      <c r="D12" s="4">
        <v>312</v>
      </c>
      <c r="E12" s="37">
        <f t="shared" si="0"/>
        <v>84.78260869565217</v>
      </c>
      <c r="F12" s="93">
        <v>10</v>
      </c>
      <c r="G12" s="4">
        <v>85</v>
      </c>
      <c r="H12" s="4">
        <v>85</v>
      </c>
      <c r="I12" s="37">
        <f t="shared" si="1"/>
        <v>100</v>
      </c>
      <c r="J12" s="4">
        <v>85</v>
      </c>
      <c r="K12" s="119">
        <v>85</v>
      </c>
      <c r="L12" s="37">
        <f t="shared" si="2"/>
        <v>100</v>
      </c>
      <c r="M12" s="4"/>
      <c r="N12" s="4"/>
      <c r="O12" s="37"/>
      <c r="P12" s="4"/>
      <c r="Q12" s="4"/>
      <c r="R12" s="37"/>
      <c r="S12" s="4"/>
      <c r="T12" s="4"/>
      <c r="U12" s="37"/>
      <c r="AH12" s="91"/>
    </row>
    <row r="13" spans="1:34" s="21" customFormat="1" ht="24.75" customHeight="1">
      <c r="A13" s="4">
        <v>8</v>
      </c>
      <c r="B13" s="23" t="s">
        <v>69</v>
      </c>
      <c r="C13" s="4">
        <v>152</v>
      </c>
      <c r="D13" s="4">
        <v>145</v>
      </c>
      <c r="E13" s="37">
        <f t="shared" si="0"/>
        <v>95.39473684210526</v>
      </c>
      <c r="F13" s="4">
        <v>2</v>
      </c>
      <c r="G13" s="4">
        <v>64</v>
      </c>
      <c r="H13" s="4">
        <v>52</v>
      </c>
      <c r="I13" s="37">
        <f t="shared" si="1"/>
        <v>81.25</v>
      </c>
      <c r="J13" s="4">
        <v>66.5</v>
      </c>
      <c r="K13" s="119">
        <v>52</v>
      </c>
      <c r="L13" s="37">
        <f t="shared" si="2"/>
        <v>78.19548872180451</v>
      </c>
      <c r="M13" s="4">
        <v>30</v>
      </c>
      <c r="N13" s="4"/>
      <c r="O13" s="37"/>
      <c r="P13" s="4">
        <v>10</v>
      </c>
      <c r="Q13" s="4"/>
      <c r="R13" s="37"/>
      <c r="S13" s="4"/>
      <c r="T13" s="4"/>
      <c r="U13" s="37"/>
      <c r="AH13" s="91"/>
    </row>
    <row r="14" spans="1:34" s="21" customFormat="1" ht="24.75" customHeight="1">
      <c r="A14" s="4">
        <v>9</v>
      </c>
      <c r="B14" s="33" t="s">
        <v>99</v>
      </c>
      <c r="C14" s="4">
        <v>161</v>
      </c>
      <c r="D14" s="4">
        <v>196</v>
      </c>
      <c r="E14" s="37">
        <f t="shared" si="0"/>
        <v>121.73913043478261</v>
      </c>
      <c r="F14" s="4">
        <v>27</v>
      </c>
      <c r="G14" s="4">
        <v>48</v>
      </c>
      <c r="H14" s="4">
        <v>60</v>
      </c>
      <c r="I14" s="37">
        <f t="shared" si="1"/>
        <v>125</v>
      </c>
      <c r="J14" s="4">
        <v>48</v>
      </c>
      <c r="K14" s="119">
        <v>60</v>
      </c>
      <c r="L14" s="37">
        <f t="shared" si="2"/>
        <v>125</v>
      </c>
      <c r="M14" s="4"/>
      <c r="N14" s="4"/>
      <c r="O14" s="37"/>
      <c r="P14" s="4"/>
      <c r="Q14" s="4"/>
      <c r="R14" s="37"/>
      <c r="S14" s="4"/>
      <c r="T14" s="4"/>
      <c r="U14" s="37"/>
      <c r="AH14" s="91"/>
    </row>
    <row r="15" spans="1:34" s="21" customFormat="1" ht="24.75" customHeight="1">
      <c r="A15" s="4">
        <v>10</v>
      </c>
      <c r="B15" s="23" t="s">
        <v>70</v>
      </c>
      <c r="C15" s="4">
        <v>273</v>
      </c>
      <c r="D15" s="4">
        <v>214</v>
      </c>
      <c r="E15" s="37">
        <f t="shared" si="0"/>
        <v>78.3882783882784</v>
      </c>
      <c r="F15" s="4">
        <v>14</v>
      </c>
      <c r="G15" s="4">
        <v>100</v>
      </c>
      <c r="H15" s="4">
        <v>100</v>
      </c>
      <c r="I15" s="37">
        <f t="shared" si="1"/>
        <v>100</v>
      </c>
      <c r="J15" s="4">
        <v>100</v>
      </c>
      <c r="K15" s="119">
        <v>100</v>
      </c>
      <c r="L15" s="37">
        <f t="shared" si="2"/>
        <v>100</v>
      </c>
      <c r="M15" s="4"/>
      <c r="N15" s="4"/>
      <c r="O15" s="37"/>
      <c r="P15" s="4"/>
      <c r="Q15" s="4"/>
      <c r="R15" s="37"/>
      <c r="S15" s="4"/>
      <c r="T15" s="4"/>
      <c r="U15" s="37"/>
      <c r="AH15" s="91"/>
    </row>
    <row r="16" spans="1:34" s="21" customFormat="1" ht="24.75" customHeight="1">
      <c r="A16" s="4">
        <v>11</v>
      </c>
      <c r="B16" s="23" t="s">
        <v>71</v>
      </c>
      <c r="C16" s="4">
        <v>86</v>
      </c>
      <c r="D16" s="4">
        <v>84</v>
      </c>
      <c r="E16" s="37">
        <f t="shared" si="0"/>
        <v>97.67441860465117</v>
      </c>
      <c r="F16" s="4">
        <v>0</v>
      </c>
      <c r="G16" s="4">
        <v>42</v>
      </c>
      <c r="H16" s="4">
        <v>40</v>
      </c>
      <c r="I16" s="37">
        <f t="shared" si="1"/>
        <v>95.23809523809524</v>
      </c>
      <c r="J16" s="4">
        <v>42</v>
      </c>
      <c r="K16" s="119">
        <v>41.333333333333336</v>
      </c>
      <c r="L16" s="37">
        <f t="shared" si="2"/>
        <v>98.41269841269843</v>
      </c>
      <c r="M16" s="4"/>
      <c r="N16" s="4"/>
      <c r="O16" s="37"/>
      <c r="P16" s="4"/>
      <c r="Q16" s="4"/>
      <c r="R16" s="37"/>
      <c r="S16" s="4"/>
      <c r="T16" s="4"/>
      <c r="U16" s="37"/>
      <c r="AH16" s="91"/>
    </row>
    <row r="17" spans="1:34" s="21" customFormat="1" ht="24.75" customHeight="1">
      <c r="A17" s="4">
        <v>12</v>
      </c>
      <c r="B17" s="23" t="s">
        <v>72</v>
      </c>
      <c r="C17" s="4"/>
      <c r="D17" s="4"/>
      <c r="E17" s="37"/>
      <c r="F17" s="4"/>
      <c r="G17" s="4"/>
      <c r="H17" s="4"/>
      <c r="I17" s="37"/>
      <c r="J17" s="4"/>
      <c r="K17" s="119"/>
      <c r="L17" s="37"/>
      <c r="M17" s="4">
        <v>7225</v>
      </c>
      <c r="N17" s="4">
        <v>7738</v>
      </c>
      <c r="O17" s="37">
        <f>N17*100/M17</f>
        <v>107.10034602076125</v>
      </c>
      <c r="P17" s="4">
        <v>220</v>
      </c>
      <c r="Q17" s="4">
        <v>220</v>
      </c>
      <c r="R17" s="37">
        <f>Q17*100/P17</f>
        <v>100</v>
      </c>
      <c r="S17" s="4">
        <v>353</v>
      </c>
      <c r="T17" s="4">
        <v>503</v>
      </c>
      <c r="U17" s="37">
        <f>T17*100/S17</f>
        <v>142.4929178470255</v>
      </c>
      <c r="AH17" s="91"/>
    </row>
    <row r="18" spans="1:34" s="21" customFormat="1" ht="24.75" customHeight="1">
      <c r="A18" s="4">
        <v>13</v>
      </c>
      <c r="B18" s="33" t="s">
        <v>87</v>
      </c>
      <c r="C18" s="4"/>
      <c r="D18" s="4"/>
      <c r="E18" s="37"/>
      <c r="F18" s="4"/>
      <c r="G18" s="4"/>
      <c r="H18" s="4"/>
      <c r="I18" s="37"/>
      <c r="J18" s="4"/>
      <c r="K18" s="4"/>
      <c r="L18" s="37"/>
      <c r="M18" s="4"/>
      <c r="N18" s="4"/>
      <c r="O18" s="37"/>
      <c r="P18" s="4"/>
      <c r="Q18" s="4"/>
      <c r="R18" s="37"/>
      <c r="S18" s="4"/>
      <c r="T18" s="4"/>
      <c r="U18" s="37"/>
      <c r="AH18" s="91"/>
    </row>
    <row r="19" spans="1:21" s="21" customFormat="1" ht="21.75" customHeight="1">
      <c r="A19" s="169" t="s">
        <v>98</v>
      </c>
      <c r="B19" s="177"/>
      <c r="C19" s="4">
        <f>SUM(C6:C17)</f>
        <v>3394</v>
      </c>
      <c r="D19" s="4">
        <f>SUM(D6:D17)</f>
        <v>2984</v>
      </c>
      <c r="E19" s="37">
        <f>D19*100/C19</f>
        <v>87.91985857395403</v>
      </c>
      <c r="F19" s="4">
        <f>SUM(F6:F17)</f>
        <v>105</v>
      </c>
      <c r="G19" s="4">
        <f>SUM(G6:G17)</f>
        <v>1296</v>
      </c>
      <c r="H19" s="4">
        <f>SUM(H6:H17)</f>
        <v>1230</v>
      </c>
      <c r="I19" s="37">
        <f>H19*100/G19</f>
        <v>94.9074074074074</v>
      </c>
      <c r="J19" s="4">
        <v>1307</v>
      </c>
      <c r="K19" s="4">
        <v>1231</v>
      </c>
      <c r="L19" s="37">
        <f t="shared" si="2"/>
        <v>94.18515684774292</v>
      </c>
      <c r="M19" s="4">
        <f>SUM(M10:M17)</f>
        <v>8044</v>
      </c>
      <c r="N19" s="4">
        <f>SUM(N6:N17)</f>
        <v>8556</v>
      </c>
      <c r="O19" s="37">
        <f>N19*100/M19</f>
        <v>106.36499254102436</v>
      </c>
      <c r="P19" s="4">
        <f>SUM(P6:P17)</f>
        <v>329</v>
      </c>
      <c r="Q19" s="4">
        <f>SUM(Q6:Q17)</f>
        <v>327</v>
      </c>
      <c r="R19" s="37">
        <f>Q19*100/P19</f>
        <v>99.3920972644377</v>
      </c>
      <c r="S19" s="4">
        <f>SUM(S6:S17)</f>
        <v>409</v>
      </c>
      <c r="T19" s="4">
        <f>SUM(T6:T17)</f>
        <v>582</v>
      </c>
      <c r="U19" s="37">
        <f>T19*100/S19</f>
        <v>142.29828850855745</v>
      </c>
    </row>
  </sheetData>
  <mergeCells count="10">
    <mergeCell ref="A19:B19"/>
    <mergeCell ref="J3:L3"/>
    <mergeCell ref="J4:J5"/>
    <mergeCell ref="K4:K5"/>
    <mergeCell ref="L4:L5"/>
    <mergeCell ref="M3:U3"/>
    <mergeCell ref="G3:I3"/>
    <mergeCell ref="F3:F5"/>
    <mergeCell ref="C3:E3"/>
    <mergeCell ref="B3:B5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9"/>
  <sheetViews>
    <sheetView view="pageBreakPreview" zoomScale="75" zoomScaleNormal="75" zoomScaleSheetLayoutView="75" workbookViewId="0" topLeftCell="A1">
      <selection activeCell="A19" sqref="A19:B19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4" width="9.75390625" style="0" customWidth="1"/>
    <col min="5" max="5" width="11.125" style="0" customWidth="1"/>
    <col min="6" max="8" width="9.75390625" style="0" customWidth="1"/>
    <col min="9" max="9" width="9.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21"/>
      <c r="B2" s="21"/>
      <c r="C2" s="21"/>
      <c r="D2" s="1" t="s">
        <v>93</v>
      </c>
      <c r="E2" s="1"/>
      <c r="F2" s="1"/>
      <c r="G2" s="1"/>
      <c r="H2" s="1"/>
      <c r="I2" s="1"/>
      <c r="J2" s="1"/>
      <c r="K2" s="1"/>
      <c r="L2" s="21"/>
      <c r="M2" s="21"/>
      <c r="N2" s="21"/>
    </row>
    <row r="3" spans="1:14" ht="15">
      <c r="A3" s="154" t="s">
        <v>61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12.75">
      <c r="A4" s="145" t="s">
        <v>2</v>
      </c>
      <c r="B4" s="142" t="s">
        <v>3</v>
      </c>
      <c r="C4" s="163" t="s">
        <v>110</v>
      </c>
      <c r="D4" s="164"/>
      <c r="E4" s="160"/>
      <c r="F4" s="155" t="s">
        <v>73</v>
      </c>
      <c r="G4" s="156"/>
      <c r="H4" s="155" t="s">
        <v>109</v>
      </c>
      <c r="I4" s="159"/>
      <c r="J4" s="160"/>
      <c r="K4" s="155" t="s">
        <v>107</v>
      </c>
      <c r="L4" s="156"/>
      <c r="M4" s="155" t="s">
        <v>108</v>
      </c>
      <c r="N4" s="156"/>
    </row>
    <row r="5" spans="1:14" ht="31.5" customHeight="1">
      <c r="A5" s="146"/>
      <c r="B5" s="143"/>
      <c r="C5" s="165"/>
      <c r="D5" s="166"/>
      <c r="E5" s="167"/>
      <c r="F5" s="157"/>
      <c r="G5" s="158"/>
      <c r="H5" s="157"/>
      <c r="I5" s="161"/>
      <c r="J5" s="162"/>
      <c r="K5" s="157"/>
      <c r="L5" s="158"/>
      <c r="M5" s="157"/>
      <c r="N5" s="158"/>
    </row>
    <row r="6" spans="1:14" ht="30">
      <c r="A6" s="147"/>
      <c r="B6" s="144"/>
      <c r="C6" s="4">
        <v>2009</v>
      </c>
      <c r="D6" s="20">
        <v>2010</v>
      </c>
      <c r="E6" s="125" t="s">
        <v>106</v>
      </c>
      <c r="F6" s="19">
        <v>2009</v>
      </c>
      <c r="G6" s="20">
        <v>2010</v>
      </c>
      <c r="H6" s="19">
        <v>2009</v>
      </c>
      <c r="I6" s="19">
        <v>2010</v>
      </c>
      <c r="J6" s="122" t="s">
        <v>106</v>
      </c>
      <c r="K6" s="23" t="s">
        <v>1</v>
      </c>
      <c r="L6" s="25" t="s">
        <v>35</v>
      </c>
      <c r="M6" s="39" t="s">
        <v>48</v>
      </c>
      <c r="N6" s="51" t="s">
        <v>49</v>
      </c>
    </row>
    <row r="7" spans="1:14" ht="16.5" customHeight="1">
      <c r="A7" s="32">
        <v>1</v>
      </c>
      <c r="B7" s="32" t="s">
        <v>63</v>
      </c>
      <c r="C7" s="99"/>
      <c r="D7" s="32"/>
      <c r="E7" s="32"/>
      <c r="F7" s="32"/>
      <c r="G7" s="32"/>
      <c r="H7" s="32"/>
      <c r="I7" s="32"/>
      <c r="J7" s="32"/>
      <c r="K7" s="32"/>
      <c r="L7" s="32"/>
      <c r="M7" s="99"/>
      <c r="N7" s="32"/>
    </row>
    <row r="8" spans="1:14" ht="16.5" customHeight="1">
      <c r="A8" s="32">
        <v>2</v>
      </c>
      <c r="B8" s="32" t="s">
        <v>64</v>
      </c>
      <c r="C8" s="32"/>
      <c r="D8" s="32"/>
      <c r="E8" s="32"/>
      <c r="F8" s="32"/>
      <c r="G8" s="32"/>
      <c r="H8" s="32"/>
      <c r="I8" s="79"/>
      <c r="J8" s="79"/>
      <c r="K8" s="79"/>
      <c r="L8" s="79"/>
      <c r="M8" s="100"/>
      <c r="N8" s="100"/>
    </row>
    <row r="9" spans="1:14" ht="16.5" customHeight="1">
      <c r="A9" s="32">
        <v>3</v>
      </c>
      <c r="B9" s="32" t="s">
        <v>65</v>
      </c>
      <c r="C9" s="32"/>
      <c r="D9" s="32"/>
      <c r="E9" s="32"/>
      <c r="F9" s="32"/>
      <c r="G9" s="32"/>
      <c r="H9" s="32"/>
      <c r="I9" s="32"/>
      <c r="J9" s="32"/>
      <c r="K9" s="79"/>
      <c r="L9" s="79"/>
      <c r="M9" s="100"/>
      <c r="N9" s="100"/>
    </row>
    <row r="10" spans="1:14" ht="16.5" customHeight="1">
      <c r="A10" s="32">
        <v>4</v>
      </c>
      <c r="B10" s="32" t="s">
        <v>66</v>
      </c>
      <c r="C10" s="32"/>
      <c r="D10" s="32"/>
      <c r="E10" s="32"/>
      <c r="F10" s="32"/>
      <c r="G10" s="32"/>
      <c r="H10" s="32"/>
      <c r="I10" s="32"/>
      <c r="J10" s="32"/>
      <c r="K10" s="79"/>
      <c r="L10" s="79"/>
      <c r="M10" s="100"/>
      <c r="N10" s="100"/>
    </row>
    <row r="11" spans="1:14" ht="16.5" customHeight="1">
      <c r="A11" s="32">
        <v>5</v>
      </c>
      <c r="B11" s="23" t="s">
        <v>67</v>
      </c>
      <c r="C11" s="32">
        <v>247</v>
      </c>
      <c r="D11" s="32">
        <v>321</v>
      </c>
      <c r="E11" s="32">
        <f>D11-C11</f>
        <v>74</v>
      </c>
      <c r="F11" s="32">
        <v>98</v>
      </c>
      <c r="G11" s="32">
        <v>116</v>
      </c>
      <c r="H11" s="79">
        <v>516</v>
      </c>
      <c r="I11" s="80">
        <f>G11*100/27</f>
        <v>429.6296296296296</v>
      </c>
      <c r="J11" s="79">
        <f>I11-H11</f>
        <v>-86.37037037037038</v>
      </c>
      <c r="K11" s="32">
        <v>35</v>
      </c>
      <c r="L11" s="32">
        <v>12</v>
      </c>
      <c r="M11" s="100">
        <f>G11/L11</f>
        <v>9.666666666666666</v>
      </c>
      <c r="N11" s="100">
        <f>(D11-G11)/(K11-L11)</f>
        <v>8.91304347826087</v>
      </c>
    </row>
    <row r="12" spans="1:15" ht="16.5" customHeight="1">
      <c r="A12" s="32">
        <v>6</v>
      </c>
      <c r="B12" s="32" t="s">
        <v>68</v>
      </c>
      <c r="C12" s="32">
        <v>443</v>
      </c>
      <c r="D12" s="32">
        <v>366</v>
      </c>
      <c r="E12" s="32">
        <f>D12-C12</f>
        <v>-77</v>
      </c>
      <c r="F12" s="32">
        <v>285</v>
      </c>
      <c r="G12" s="32">
        <v>313</v>
      </c>
      <c r="H12" s="80">
        <v>356</v>
      </c>
      <c r="I12" s="80">
        <f>G12*100/80</f>
        <v>391.25</v>
      </c>
      <c r="J12" s="79">
        <f>I12-H12</f>
        <v>35.25</v>
      </c>
      <c r="K12" s="33">
        <v>41</v>
      </c>
      <c r="L12" s="33">
        <v>34</v>
      </c>
      <c r="M12" s="100">
        <f>G12/L12</f>
        <v>9.205882352941176</v>
      </c>
      <c r="N12" s="100">
        <f>(D12-G12)/(K12-L12)</f>
        <v>7.571428571428571</v>
      </c>
      <c r="O12" s="16"/>
    </row>
    <row r="13" spans="1:14" ht="16.5" customHeight="1">
      <c r="A13" s="32">
        <v>7</v>
      </c>
      <c r="B13" s="33" t="s">
        <v>100</v>
      </c>
      <c r="C13" s="32"/>
      <c r="D13" s="32"/>
      <c r="E13" s="32"/>
      <c r="F13" s="32"/>
      <c r="G13" s="32"/>
      <c r="H13" s="79"/>
      <c r="I13" s="80"/>
      <c r="J13" s="79"/>
      <c r="K13" s="33"/>
      <c r="L13" s="33"/>
      <c r="M13" s="100"/>
      <c r="N13" s="100"/>
    </row>
    <row r="14" spans="1:14" ht="16.5" customHeight="1">
      <c r="A14" s="32">
        <v>8</v>
      </c>
      <c r="B14" s="33" t="s">
        <v>69</v>
      </c>
      <c r="C14" s="32"/>
      <c r="D14" s="32"/>
      <c r="E14" s="32"/>
      <c r="F14" s="32"/>
      <c r="G14" s="32"/>
      <c r="H14" s="79"/>
      <c r="I14" s="80"/>
      <c r="J14" s="79"/>
      <c r="K14" s="33"/>
      <c r="L14" s="33"/>
      <c r="M14" s="100"/>
      <c r="N14" s="100"/>
    </row>
    <row r="15" spans="1:14" ht="16.5" customHeight="1">
      <c r="A15" s="32">
        <v>9</v>
      </c>
      <c r="B15" s="33" t="s">
        <v>99</v>
      </c>
      <c r="C15" s="32"/>
      <c r="D15" s="32"/>
      <c r="E15" s="32"/>
      <c r="F15" s="32"/>
      <c r="G15" s="32"/>
      <c r="H15" s="79"/>
      <c r="I15" s="80"/>
      <c r="J15" s="79"/>
      <c r="K15" s="33"/>
      <c r="L15" s="33"/>
      <c r="M15" s="100"/>
      <c r="N15" s="100"/>
    </row>
    <row r="16" spans="1:14" ht="16.5" customHeight="1">
      <c r="A16" s="32">
        <v>10</v>
      </c>
      <c r="B16" s="33" t="s">
        <v>70</v>
      </c>
      <c r="C16" s="32"/>
      <c r="D16" s="32"/>
      <c r="E16" s="32"/>
      <c r="F16" s="32"/>
      <c r="G16" s="32"/>
      <c r="H16" s="79"/>
      <c r="I16" s="80"/>
      <c r="J16" s="79"/>
      <c r="K16" s="80"/>
      <c r="L16" s="80"/>
      <c r="M16" s="100"/>
      <c r="N16" s="100"/>
    </row>
    <row r="17" spans="1:14" ht="16.5" customHeight="1">
      <c r="A17" s="32">
        <v>11</v>
      </c>
      <c r="B17" s="33" t="s">
        <v>71</v>
      </c>
      <c r="C17" s="32"/>
      <c r="D17" s="32"/>
      <c r="E17" s="32"/>
      <c r="F17" s="32"/>
      <c r="G17" s="32"/>
      <c r="H17" s="79"/>
      <c r="I17" s="80"/>
      <c r="J17" s="79"/>
      <c r="K17" s="33"/>
      <c r="L17" s="33"/>
      <c r="M17" s="100"/>
      <c r="N17" s="100"/>
    </row>
    <row r="18" spans="1:14" ht="16.5" customHeight="1">
      <c r="A18" s="32">
        <v>12</v>
      </c>
      <c r="B18" s="33" t="s">
        <v>72</v>
      </c>
      <c r="C18" s="32">
        <v>3947</v>
      </c>
      <c r="D18" s="32">
        <v>3337</v>
      </c>
      <c r="E18" s="32">
        <f>D18-C18</f>
        <v>-610</v>
      </c>
      <c r="F18" s="32">
        <v>2539</v>
      </c>
      <c r="G18" s="32">
        <v>2376</v>
      </c>
      <c r="H18" s="80">
        <v>1154</v>
      </c>
      <c r="I18" s="80">
        <f>G18*100/200</f>
        <v>1188</v>
      </c>
      <c r="J18" s="79">
        <f>I18-H18</f>
        <v>34</v>
      </c>
      <c r="K18" s="33">
        <v>448</v>
      </c>
      <c r="L18" s="33">
        <v>270</v>
      </c>
      <c r="M18" s="100">
        <f>G18/L18</f>
        <v>8.8</v>
      </c>
      <c r="N18" s="100">
        <f>(D18-G18)/(K18-L18)</f>
        <v>5.398876404494382</v>
      </c>
    </row>
    <row r="19" spans="1:14" ht="15" customHeight="1">
      <c r="A19" s="182" t="s">
        <v>98</v>
      </c>
      <c r="B19" s="178"/>
      <c r="C19" s="32">
        <f>SUM(C11:C18)</f>
        <v>4637</v>
      </c>
      <c r="D19" s="32">
        <f>SUM(D8:D18)</f>
        <v>4024</v>
      </c>
      <c r="E19" s="32">
        <f>D19-C19</f>
        <v>-613</v>
      </c>
      <c r="F19" s="32">
        <f>SUM(F11:F18)</f>
        <v>2922</v>
      </c>
      <c r="G19" s="32">
        <f>SUM(G11:G18)</f>
        <v>2805</v>
      </c>
      <c r="H19" s="79">
        <v>877</v>
      </c>
      <c r="I19" s="80">
        <f>G19*100/307</f>
        <v>913.6807817589577</v>
      </c>
      <c r="J19" s="79">
        <f>I19-H19</f>
        <v>36.680781758957664</v>
      </c>
      <c r="K19" s="79">
        <f>SUM(K8:K18)</f>
        <v>524</v>
      </c>
      <c r="L19" s="79">
        <f>SUM(L8:L18)</f>
        <v>316</v>
      </c>
      <c r="M19" s="100">
        <f>G19/L19</f>
        <v>8.876582278481013</v>
      </c>
      <c r="N19" s="100">
        <f>(D19-G19)/(K19-L19)</f>
        <v>5.860576923076923</v>
      </c>
    </row>
  </sheetData>
  <mergeCells count="9">
    <mergeCell ref="A19:B19"/>
    <mergeCell ref="A3:N3"/>
    <mergeCell ref="F4:G5"/>
    <mergeCell ref="K4:L5"/>
    <mergeCell ref="M4:N5"/>
    <mergeCell ref="B4:B6"/>
    <mergeCell ref="A4:A6"/>
    <mergeCell ref="H4:J5"/>
    <mergeCell ref="C4:E5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65" zoomScaleNormal="75" zoomScaleSheetLayoutView="65" workbookViewId="0" topLeftCell="A1">
      <selection activeCell="A18" sqref="A18:B18"/>
    </sheetView>
  </sheetViews>
  <sheetFormatPr defaultColWidth="9.00390625" defaultRowHeight="12.75"/>
  <cols>
    <col min="1" max="1" width="4.125" style="0" customWidth="1"/>
    <col min="2" max="2" width="28.7539062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.75">
      <c r="A2" s="21"/>
      <c r="B2" s="21"/>
      <c r="C2" s="1" t="s">
        <v>92</v>
      </c>
      <c r="D2" s="1"/>
      <c r="E2" s="1"/>
      <c r="F2" s="21"/>
      <c r="G2" s="21"/>
      <c r="H2" s="21"/>
      <c r="I2" s="21"/>
      <c r="J2" s="21"/>
      <c r="K2" s="21"/>
      <c r="L2" s="21"/>
      <c r="M2" s="21"/>
      <c r="N2" s="21"/>
    </row>
    <row r="3" spans="1:14" ht="15">
      <c r="A3" s="145" t="s">
        <v>2</v>
      </c>
      <c r="B3" s="145" t="s">
        <v>3</v>
      </c>
      <c r="C3" s="25" t="s">
        <v>37</v>
      </c>
      <c r="D3" s="26"/>
      <c r="E3" s="28"/>
      <c r="F3" s="49" t="s">
        <v>38</v>
      </c>
      <c r="G3" s="26"/>
      <c r="H3" s="28"/>
      <c r="I3" s="25" t="s">
        <v>39</v>
      </c>
      <c r="J3" s="26"/>
      <c r="K3" s="28"/>
      <c r="L3" s="25" t="s">
        <v>40</v>
      </c>
      <c r="M3" s="26"/>
      <c r="N3" s="28"/>
    </row>
    <row r="4" spans="1:14" ht="15">
      <c r="A4" s="146"/>
      <c r="B4" s="146"/>
      <c r="C4" s="19">
        <v>2009</v>
      </c>
      <c r="D4" s="20">
        <v>2010</v>
      </c>
      <c r="E4" s="10" t="s">
        <v>36</v>
      </c>
      <c r="F4" s="19">
        <v>2009</v>
      </c>
      <c r="G4" s="20">
        <v>2010</v>
      </c>
      <c r="H4" s="22" t="s">
        <v>36</v>
      </c>
      <c r="I4" s="19">
        <v>2009</v>
      </c>
      <c r="J4" s="20">
        <v>2010</v>
      </c>
      <c r="K4" s="22" t="s">
        <v>36</v>
      </c>
      <c r="L4" s="19">
        <v>2009</v>
      </c>
      <c r="M4" s="20">
        <v>2010</v>
      </c>
      <c r="N4" s="10" t="s">
        <v>36</v>
      </c>
    </row>
    <row r="5" spans="1:14" ht="15">
      <c r="A5" s="147"/>
      <c r="B5" s="147"/>
      <c r="C5" s="30"/>
      <c r="D5" s="30"/>
      <c r="E5" s="45" t="s">
        <v>80</v>
      </c>
      <c r="F5" s="30"/>
      <c r="G5" s="30"/>
      <c r="H5" s="45" t="s">
        <v>80</v>
      </c>
      <c r="I5" s="30"/>
      <c r="J5" s="30"/>
      <c r="K5" s="45" t="s">
        <v>80</v>
      </c>
      <c r="L5" s="30"/>
      <c r="M5" s="30"/>
      <c r="N5" s="45" t="s">
        <v>80</v>
      </c>
    </row>
    <row r="6" spans="1:14" ht="16.5" customHeight="1">
      <c r="A6" s="32">
        <v>1</v>
      </c>
      <c r="B6" s="32" t="s">
        <v>63</v>
      </c>
      <c r="C6" s="13">
        <v>17</v>
      </c>
      <c r="D6" s="13"/>
      <c r="E6" s="17">
        <f>D6-C6</f>
        <v>-17</v>
      </c>
      <c r="F6" s="13">
        <v>11</v>
      </c>
      <c r="G6" s="13"/>
      <c r="H6" s="17">
        <f>G6-F6</f>
        <v>-11</v>
      </c>
      <c r="I6" s="13"/>
      <c r="J6" s="13"/>
      <c r="K6" s="13"/>
      <c r="L6" s="13"/>
      <c r="M6" s="13"/>
      <c r="N6" s="13"/>
    </row>
    <row r="7" spans="1:14" ht="16.5" customHeight="1">
      <c r="A7" s="32">
        <v>2</v>
      </c>
      <c r="B7" s="32" t="s">
        <v>64</v>
      </c>
      <c r="C7" s="13">
        <v>87</v>
      </c>
      <c r="D7" s="13">
        <v>111</v>
      </c>
      <c r="E7" s="17">
        <f aca="true" t="shared" si="0" ref="E7:E16">D7-C7</f>
        <v>24</v>
      </c>
      <c r="F7" s="13">
        <v>17</v>
      </c>
      <c r="G7" s="13">
        <v>20</v>
      </c>
      <c r="H7" s="17">
        <f aca="true" t="shared" si="1" ref="H7:H16">G7-F7</f>
        <v>3</v>
      </c>
      <c r="I7" s="13"/>
      <c r="J7" s="13"/>
      <c r="K7" s="13"/>
      <c r="L7" s="13"/>
      <c r="M7" s="13"/>
      <c r="N7" s="13"/>
    </row>
    <row r="8" spans="1:14" ht="16.5" customHeight="1">
      <c r="A8" s="32">
        <v>3</v>
      </c>
      <c r="B8" s="32" t="s">
        <v>65</v>
      </c>
      <c r="C8" s="13">
        <v>67</v>
      </c>
      <c r="D8" s="13">
        <v>96</v>
      </c>
      <c r="E8" s="17">
        <f t="shared" si="0"/>
        <v>29</v>
      </c>
      <c r="F8" s="13">
        <v>3</v>
      </c>
      <c r="G8" s="13"/>
      <c r="H8" s="17">
        <f t="shared" si="1"/>
        <v>-3</v>
      </c>
      <c r="I8" s="13"/>
      <c r="J8" s="13"/>
      <c r="K8" s="13"/>
      <c r="L8" s="13"/>
      <c r="M8" s="13"/>
      <c r="N8" s="13"/>
    </row>
    <row r="9" spans="1:14" ht="16.5" customHeight="1">
      <c r="A9" s="32">
        <v>4</v>
      </c>
      <c r="B9" s="32" t="s">
        <v>66</v>
      </c>
      <c r="C9" s="13">
        <v>20</v>
      </c>
      <c r="D9" s="13">
        <v>23</v>
      </c>
      <c r="E9" s="17">
        <f t="shared" si="0"/>
        <v>3</v>
      </c>
      <c r="F9" s="13"/>
      <c r="G9" s="13">
        <v>2</v>
      </c>
      <c r="H9" s="17">
        <f t="shared" si="1"/>
        <v>2</v>
      </c>
      <c r="I9" s="13"/>
      <c r="J9" s="13"/>
      <c r="K9" s="13"/>
      <c r="L9" s="13"/>
      <c r="M9" s="13"/>
      <c r="N9" s="13"/>
    </row>
    <row r="10" spans="1:14" ht="16.5" customHeight="1">
      <c r="A10" s="32">
        <v>5</v>
      </c>
      <c r="B10" s="23" t="s">
        <v>67</v>
      </c>
      <c r="C10" s="13">
        <v>230</v>
      </c>
      <c r="D10" s="13">
        <v>174</v>
      </c>
      <c r="E10" s="17">
        <f t="shared" si="0"/>
        <v>-56</v>
      </c>
      <c r="F10" s="13">
        <v>31</v>
      </c>
      <c r="G10" s="13">
        <v>14</v>
      </c>
      <c r="H10" s="17">
        <f t="shared" si="1"/>
        <v>-17</v>
      </c>
      <c r="I10" s="13"/>
      <c r="J10" s="13"/>
      <c r="K10" s="13"/>
      <c r="L10" s="13"/>
      <c r="M10" s="13"/>
      <c r="N10" s="13"/>
    </row>
    <row r="11" spans="1:14" ht="16.5" customHeight="1">
      <c r="A11" s="32">
        <v>6</v>
      </c>
      <c r="B11" s="32" t="s">
        <v>68</v>
      </c>
      <c r="C11" s="13">
        <v>103</v>
      </c>
      <c r="D11" s="13">
        <v>165</v>
      </c>
      <c r="E11" s="17">
        <f t="shared" si="0"/>
        <v>62</v>
      </c>
      <c r="F11" s="13">
        <v>20</v>
      </c>
      <c r="G11" s="13">
        <v>5</v>
      </c>
      <c r="H11" s="17">
        <f t="shared" si="1"/>
        <v>-15</v>
      </c>
      <c r="I11" s="13">
        <v>100</v>
      </c>
      <c r="J11" s="13">
        <v>126</v>
      </c>
      <c r="K11" s="13">
        <f>J11-I11</f>
        <v>26</v>
      </c>
      <c r="L11" s="13">
        <v>8</v>
      </c>
      <c r="M11" s="13">
        <v>8</v>
      </c>
      <c r="N11" s="13">
        <f>M11-L11</f>
        <v>0</v>
      </c>
    </row>
    <row r="12" spans="1:14" ht="16.5" customHeight="1">
      <c r="A12" s="32">
        <v>7</v>
      </c>
      <c r="B12" s="33" t="s">
        <v>100</v>
      </c>
      <c r="C12" s="13">
        <v>84</v>
      </c>
      <c r="D12" s="13">
        <v>53</v>
      </c>
      <c r="E12" s="17">
        <f t="shared" si="0"/>
        <v>-31</v>
      </c>
      <c r="F12" s="13">
        <v>20</v>
      </c>
      <c r="G12" s="13">
        <v>6</v>
      </c>
      <c r="H12" s="17">
        <f t="shared" si="1"/>
        <v>-14</v>
      </c>
      <c r="I12" s="13"/>
      <c r="J12" s="13"/>
      <c r="K12" s="13"/>
      <c r="L12" s="13"/>
      <c r="M12" s="13"/>
      <c r="N12" s="13"/>
    </row>
    <row r="13" spans="1:14" ht="16.5" customHeight="1">
      <c r="A13" s="32">
        <v>8</v>
      </c>
      <c r="B13" s="33" t="s">
        <v>69</v>
      </c>
      <c r="C13" s="13">
        <v>26</v>
      </c>
      <c r="D13" s="13">
        <v>32</v>
      </c>
      <c r="E13" s="17">
        <f t="shared" si="0"/>
        <v>6</v>
      </c>
      <c r="F13" s="13"/>
      <c r="G13" s="13"/>
      <c r="H13" s="17">
        <f t="shared" si="1"/>
        <v>0</v>
      </c>
      <c r="I13" s="13"/>
      <c r="J13" s="13"/>
      <c r="K13" s="13"/>
      <c r="L13" s="13"/>
      <c r="M13" s="13"/>
      <c r="N13" s="13"/>
    </row>
    <row r="14" spans="1:14" ht="16.5" customHeight="1">
      <c r="A14" s="32">
        <v>9</v>
      </c>
      <c r="B14" s="33" t="s">
        <v>99</v>
      </c>
      <c r="C14" s="13">
        <v>42</v>
      </c>
      <c r="D14" s="13">
        <v>81</v>
      </c>
      <c r="E14" s="17">
        <f t="shared" si="0"/>
        <v>39</v>
      </c>
      <c r="F14" s="13">
        <v>8</v>
      </c>
      <c r="G14" s="13">
        <v>20</v>
      </c>
      <c r="H14" s="17">
        <f t="shared" si="1"/>
        <v>12</v>
      </c>
      <c r="I14" s="13"/>
      <c r="J14" s="13"/>
      <c r="K14" s="13"/>
      <c r="L14" s="13"/>
      <c r="M14" s="13"/>
      <c r="N14" s="13"/>
    </row>
    <row r="15" spans="1:14" ht="16.5" customHeight="1">
      <c r="A15" s="32">
        <v>10</v>
      </c>
      <c r="B15" s="33" t="s">
        <v>70</v>
      </c>
      <c r="C15" s="13">
        <v>43</v>
      </c>
      <c r="D15" s="13">
        <v>62</v>
      </c>
      <c r="E15" s="17">
        <f t="shared" si="0"/>
        <v>19</v>
      </c>
      <c r="F15" s="13">
        <v>8</v>
      </c>
      <c r="G15" s="13">
        <v>23</v>
      </c>
      <c r="H15" s="17">
        <f t="shared" si="1"/>
        <v>15</v>
      </c>
      <c r="I15" s="13"/>
      <c r="J15" s="13"/>
      <c r="K15" s="13"/>
      <c r="L15" s="13"/>
      <c r="M15" s="13"/>
      <c r="N15" s="13"/>
    </row>
    <row r="16" spans="1:14" ht="16.5" customHeight="1">
      <c r="A16" s="32">
        <v>11</v>
      </c>
      <c r="B16" s="33" t="s">
        <v>71</v>
      </c>
      <c r="C16" s="13">
        <v>29</v>
      </c>
      <c r="D16" s="13">
        <v>30</v>
      </c>
      <c r="E16" s="17">
        <f t="shared" si="0"/>
        <v>1</v>
      </c>
      <c r="F16" s="13">
        <v>2</v>
      </c>
      <c r="G16" s="13"/>
      <c r="H16" s="17">
        <f t="shared" si="1"/>
        <v>-2</v>
      </c>
      <c r="I16" s="13"/>
      <c r="J16" s="13"/>
      <c r="K16" s="13"/>
      <c r="L16" s="13"/>
      <c r="M16" s="13"/>
      <c r="N16" s="13"/>
    </row>
    <row r="17" spans="1:14" ht="16.5" customHeight="1">
      <c r="A17" s="32">
        <v>12</v>
      </c>
      <c r="B17" s="33" t="s">
        <v>72</v>
      </c>
      <c r="C17" s="98"/>
      <c r="D17" s="17"/>
      <c r="E17" s="17"/>
      <c r="F17" s="17"/>
      <c r="G17" s="17"/>
      <c r="H17" s="17"/>
      <c r="I17" s="13">
        <v>833</v>
      </c>
      <c r="J17" s="13">
        <v>945</v>
      </c>
      <c r="K17" s="13">
        <f>J17-I17</f>
        <v>112</v>
      </c>
      <c r="L17" s="13">
        <v>336</v>
      </c>
      <c r="M17" s="13">
        <v>390</v>
      </c>
      <c r="N17" s="13">
        <f>M17-L17</f>
        <v>54</v>
      </c>
    </row>
    <row r="18" spans="1:14" ht="21" customHeight="1">
      <c r="A18" s="169" t="s">
        <v>98</v>
      </c>
      <c r="B18" s="177"/>
      <c r="C18" s="13">
        <f>SUM(C6:C16)</f>
        <v>748</v>
      </c>
      <c r="D18" s="13">
        <f>SUM(D6:D17)</f>
        <v>827</v>
      </c>
      <c r="E18" s="13">
        <f>D18-C18</f>
        <v>79</v>
      </c>
      <c r="F18" s="13">
        <f>SUM(F6:F17)</f>
        <v>120</v>
      </c>
      <c r="G18" s="13">
        <f>SUM(G6:G17)</f>
        <v>90</v>
      </c>
      <c r="H18" s="13">
        <f>G18-F18</f>
        <v>-30</v>
      </c>
      <c r="I18" s="13">
        <f>SUM(I6:I17)</f>
        <v>933</v>
      </c>
      <c r="J18" s="13">
        <f>SUM(J10:J17)</f>
        <v>1071</v>
      </c>
      <c r="K18" s="13">
        <f>J18-I18</f>
        <v>138</v>
      </c>
      <c r="L18" s="13">
        <f>SUM(L10:L17)</f>
        <v>344</v>
      </c>
      <c r="M18" s="13">
        <f>SUM(M10:M17)</f>
        <v>398</v>
      </c>
      <c r="N18" s="13">
        <f>M18-L18</f>
        <v>54</v>
      </c>
    </row>
  </sheetData>
  <mergeCells count="3">
    <mergeCell ref="B3:B5"/>
    <mergeCell ref="A3:A5"/>
    <mergeCell ref="A18:B18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65" zoomScaleNormal="75" zoomScaleSheetLayoutView="65" workbookViewId="0" topLeftCell="A1">
      <selection activeCell="J17" sqref="J17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168" t="s">
        <v>91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15">
      <c r="A2" s="154" t="s">
        <v>111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">
      <c r="A4" s="171" t="s">
        <v>2</v>
      </c>
      <c r="B4" s="171" t="s">
        <v>3</v>
      </c>
      <c r="C4" s="25" t="s">
        <v>27</v>
      </c>
      <c r="D4" s="26"/>
      <c r="E4" s="28"/>
      <c r="F4" s="6" t="s">
        <v>28</v>
      </c>
      <c r="G4" s="8"/>
      <c r="H4" s="24" t="s">
        <v>30</v>
      </c>
      <c r="I4" s="35" t="s">
        <v>31</v>
      </c>
      <c r="J4" s="22"/>
      <c r="K4" s="24" t="s">
        <v>30</v>
      </c>
      <c r="L4" s="50" t="s">
        <v>33</v>
      </c>
      <c r="M4" s="22"/>
      <c r="N4" s="24" t="s">
        <v>30</v>
      </c>
    </row>
    <row r="5" spans="1:14" ht="15">
      <c r="A5" s="172"/>
      <c r="B5" s="172"/>
      <c r="C5" s="19">
        <v>2009</v>
      </c>
      <c r="D5" s="20">
        <v>2010</v>
      </c>
      <c r="E5" s="20" t="s">
        <v>77</v>
      </c>
      <c r="F5" s="19">
        <v>2009</v>
      </c>
      <c r="G5" s="20">
        <v>2010</v>
      </c>
      <c r="H5" s="44" t="s">
        <v>29</v>
      </c>
      <c r="I5" s="31" t="s">
        <v>32</v>
      </c>
      <c r="J5" s="29"/>
      <c r="K5" s="44" t="s">
        <v>29</v>
      </c>
      <c r="L5" s="52" t="s">
        <v>34</v>
      </c>
      <c r="M5" s="29"/>
      <c r="N5" s="44" t="s">
        <v>29</v>
      </c>
    </row>
    <row r="6" spans="1:14" ht="15">
      <c r="A6" s="172"/>
      <c r="B6" s="172"/>
      <c r="C6" s="40"/>
      <c r="D6" s="12"/>
      <c r="E6" s="12" t="s">
        <v>78</v>
      </c>
      <c r="F6" s="30"/>
      <c r="G6" s="29"/>
      <c r="H6" s="30" t="s">
        <v>81</v>
      </c>
      <c r="I6" s="19">
        <v>2009</v>
      </c>
      <c r="J6" s="20">
        <v>2010</v>
      </c>
      <c r="K6" s="12" t="s">
        <v>81</v>
      </c>
      <c r="L6" s="19">
        <v>2009</v>
      </c>
      <c r="M6" s="20">
        <v>2010</v>
      </c>
      <c r="N6" s="12" t="s">
        <v>81</v>
      </c>
    </row>
    <row r="7" spans="1:14" ht="16.5" customHeight="1">
      <c r="A7" s="32">
        <v>1</v>
      </c>
      <c r="B7" s="32" t="s">
        <v>63</v>
      </c>
      <c r="C7" s="37">
        <v>12</v>
      </c>
      <c r="D7" s="37"/>
      <c r="E7" s="37"/>
      <c r="F7" s="37">
        <v>6</v>
      </c>
      <c r="G7" s="37"/>
      <c r="H7" s="37">
        <f aca="true" t="shared" si="0" ref="H7:H19">G7-F7</f>
        <v>-6</v>
      </c>
      <c r="I7" s="37">
        <v>30</v>
      </c>
      <c r="J7" s="37"/>
      <c r="K7" s="37">
        <f aca="true" t="shared" si="1" ref="K7:K19">J7-I7</f>
        <v>-30</v>
      </c>
      <c r="L7" s="37">
        <v>30</v>
      </c>
      <c r="M7" s="37"/>
      <c r="N7" s="37">
        <f>M7-L7</f>
        <v>-30</v>
      </c>
    </row>
    <row r="8" spans="1:14" ht="16.5" customHeight="1">
      <c r="A8" s="32">
        <v>2</v>
      </c>
      <c r="B8" s="32" t="s">
        <v>64</v>
      </c>
      <c r="C8" s="37">
        <v>97</v>
      </c>
      <c r="D8" s="37">
        <v>99</v>
      </c>
      <c r="E8" s="37">
        <f aca="true" t="shared" si="2" ref="E8:E19">D8*100/C8</f>
        <v>102.0618556701031</v>
      </c>
      <c r="F8" s="37">
        <v>92</v>
      </c>
      <c r="G8" s="37">
        <v>99</v>
      </c>
      <c r="H8" s="37">
        <f t="shared" si="0"/>
        <v>7</v>
      </c>
      <c r="I8" s="37">
        <v>46</v>
      </c>
      <c r="J8" s="37">
        <f>G8*100/180</f>
        <v>55</v>
      </c>
      <c r="K8" s="37">
        <f t="shared" si="1"/>
        <v>9</v>
      </c>
      <c r="L8" s="37">
        <v>3</v>
      </c>
      <c r="M8" s="37">
        <f>(D8-G8)*100/180</f>
        <v>0</v>
      </c>
      <c r="N8" s="37">
        <f>M8-L8</f>
        <v>-3</v>
      </c>
    </row>
    <row r="9" spans="1:14" ht="16.5" customHeight="1">
      <c r="A9" s="32">
        <v>3</v>
      </c>
      <c r="B9" s="32" t="s">
        <v>65</v>
      </c>
      <c r="C9" s="37">
        <v>55</v>
      </c>
      <c r="D9" s="37">
        <v>57</v>
      </c>
      <c r="E9" s="37">
        <f t="shared" si="2"/>
        <v>103.63636363636364</v>
      </c>
      <c r="F9" s="37">
        <v>42</v>
      </c>
      <c r="G9" s="37">
        <v>56</v>
      </c>
      <c r="H9" s="37">
        <f t="shared" si="0"/>
        <v>14</v>
      </c>
      <c r="I9" s="37">
        <v>40</v>
      </c>
      <c r="J9" s="37">
        <f>G9*100/105</f>
        <v>53.333333333333336</v>
      </c>
      <c r="K9" s="37">
        <f>J9-I9</f>
        <v>13.333333333333336</v>
      </c>
      <c r="L9" s="37">
        <v>12</v>
      </c>
      <c r="M9" s="37">
        <f>(D9-G9)*100/105</f>
        <v>0.9523809523809523</v>
      </c>
      <c r="N9" s="37">
        <f>M9-L9</f>
        <v>-11.047619047619047</v>
      </c>
    </row>
    <row r="10" spans="1:14" ht="16.5" customHeight="1">
      <c r="A10" s="32">
        <v>4</v>
      </c>
      <c r="B10" s="32" t="s">
        <v>66</v>
      </c>
      <c r="C10" s="37">
        <v>26</v>
      </c>
      <c r="D10" s="37">
        <v>23</v>
      </c>
      <c r="E10" s="37">
        <f t="shared" si="2"/>
        <v>88.46153846153847</v>
      </c>
      <c r="F10" s="37">
        <v>26</v>
      </c>
      <c r="G10" s="37">
        <v>23</v>
      </c>
      <c r="H10" s="37">
        <f t="shared" si="0"/>
        <v>-3</v>
      </c>
      <c r="I10" s="37">
        <v>48</v>
      </c>
      <c r="J10" s="37">
        <f>G10*100/54</f>
        <v>42.592592592592595</v>
      </c>
      <c r="K10" s="37">
        <f>J10-I10</f>
        <v>-5.407407407407405</v>
      </c>
      <c r="L10" s="37">
        <v>0</v>
      </c>
      <c r="M10" s="37">
        <f>(D10-G10)*100/54</f>
        <v>0</v>
      </c>
      <c r="N10" s="37">
        <f>M10-L10</f>
        <v>0</v>
      </c>
    </row>
    <row r="11" spans="1:14" ht="16.5" customHeight="1">
      <c r="A11" s="32">
        <v>5</v>
      </c>
      <c r="B11" s="23" t="s">
        <v>67</v>
      </c>
      <c r="C11" s="37">
        <v>136</v>
      </c>
      <c r="D11" s="37">
        <v>56</v>
      </c>
      <c r="E11" s="37">
        <f t="shared" si="2"/>
        <v>41.1764705882353</v>
      </c>
      <c r="F11" s="37">
        <v>125</v>
      </c>
      <c r="G11" s="37">
        <v>52</v>
      </c>
      <c r="H11" s="37">
        <f t="shared" si="0"/>
        <v>-73</v>
      </c>
      <c r="I11" s="37">
        <v>41</v>
      </c>
      <c r="J11" s="37">
        <f>G11*100/304</f>
        <v>17.105263157894736</v>
      </c>
      <c r="K11" s="37">
        <f t="shared" si="1"/>
        <v>-23.894736842105264</v>
      </c>
      <c r="L11" s="37">
        <v>4</v>
      </c>
      <c r="M11" s="37">
        <f>(D11-G11)*100/304</f>
        <v>1.3157894736842106</v>
      </c>
      <c r="N11" s="37">
        <f aca="true" t="shared" si="3" ref="N11:N19">M11-L11</f>
        <v>-2.6842105263157894</v>
      </c>
    </row>
    <row r="12" spans="1:14" ht="16.5" customHeight="1">
      <c r="A12" s="32">
        <v>6</v>
      </c>
      <c r="B12" s="32" t="s">
        <v>68</v>
      </c>
      <c r="C12" s="37">
        <v>119</v>
      </c>
      <c r="D12" s="37">
        <v>89</v>
      </c>
      <c r="E12" s="37">
        <f t="shared" si="2"/>
        <v>74.78991596638656</v>
      </c>
      <c r="F12" s="37">
        <v>77</v>
      </c>
      <c r="G12" s="37">
        <v>77</v>
      </c>
      <c r="H12" s="37">
        <f t="shared" si="0"/>
        <v>0</v>
      </c>
      <c r="I12" s="37">
        <v>28</v>
      </c>
      <c r="J12" s="37">
        <f>G12*100/250</f>
        <v>30.8</v>
      </c>
      <c r="K12" s="37">
        <f t="shared" si="1"/>
        <v>2.8000000000000007</v>
      </c>
      <c r="L12" s="37">
        <v>15</v>
      </c>
      <c r="M12" s="37">
        <f>(D12-G12)*100/250</f>
        <v>4.8</v>
      </c>
      <c r="N12" s="37">
        <f t="shared" si="3"/>
        <v>-10.2</v>
      </c>
    </row>
    <row r="13" spans="1:14" ht="16.5" customHeight="1">
      <c r="A13" s="32">
        <v>7</v>
      </c>
      <c r="B13" s="33" t="s">
        <v>100</v>
      </c>
      <c r="C13" s="94">
        <v>76</v>
      </c>
      <c r="D13" s="94">
        <v>63</v>
      </c>
      <c r="E13" s="37">
        <f t="shared" si="2"/>
        <v>82.89473684210526</v>
      </c>
      <c r="F13" s="94">
        <v>59</v>
      </c>
      <c r="G13" s="94">
        <v>60</v>
      </c>
      <c r="H13" s="37">
        <f t="shared" si="0"/>
        <v>1</v>
      </c>
      <c r="I13" s="94">
        <v>69</v>
      </c>
      <c r="J13" s="94">
        <f>G13*100/85</f>
        <v>70.58823529411765</v>
      </c>
      <c r="K13" s="37">
        <f t="shared" si="1"/>
        <v>1.588235294117652</v>
      </c>
      <c r="L13" s="37">
        <v>20</v>
      </c>
      <c r="M13" s="37">
        <f>(D13-G13)*100/85</f>
        <v>3.5294117647058822</v>
      </c>
      <c r="N13" s="94">
        <f t="shared" si="3"/>
        <v>-16.470588235294116</v>
      </c>
    </row>
    <row r="14" spans="1:14" ht="16.5" customHeight="1">
      <c r="A14" s="32">
        <v>8</v>
      </c>
      <c r="B14" s="33" t="s">
        <v>69</v>
      </c>
      <c r="C14" s="94">
        <v>42</v>
      </c>
      <c r="D14" s="94">
        <v>39</v>
      </c>
      <c r="E14" s="37">
        <f t="shared" si="2"/>
        <v>92.85714285714286</v>
      </c>
      <c r="F14" s="94">
        <v>40</v>
      </c>
      <c r="G14" s="94">
        <v>31</v>
      </c>
      <c r="H14" s="37">
        <f t="shared" si="0"/>
        <v>-9</v>
      </c>
      <c r="I14" s="94">
        <v>58</v>
      </c>
      <c r="J14" s="94">
        <f>G14*100/52</f>
        <v>59.61538461538461</v>
      </c>
      <c r="K14" s="37">
        <f t="shared" si="1"/>
        <v>1.6153846153846132</v>
      </c>
      <c r="L14" s="37">
        <v>3</v>
      </c>
      <c r="M14" s="37">
        <f>(D14-G14)*100/52</f>
        <v>15.384615384615385</v>
      </c>
      <c r="N14" s="94">
        <f t="shared" si="3"/>
        <v>12.384615384615385</v>
      </c>
    </row>
    <row r="15" spans="1:14" ht="16.5" customHeight="1">
      <c r="A15" s="32">
        <v>9</v>
      </c>
      <c r="B15" s="33" t="s">
        <v>99</v>
      </c>
      <c r="C15" s="94">
        <v>44</v>
      </c>
      <c r="D15" s="94">
        <v>56</v>
      </c>
      <c r="E15" s="37">
        <f t="shared" si="2"/>
        <v>127.27272727272727</v>
      </c>
      <c r="F15" s="94">
        <v>44</v>
      </c>
      <c r="G15" s="94">
        <v>49</v>
      </c>
      <c r="H15" s="37">
        <f t="shared" si="0"/>
        <v>5</v>
      </c>
      <c r="I15" s="94">
        <v>92</v>
      </c>
      <c r="J15" s="94">
        <f>G15*100/60</f>
        <v>81.66666666666667</v>
      </c>
      <c r="K15" s="37">
        <f t="shared" si="1"/>
        <v>-10.333333333333329</v>
      </c>
      <c r="L15" s="37">
        <v>0</v>
      </c>
      <c r="M15" s="37">
        <f>(D15-G15)*100/60</f>
        <v>11.666666666666666</v>
      </c>
      <c r="N15" s="94">
        <f t="shared" si="3"/>
        <v>11.666666666666666</v>
      </c>
    </row>
    <row r="16" spans="1:14" ht="16.5" customHeight="1">
      <c r="A16" s="32">
        <v>10</v>
      </c>
      <c r="B16" s="33" t="s">
        <v>70</v>
      </c>
      <c r="C16" s="94">
        <v>91</v>
      </c>
      <c r="D16" s="94">
        <v>56</v>
      </c>
      <c r="E16" s="37">
        <f t="shared" si="2"/>
        <v>61.53846153846154</v>
      </c>
      <c r="F16" s="94">
        <v>78</v>
      </c>
      <c r="G16" s="94">
        <v>42</v>
      </c>
      <c r="H16" s="37">
        <f t="shared" si="0"/>
        <v>-36</v>
      </c>
      <c r="I16" s="94">
        <v>78</v>
      </c>
      <c r="J16" s="94">
        <f>G16*100/100</f>
        <v>42</v>
      </c>
      <c r="K16" s="37">
        <f t="shared" si="1"/>
        <v>-36</v>
      </c>
      <c r="L16" s="37">
        <v>13</v>
      </c>
      <c r="M16" s="37">
        <f>(D16-G16)*100/100</f>
        <v>14</v>
      </c>
      <c r="N16" s="94">
        <f t="shared" si="3"/>
        <v>1</v>
      </c>
    </row>
    <row r="17" spans="1:14" ht="16.5" customHeight="1">
      <c r="A17" s="32">
        <v>11</v>
      </c>
      <c r="B17" s="33" t="s">
        <v>71</v>
      </c>
      <c r="C17" s="94">
        <v>30</v>
      </c>
      <c r="D17" s="94">
        <v>25</v>
      </c>
      <c r="E17" s="37">
        <f t="shared" si="2"/>
        <v>83.33333333333333</v>
      </c>
      <c r="F17" s="94">
        <v>30</v>
      </c>
      <c r="G17" s="94">
        <v>25</v>
      </c>
      <c r="H17" s="37">
        <f t="shared" si="0"/>
        <v>-5</v>
      </c>
      <c r="I17" s="94">
        <v>71</v>
      </c>
      <c r="J17" s="94">
        <f>G17*100/42</f>
        <v>59.523809523809526</v>
      </c>
      <c r="K17" s="37">
        <f t="shared" si="1"/>
        <v>-11.476190476190474</v>
      </c>
      <c r="L17" s="37">
        <v>0</v>
      </c>
      <c r="M17" s="37">
        <f>(D17-G17)*100/42</f>
        <v>0</v>
      </c>
      <c r="N17" s="94">
        <f t="shared" si="3"/>
        <v>0</v>
      </c>
    </row>
    <row r="18" spans="1:14" ht="16.5" customHeight="1">
      <c r="A18" s="32">
        <v>12</v>
      </c>
      <c r="B18" s="33" t="s">
        <v>72</v>
      </c>
      <c r="C18" s="91"/>
      <c r="D18" s="94"/>
      <c r="E18" s="37"/>
      <c r="F18" s="91"/>
      <c r="G18" s="94"/>
      <c r="H18" s="37"/>
      <c r="I18" s="4"/>
      <c r="J18" s="94"/>
      <c r="K18" s="37"/>
      <c r="L18" s="37"/>
      <c r="M18" s="37"/>
      <c r="N18" s="94"/>
    </row>
    <row r="19" spans="1:14" ht="16.5" customHeight="1">
      <c r="A19" s="169" t="s">
        <v>98</v>
      </c>
      <c r="B19" s="170"/>
      <c r="C19" s="37">
        <f>SUM(C7:C17)</f>
        <v>728</v>
      </c>
      <c r="D19" s="4">
        <f>SUM(D7:D18)</f>
        <v>563</v>
      </c>
      <c r="E19" s="37">
        <f t="shared" si="2"/>
        <v>77.33516483516483</v>
      </c>
      <c r="F19" s="4">
        <f>SUM(F7:F17)</f>
        <v>619</v>
      </c>
      <c r="G19" s="4">
        <f>SUM(G7:G18)</f>
        <v>514</v>
      </c>
      <c r="H19" s="37">
        <f t="shared" si="0"/>
        <v>-105</v>
      </c>
      <c r="I19" s="37">
        <v>47</v>
      </c>
      <c r="J19" s="37">
        <f>G19*100/1232</f>
        <v>41.72077922077922</v>
      </c>
      <c r="K19" s="37">
        <f t="shared" si="1"/>
        <v>-5.279220779220779</v>
      </c>
      <c r="L19" s="37">
        <v>8</v>
      </c>
      <c r="M19" s="37">
        <f>(D19-G19)*100/1232</f>
        <v>3.977272727272727</v>
      </c>
      <c r="N19" s="37">
        <f t="shared" si="3"/>
        <v>-4.022727272727273</v>
      </c>
    </row>
  </sheetData>
  <mergeCells count="5">
    <mergeCell ref="A2:N2"/>
    <mergeCell ref="A1:N1"/>
    <mergeCell ref="A19:B19"/>
    <mergeCell ref="B4:B6"/>
    <mergeCell ref="A4:A6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0" zoomScaleNormal="75" zoomScaleSheetLayoutView="70" workbookViewId="0" topLeftCell="A1">
      <selection activeCell="A17" sqref="A17:B17"/>
    </sheetView>
  </sheetViews>
  <sheetFormatPr defaultColWidth="9.00390625" defaultRowHeight="12.75"/>
  <cols>
    <col min="1" max="1" width="3.75390625" style="21" customWidth="1"/>
    <col min="2" max="2" width="29.75390625" style="21" customWidth="1"/>
    <col min="3" max="3" width="12.125" style="21" customWidth="1"/>
    <col min="4" max="4" width="14.625" style="21" customWidth="1"/>
    <col min="5" max="5" width="13.00390625" style="21" customWidth="1"/>
    <col min="6" max="6" width="13.25390625" style="21" customWidth="1"/>
    <col min="7" max="16384" width="9.125" style="21" customWidth="1"/>
  </cols>
  <sheetData>
    <row r="1" spans="1:9" ht="15.75" customHeight="1">
      <c r="A1" s="154" t="s">
        <v>12</v>
      </c>
      <c r="B1" s="154"/>
      <c r="C1" s="154"/>
      <c r="D1" s="154"/>
      <c r="E1" s="154"/>
      <c r="F1" s="154"/>
      <c r="G1" s="81"/>
      <c r="H1" s="81"/>
      <c r="I1" s="81"/>
    </row>
    <row r="2" spans="1:9" ht="15.75">
      <c r="A2" s="173" t="s">
        <v>90</v>
      </c>
      <c r="B2" s="173"/>
      <c r="C2" s="173"/>
      <c r="D2" s="173"/>
      <c r="E2" s="173"/>
      <c r="F2" s="173"/>
      <c r="G2" s="81"/>
      <c r="H2" s="81"/>
      <c r="I2" s="81"/>
    </row>
    <row r="3" spans="1:9" ht="15">
      <c r="A3" s="5" t="s">
        <v>2</v>
      </c>
      <c r="B3" s="5" t="s">
        <v>3</v>
      </c>
      <c r="C3" s="6" t="s">
        <v>46</v>
      </c>
      <c r="D3" s="7"/>
      <c r="E3" s="6" t="s">
        <v>47</v>
      </c>
      <c r="F3" s="8"/>
      <c r="G3" s="81"/>
      <c r="H3" s="81"/>
      <c r="I3" s="81"/>
    </row>
    <row r="4" spans="1:9" ht="15">
      <c r="A4" s="9"/>
      <c r="B4" s="9"/>
      <c r="C4" s="19">
        <v>2009</v>
      </c>
      <c r="D4" s="20">
        <v>2010</v>
      </c>
      <c r="E4" s="19">
        <v>2009</v>
      </c>
      <c r="F4" s="20">
        <v>2010</v>
      </c>
      <c r="G4" s="81"/>
      <c r="H4" s="81"/>
      <c r="I4" s="81"/>
    </row>
    <row r="5" spans="1:9" ht="15">
      <c r="A5" s="4">
        <v>1</v>
      </c>
      <c r="B5" s="23" t="s">
        <v>63</v>
      </c>
      <c r="C5" s="37">
        <v>8</v>
      </c>
      <c r="D5" s="37"/>
      <c r="E5" s="37">
        <v>5</v>
      </c>
      <c r="F5" s="37"/>
      <c r="H5" s="81"/>
      <c r="I5" s="81"/>
    </row>
    <row r="6" spans="1:9" ht="15">
      <c r="A6" s="4">
        <v>2</v>
      </c>
      <c r="B6" s="23" t="s">
        <v>64</v>
      </c>
      <c r="C6" s="37">
        <v>89</v>
      </c>
      <c r="D6" s="37">
        <f>(молоко!D7*1000)/1875</f>
        <v>92.26666666666667</v>
      </c>
      <c r="E6" s="37">
        <v>27</v>
      </c>
      <c r="F6" s="37">
        <f>(мясо!D8*1000)/1875</f>
        <v>6.56</v>
      </c>
      <c r="H6" s="81"/>
      <c r="I6" s="81"/>
    </row>
    <row r="7" spans="1:9" ht="15">
      <c r="A7" s="4">
        <v>3</v>
      </c>
      <c r="B7" s="23" t="s">
        <v>65</v>
      </c>
      <c r="C7" s="37">
        <v>113</v>
      </c>
      <c r="D7" s="37">
        <f>(молоко!D8*1000)/799</f>
        <v>170.2127659574468</v>
      </c>
      <c r="E7" s="37">
        <v>9</v>
      </c>
      <c r="F7" s="37">
        <f>(мясо!D9*1000)/799</f>
        <v>2.5031289111389237</v>
      </c>
      <c r="H7" s="81"/>
      <c r="I7" s="81"/>
    </row>
    <row r="8" spans="1:9" ht="15">
      <c r="A8" s="4">
        <v>4</v>
      </c>
      <c r="B8" s="23" t="s">
        <v>66</v>
      </c>
      <c r="C8" s="37">
        <v>35</v>
      </c>
      <c r="D8" s="37">
        <f>(молоко!D9*1000)/2025</f>
        <v>38.02469135802469</v>
      </c>
      <c r="E8" s="37">
        <v>2</v>
      </c>
      <c r="F8" s="37">
        <f>(мясо!D10*1000)/2025</f>
        <v>0.5432098765432098</v>
      </c>
      <c r="H8" s="81"/>
      <c r="I8" s="81"/>
    </row>
    <row r="9" spans="1:9" ht="15">
      <c r="A9" s="4">
        <v>5</v>
      </c>
      <c r="B9" s="39" t="s">
        <v>67</v>
      </c>
      <c r="C9" s="37">
        <v>121</v>
      </c>
      <c r="D9" s="37">
        <f>(молоко!D10*1000)/2478</f>
        <v>168.92655367231637</v>
      </c>
      <c r="E9" s="37">
        <v>16</v>
      </c>
      <c r="F9" s="37">
        <f>(мясо!D11*1000)/2478</f>
        <v>13.27683615819209</v>
      </c>
      <c r="H9" s="81"/>
      <c r="I9" s="81"/>
    </row>
    <row r="10" spans="1:9" ht="15">
      <c r="A10" s="4">
        <v>6</v>
      </c>
      <c r="B10" s="23" t="s">
        <v>68</v>
      </c>
      <c r="C10" s="37">
        <v>81</v>
      </c>
      <c r="D10" s="37">
        <f>(молоко!D11*1000)/2157</f>
        <v>122.39221140472878</v>
      </c>
      <c r="E10" s="37">
        <v>29</v>
      </c>
      <c r="F10" s="37">
        <f>(мясо!D12*1000)/2157</f>
        <v>11.86833565136764</v>
      </c>
      <c r="H10" s="81"/>
      <c r="I10" s="81"/>
    </row>
    <row r="11" spans="1:9" ht="15">
      <c r="A11" s="4">
        <v>7</v>
      </c>
      <c r="B11" s="39" t="s">
        <v>100</v>
      </c>
      <c r="C11" s="37">
        <v>178</v>
      </c>
      <c r="D11" s="37">
        <f>(молоко!D12*1000)/859</f>
        <v>179.51105937136205</v>
      </c>
      <c r="E11" s="37">
        <v>18</v>
      </c>
      <c r="F11" s="37">
        <f>(мясо!D13*1000)/859</f>
        <v>13.853317811408616</v>
      </c>
      <c r="H11" s="81"/>
      <c r="I11" s="81"/>
    </row>
    <row r="12" spans="1:9" ht="15">
      <c r="A12" s="4">
        <v>8</v>
      </c>
      <c r="B12" s="39" t="s">
        <v>69</v>
      </c>
      <c r="C12" s="37">
        <v>52</v>
      </c>
      <c r="D12" s="37">
        <f>(молоко!D13*1000)/1482</f>
        <v>38.8663967611336</v>
      </c>
      <c r="E12" s="37">
        <v>12</v>
      </c>
      <c r="F12" s="37">
        <f>(мясо!D14*1000)/1482</f>
        <v>5.330634278002699</v>
      </c>
      <c r="H12" s="81"/>
      <c r="I12" s="81"/>
    </row>
    <row r="13" spans="1:9" ht="15.75" customHeight="1">
      <c r="A13" s="4">
        <v>9</v>
      </c>
      <c r="B13" s="33" t="s">
        <v>99</v>
      </c>
      <c r="C13" s="37">
        <v>77</v>
      </c>
      <c r="D13" s="37">
        <f>(молоко!D14*1000)/1077</f>
        <v>137.51160631383473</v>
      </c>
      <c r="E13" s="37">
        <v>2</v>
      </c>
      <c r="F13" s="37">
        <f>(мясо!D15*1000)/1077</f>
        <v>5.199628597957289</v>
      </c>
      <c r="H13" s="81"/>
      <c r="I13" s="81"/>
    </row>
    <row r="14" spans="1:9" ht="15">
      <c r="A14" s="4">
        <v>10</v>
      </c>
      <c r="B14" s="39" t="s">
        <v>70</v>
      </c>
      <c r="C14" s="37">
        <v>78</v>
      </c>
      <c r="D14" s="37">
        <f>(молоко!D15*1000)/1084</f>
        <v>67.80442804428044</v>
      </c>
      <c r="E14" s="37">
        <v>10</v>
      </c>
      <c r="F14" s="37">
        <f>(мясо!D16*1000)/1084</f>
        <v>8.210332103321033</v>
      </c>
      <c r="H14" s="81"/>
      <c r="I14" s="81"/>
    </row>
    <row r="15" spans="1:9" ht="15">
      <c r="A15" s="4">
        <v>11</v>
      </c>
      <c r="B15" s="39" t="s">
        <v>71</v>
      </c>
      <c r="C15" s="37">
        <v>109</v>
      </c>
      <c r="D15" s="37">
        <f>(молоко!D16*1000)/674</f>
        <v>95.99406528189911</v>
      </c>
      <c r="E15" s="37">
        <v>9</v>
      </c>
      <c r="F15" s="37">
        <f>(мясо!D17*1000)/674</f>
        <v>5.489614243323442</v>
      </c>
      <c r="H15" s="81"/>
      <c r="I15" s="81"/>
    </row>
    <row r="16" spans="1:9" ht="15">
      <c r="A16" s="4">
        <v>12</v>
      </c>
      <c r="B16" s="39" t="s">
        <v>72</v>
      </c>
      <c r="C16" s="4"/>
      <c r="D16" s="37"/>
      <c r="E16" s="37">
        <v>218</v>
      </c>
      <c r="F16" s="37">
        <f>(мясо!D18*1000)/983</f>
        <v>280.7731434384537</v>
      </c>
      <c r="H16" s="81"/>
      <c r="I16" s="81"/>
    </row>
    <row r="17" spans="1:6" ht="15">
      <c r="A17" s="169" t="s">
        <v>98</v>
      </c>
      <c r="B17" s="177"/>
      <c r="C17" s="37">
        <v>59</v>
      </c>
      <c r="D17" s="37">
        <f>(молоко!D18*1000)/22877</f>
        <v>68.48362984657078</v>
      </c>
      <c r="E17" s="37">
        <v>22</v>
      </c>
      <c r="F17" s="37">
        <f>(мясо!D20*1000)/22877</f>
        <v>16.955894566595273</v>
      </c>
    </row>
  </sheetData>
  <mergeCells count="3">
    <mergeCell ref="A1:F1"/>
    <mergeCell ref="A2:F2"/>
    <mergeCell ref="A17:B17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70" zoomScaleNormal="75" zoomScaleSheetLayoutView="70" workbookViewId="0" topLeftCell="A1">
      <selection activeCell="F12" sqref="F12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21"/>
      <c r="B1" s="15"/>
      <c r="C1" s="43" t="s">
        <v>89</v>
      </c>
      <c r="D1" s="43"/>
      <c r="E1" s="43"/>
      <c r="F1" s="15"/>
      <c r="G1" s="15"/>
      <c r="H1" s="15"/>
      <c r="I1" s="15"/>
      <c r="J1" s="15"/>
      <c r="K1" s="15"/>
    </row>
    <row r="2" spans="1:11" ht="18">
      <c r="A2" s="21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8">
      <c r="A3" s="145" t="s">
        <v>2</v>
      </c>
      <c r="B3" s="174" t="s">
        <v>3</v>
      </c>
      <c r="C3" s="54" t="s">
        <v>13</v>
      </c>
      <c r="D3" s="55"/>
      <c r="E3" s="56"/>
      <c r="F3" s="57" t="s">
        <v>14</v>
      </c>
      <c r="G3" s="58" t="s">
        <v>17</v>
      </c>
      <c r="H3" s="59" t="s">
        <v>19</v>
      </c>
      <c r="I3" s="60"/>
      <c r="J3" s="53"/>
      <c r="K3" s="53" t="s">
        <v>20</v>
      </c>
    </row>
    <row r="4" spans="1:11" ht="18">
      <c r="A4" s="146"/>
      <c r="B4" s="146"/>
      <c r="C4" s="61">
        <v>2009</v>
      </c>
      <c r="D4" s="57">
        <v>2010</v>
      </c>
      <c r="E4" s="57" t="s">
        <v>77</v>
      </c>
      <c r="F4" s="62" t="s">
        <v>15</v>
      </c>
      <c r="G4" s="63" t="s">
        <v>18</v>
      </c>
      <c r="H4" s="61">
        <v>2009</v>
      </c>
      <c r="I4" s="57">
        <v>2010</v>
      </c>
      <c r="J4" s="57" t="s">
        <v>77</v>
      </c>
      <c r="K4" s="64" t="s">
        <v>21</v>
      </c>
    </row>
    <row r="5" spans="1:11" ht="18">
      <c r="A5" s="147"/>
      <c r="B5" s="147"/>
      <c r="C5" s="65"/>
      <c r="D5" s="66"/>
      <c r="E5" s="66" t="s">
        <v>78</v>
      </c>
      <c r="F5" s="66" t="s">
        <v>16</v>
      </c>
      <c r="G5" s="67"/>
      <c r="H5" s="68"/>
      <c r="I5" s="69"/>
      <c r="J5" s="66" t="s">
        <v>78</v>
      </c>
      <c r="K5" s="70" t="s">
        <v>0</v>
      </c>
    </row>
    <row r="6" spans="1:11" ht="16.5" customHeight="1">
      <c r="A6" s="32">
        <v>1</v>
      </c>
      <c r="B6" s="71" t="s">
        <v>63</v>
      </c>
      <c r="C6" s="13">
        <v>12.47</v>
      </c>
      <c r="D6" s="13"/>
      <c r="E6" s="14"/>
      <c r="F6" s="13"/>
      <c r="G6" s="14"/>
      <c r="H6" s="14">
        <v>680</v>
      </c>
      <c r="I6" s="14"/>
      <c r="J6" s="14"/>
      <c r="K6" s="13"/>
    </row>
    <row r="7" spans="1:11" ht="16.5" customHeight="1">
      <c r="A7" s="32">
        <v>2</v>
      </c>
      <c r="B7" s="71" t="s">
        <v>64</v>
      </c>
      <c r="C7" s="13">
        <v>166.6</v>
      </c>
      <c r="D7" s="13">
        <v>173</v>
      </c>
      <c r="E7" s="14">
        <f aca="true" t="shared" si="0" ref="E7:E16">D7/C7*100</f>
        <v>103.84153661464586</v>
      </c>
      <c r="F7" s="13">
        <v>134</v>
      </c>
      <c r="G7" s="14">
        <f aca="true" t="shared" si="1" ref="G7:G16">F7/D7*100</f>
        <v>77.45664739884393</v>
      </c>
      <c r="H7" s="14">
        <v>833</v>
      </c>
      <c r="I7" s="18">
        <f>D7/'численность 1'!K7*1000</f>
        <v>961.1111111111111</v>
      </c>
      <c r="J7" s="14">
        <f aca="true" t="shared" si="2" ref="J7:J18">I7/H7*100</f>
        <v>115.37948512738427</v>
      </c>
      <c r="K7" s="13">
        <v>134.5</v>
      </c>
    </row>
    <row r="8" spans="1:11" ht="16.5" customHeight="1">
      <c r="A8" s="32">
        <v>3</v>
      </c>
      <c r="B8" s="71" t="s">
        <v>65</v>
      </c>
      <c r="C8" s="13">
        <v>90</v>
      </c>
      <c r="D8" s="13">
        <v>136</v>
      </c>
      <c r="E8" s="14">
        <f t="shared" si="0"/>
        <v>151.11111111111111</v>
      </c>
      <c r="F8" s="13">
        <v>122</v>
      </c>
      <c r="G8" s="14">
        <f t="shared" si="1"/>
        <v>89.70588235294117</v>
      </c>
      <c r="H8" s="14">
        <v>857</v>
      </c>
      <c r="I8" s="14">
        <f>D8/'численность 1'!K8*1000</f>
        <v>1295.2380952380954</v>
      </c>
      <c r="J8" s="14">
        <f t="shared" si="2"/>
        <v>151.1363004945269</v>
      </c>
      <c r="K8" s="13"/>
    </row>
    <row r="9" spans="1:11" ht="16.5" customHeight="1">
      <c r="A9" s="32">
        <v>4</v>
      </c>
      <c r="B9" s="71" t="s">
        <v>66</v>
      </c>
      <c r="C9" s="13">
        <v>63</v>
      </c>
      <c r="D9" s="13">
        <v>77</v>
      </c>
      <c r="E9" s="14">
        <f t="shared" si="0"/>
        <v>122.22222222222223</v>
      </c>
      <c r="F9" s="13">
        <v>58</v>
      </c>
      <c r="G9" s="14">
        <f t="shared" si="1"/>
        <v>75.32467532467533</v>
      </c>
      <c r="H9" s="14">
        <v>1167</v>
      </c>
      <c r="I9" s="14">
        <f>D9/'численность 1'!K9*1000</f>
        <v>1425.9259259259259</v>
      </c>
      <c r="J9" s="14">
        <f t="shared" si="2"/>
        <v>122.187311561776</v>
      </c>
      <c r="K9" s="13"/>
    </row>
    <row r="10" spans="1:11" ht="16.5" customHeight="1">
      <c r="A10" s="32">
        <v>5</v>
      </c>
      <c r="B10" s="71" t="s">
        <v>67</v>
      </c>
      <c r="C10" s="13">
        <v>338.2</v>
      </c>
      <c r="D10" s="13">
        <v>418.6</v>
      </c>
      <c r="E10" s="14">
        <f t="shared" si="0"/>
        <v>123.77291543465405</v>
      </c>
      <c r="F10" s="13">
        <v>389</v>
      </c>
      <c r="G10" s="14">
        <f t="shared" si="1"/>
        <v>92.92881032011466</v>
      </c>
      <c r="H10" s="14">
        <v>1098</v>
      </c>
      <c r="I10" s="14">
        <f>D10/'численность 1'!K10*1000</f>
        <v>1376.9736842105265</v>
      </c>
      <c r="J10" s="14">
        <f t="shared" si="2"/>
        <v>125.40743936343593</v>
      </c>
      <c r="K10" s="13"/>
    </row>
    <row r="11" spans="1:11" ht="16.5" customHeight="1">
      <c r="A11" s="32">
        <v>6</v>
      </c>
      <c r="B11" s="72" t="s">
        <v>68</v>
      </c>
      <c r="C11" s="13">
        <v>177</v>
      </c>
      <c r="D11" s="13">
        <v>264</v>
      </c>
      <c r="E11" s="14">
        <f t="shared" si="0"/>
        <v>149.15254237288136</v>
      </c>
      <c r="F11" s="13">
        <v>227</v>
      </c>
      <c r="G11" s="14">
        <f t="shared" si="1"/>
        <v>85.98484848484848</v>
      </c>
      <c r="H11" s="14">
        <v>632</v>
      </c>
      <c r="I11" s="14">
        <f>D11/'численность 1'!K11*1000</f>
        <v>1056</v>
      </c>
      <c r="J11" s="14">
        <f t="shared" si="2"/>
        <v>167.08860759493672</v>
      </c>
      <c r="K11" s="13"/>
    </row>
    <row r="12" spans="1:11" ht="16.5" customHeight="1">
      <c r="A12" s="32">
        <v>7</v>
      </c>
      <c r="B12" s="72" t="s">
        <v>100</v>
      </c>
      <c r="C12" s="17">
        <v>154.1</v>
      </c>
      <c r="D12" s="17">
        <v>154.2</v>
      </c>
      <c r="E12" s="14">
        <f t="shared" si="0"/>
        <v>100.06489292667098</v>
      </c>
      <c r="F12" s="17">
        <v>119</v>
      </c>
      <c r="G12" s="18">
        <f t="shared" si="1"/>
        <v>77.17250324254216</v>
      </c>
      <c r="H12" s="18">
        <v>1813</v>
      </c>
      <c r="I12" s="14">
        <f>D12/'численность 1'!K12*1000</f>
        <v>1814.1176470588234</v>
      </c>
      <c r="J12" s="14">
        <f t="shared" si="2"/>
        <v>100.06164628013367</v>
      </c>
      <c r="K12" s="17">
        <v>121.2</v>
      </c>
    </row>
    <row r="13" spans="1:11" ht="16.5" customHeight="1">
      <c r="A13" s="32">
        <v>8</v>
      </c>
      <c r="B13" s="72" t="s">
        <v>69</v>
      </c>
      <c r="C13" s="17">
        <v>78.1</v>
      </c>
      <c r="D13" s="17">
        <v>57.6</v>
      </c>
      <c r="E13" s="14">
        <f t="shared" si="0"/>
        <v>73.75160051216389</v>
      </c>
      <c r="F13" s="17">
        <v>52.2</v>
      </c>
      <c r="G13" s="18">
        <f t="shared" si="1"/>
        <v>90.625</v>
      </c>
      <c r="H13" s="18">
        <v>1174</v>
      </c>
      <c r="I13" s="14">
        <f>D13/'численность 1'!K13*1000</f>
        <v>1107.6923076923078</v>
      </c>
      <c r="J13" s="14">
        <f t="shared" si="2"/>
        <v>94.35198532302452</v>
      </c>
      <c r="K13" s="17"/>
    </row>
    <row r="14" spans="1:11" ht="16.5" customHeight="1">
      <c r="A14" s="32">
        <v>9</v>
      </c>
      <c r="B14" s="72" t="s">
        <v>99</v>
      </c>
      <c r="C14" s="17">
        <v>83.2</v>
      </c>
      <c r="D14" s="17">
        <v>148.1</v>
      </c>
      <c r="E14" s="14">
        <f t="shared" si="0"/>
        <v>178.00480769230768</v>
      </c>
      <c r="F14" s="17">
        <v>123.6</v>
      </c>
      <c r="G14" s="18">
        <f t="shared" si="1"/>
        <v>83.45712356515868</v>
      </c>
      <c r="H14" s="18">
        <v>1733</v>
      </c>
      <c r="I14" s="14">
        <f>D14/'численность 1'!K14*1000</f>
        <v>2468.3333333333335</v>
      </c>
      <c r="J14" s="14">
        <f t="shared" si="2"/>
        <v>142.43123677630314</v>
      </c>
      <c r="K14" s="17">
        <v>59</v>
      </c>
    </row>
    <row r="15" spans="1:11" ht="16.5" customHeight="1">
      <c r="A15" s="32">
        <v>10</v>
      </c>
      <c r="B15" s="72" t="s">
        <v>70</v>
      </c>
      <c r="C15" s="17">
        <v>87</v>
      </c>
      <c r="D15" s="17">
        <v>73.5</v>
      </c>
      <c r="E15" s="14">
        <f t="shared" si="0"/>
        <v>84.48275862068965</v>
      </c>
      <c r="F15" s="17">
        <v>57</v>
      </c>
      <c r="G15" s="18">
        <f t="shared" si="1"/>
        <v>77.55102040816327</v>
      </c>
      <c r="H15" s="18">
        <v>870</v>
      </c>
      <c r="I15" s="14">
        <f>D15/'численность 1'!K15*1000</f>
        <v>735</v>
      </c>
      <c r="J15" s="14">
        <f t="shared" si="2"/>
        <v>84.48275862068965</v>
      </c>
      <c r="K15" s="17"/>
    </row>
    <row r="16" spans="1:11" ht="16.5" customHeight="1">
      <c r="A16" s="32">
        <v>11</v>
      </c>
      <c r="B16" s="72" t="s">
        <v>71</v>
      </c>
      <c r="C16" s="17">
        <v>72</v>
      </c>
      <c r="D16" s="17">
        <v>64.7</v>
      </c>
      <c r="E16" s="14">
        <f t="shared" si="0"/>
        <v>89.86111111111111</v>
      </c>
      <c r="F16" s="17">
        <v>48.1</v>
      </c>
      <c r="G16" s="18">
        <f t="shared" si="1"/>
        <v>74.34312210200927</v>
      </c>
      <c r="H16" s="18">
        <v>1714</v>
      </c>
      <c r="I16" s="14">
        <f>D16/'численность 1'!K16*1000</f>
        <v>1565.3225806451612</v>
      </c>
      <c r="J16" s="14">
        <f t="shared" si="2"/>
        <v>91.32570482177137</v>
      </c>
      <c r="K16" s="17">
        <v>9.5</v>
      </c>
    </row>
    <row r="17" spans="1:11" ht="16.5" customHeight="1">
      <c r="A17" s="32">
        <v>12</v>
      </c>
      <c r="B17" s="72" t="s">
        <v>72</v>
      </c>
      <c r="C17" s="98"/>
      <c r="D17" s="17"/>
      <c r="E17" s="18"/>
      <c r="F17" s="17"/>
      <c r="G17" s="18"/>
      <c r="H17" s="98"/>
      <c r="I17" s="14"/>
      <c r="J17" s="14"/>
      <c r="K17" s="17"/>
    </row>
    <row r="18" spans="1:11" ht="18">
      <c r="A18" s="175" t="s">
        <v>11</v>
      </c>
      <c r="B18" s="141"/>
      <c r="C18" s="17">
        <f>SUM(C6:C17)</f>
        <v>1321.67</v>
      </c>
      <c r="D18" s="73">
        <f>SUM(D6:D17)</f>
        <v>1566.6999999999998</v>
      </c>
      <c r="E18" s="14">
        <f>D18/C18*100</f>
        <v>118.53942360801106</v>
      </c>
      <c r="F18" s="73">
        <f>SUM(F6:F17)</f>
        <v>1329.8999999999999</v>
      </c>
      <c r="G18" s="14">
        <f>F18/D18*100</f>
        <v>84.88542796961767</v>
      </c>
      <c r="H18" s="14">
        <v>1011</v>
      </c>
      <c r="I18" s="14">
        <f>D18/'численность 1'!K19*1000</f>
        <v>1272.705117790414</v>
      </c>
      <c r="J18" s="14">
        <f t="shared" si="2"/>
        <v>125.88576832743956</v>
      </c>
      <c r="K18" s="73">
        <f>SUM(K7:K17)</f>
        <v>324.2</v>
      </c>
    </row>
  </sheetData>
  <mergeCells count="3">
    <mergeCell ref="A3:A5"/>
    <mergeCell ref="B3:B5"/>
    <mergeCell ref="A18:B18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agro5</cp:lastModifiedBy>
  <cp:lastPrinted>2010-06-09T05:15:16Z</cp:lastPrinted>
  <dcterms:created xsi:type="dcterms:W3CDTF">2002-11-05T10:10:22Z</dcterms:created>
  <dcterms:modified xsi:type="dcterms:W3CDTF">2010-06-16T04:43:26Z</dcterms:modified>
  <cp:category/>
  <cp:version/>
  <cp:contentType/>
  <cp:contentStatus/>
</cp:coreProperties>
</file>