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Override PartName="/xl/revisions/revisionLog19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12" activeTab="12"/>
  </bookViews>
  <sheets>
    <sheet name="Консол" sheetId="1" state="hidden" r:id="rId1"/>
    <sheet name="Справка" sheetId="2" state="hidden" r:id="rId2"/>
    <sheet name="район" sheetId="3" state="hidden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  <sheet name="Лист5" sheetId="24" state="hidden" r:id="rId24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Иль!$A$1:$F$106</definedName>
    <definedName name="Z_1718F1EE_9F48_4DBE_9531_3B70F9C4A5DD_.wvu.PrintArea" localSheetId="0" hidden="1">Консол!$A$1:$K$51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Иль!$19:$24,Иль!$30:$41,Иль!$47:$47,Иль!$49:$52,Иль!$60:$60,Иль!$62:$64,Иль!$70:$71,Иль!$80:$81,Иль!$83:$83,Иль!$88:$92,Иль!$95:$102,Иль!$145:$145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Консол!$22:$22,Консол!$44:$46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район!$18:$19,район!$21:$21,район!$26:$26,район!$28:$32,район!$36:$36,район!$39:$39,район!$51:$52,район!$64:$64,район!$71:$71,район!$88:$88,район!#REF!,район!$122:$124,район!$127:$128</definedName>
    <definedName name="Z_1718F1EE_9F48_4DBE_9531_3B70F9C4A5DD_.wvu.Rows" localSheetId="1" hidden="1">Справка!#REF!</definedName>
    <definedName name="Z_1718F1EE_9F48_4DBE_9531_3B70F9C4A5DD_.wvu.Rows" localSheetId="4" hidden="1">Сун!$19:$24,Сун!$35:$40,Сун!$44:$44,Сун!$46:$46,Сун!$48:$48,Сун!$50:$52,Сун!$59:$59,Сун!$61:$63,Сун!$69:$70,Сун!$80:$81,Сун!$83:$83,Сун!$86:$91,Сун!$94:$101,Сун!$143:$143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Хор!$19:$22,Хор!$26:$34,Хор!$38:$38,Хор!$42:$42,Хор!$44:$46,Хор!$53:$53,Хор!$55:$57,Хор!$63:$64,Хор!$70:$70,Хор!$74:$75,Хор!$79:$83,Хор!$86:$93,Хор!$140:$140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Юсь!$19:$24,Юсь!$31:$33,Юсь!$36:$36,Юсь!$43:$49,Юсь!$57:$57,Юсь!$59:$61,Юсь!$67:$68,Юсь!$78:$79,Юсь!$83:$87,Юсь!$90:$97,Юсь!$141:$141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Иль!$A$1:$F$106</definedName>
    <definedName name="Z_1A52382B_3765_4E8C_903F_6B8919B7242E_.wvu.PrintArea" localSheetId="0" hidden="1">Консол!$A$1:$K$51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Хор!$A$1:$F$97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Иль!$19:$24,Иль!$30:$31,Иль!$34:$34,Иль!$47:$47,Иль!$52:$52,Иль!$62:$63,Иль!$70:$71,Иль!$80:$81,Иль!$83:$83,Иль!$95:$99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Консол!$22:$22,Консол!$44:$46,Консол!$83:$85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район!$18:$19,район!$21:$21,район!$29:$31,район!$51:$52,район!#REF!,район!$64:$64,район!$71:$71,район!$88:$88,район!#REF!,район!$122:$124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Хор!$19:$22,Хор!$26:$34,Хор!$38:$38,Хор!$44:$46,Хор!$53:$53,Хор!$55:$57,Хор!$63:$64,Хор!$70:$70,Хор!$74:$75,Хор!$79:$83,Хор!$86:$93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Юсь!$20:$24,Юсь!$36:$36,Юсь!#REF!,Юсь!$43:$48,Юсь!$57:$57,Юсь!$59:$60,Юсь!$67:$68,Юсь!$78:$79,Юсь!$83:$87,Юсь!$90:$97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Иль!$A$1:$F$106</definedName>
    <definedName name="Z_3DCB9AAA_F09C_4EA6_B992_F93E466D374A_.wvu.PrintArea" localSheetId="0" hidden="1">Консол!$A$1:$K$51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Иль!$19:$24,Иль!$30:$31,Иль!$34:$34,Иль!$47:$47,Иль!$52:$52,Иль!$62:$63,Иль!$70:$71,Иль!$80:$81,Иль!$83:$83,Иль!$85:$92,Иль!$95:$99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Консол!$22:$22,Консол!$44:$46,Консол!$83:$85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район!$18:$19,район!$21:$21,район!$29:$31,район!$51:$52,район!$64:$64,район!$71:$71,район!$88:$88,район!#REF!,район!$122:$124</definedName>
    <definedName name="Z_3DCB9AAA_F09C_4EA6_B992_F93E466D374A_.wvu.Rows" localSheetId="1" hidden="1">Справка!#REF!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Хор!$19:$22,Хор!$30:$30,Хор!$38:$38,Хор!$42:$42,Хор!$53:$53,Хор!$55:$56,Хор!$63:$64,Хор!$79:$83,Хор!$86:$93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Юсь!$20:$24,Юсь!#REF!,Юсь!$43:$48,Юсь!$57:$57,Юсь!$59:$60,Юсь!$67:$68,Юсь!$78:$79,Юсь!$82:$87,Юсь!$90:$97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Иль!$A$1:$F$106</definedName>
    <definedName name="Z_42584DC0_1D41_4C93_9B38_C388E7B8DAC4_.wvu.PrintArea" localSheetId="0" hidden="1">Консол!$A$1:$K$51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Иль!$19:$24,Иль!$30:$41,Иль!$47:$47,Иль!$49:$52,Иль!$60:$60,Иль!$62:$64,Иль!$70:$71,Иль!$80:$81,Иль!$83:$83,Иль!$88:$92,Иль!$95:$102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Консол!$22:$22,Консол!$44:$46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$18:$19,район!$21:$21,район!$26:$26,район!$28:$32,район!$36:$36,район!$39:$39,район!$47:$47,район!$51:$52,район!#REF!,район!#REF!,район!$58:$60,район!$64:$64,район!$71:$71,район!$82:$82,район!$88:$88,район!$91:$91,район!#REF!,район!$102:$102,район!$122:$124,район!$127:$128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Хор!$19:$22,Хор!$26:$34,Хор!$38:$38,Хор!$42:$42,Хор!$44:$46,Хор!$53:$53,Хор!$55:$57,Хор!$63:$64,Хор!$70:$70,Хор!$74:$75,Хор!$79:$83,Хор!$86:$93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Юсь!$19:$24,Юсь!$31:$33,Юсь!$36:$36,Юсь!#REF!,Юсь!$43:$48,Юсь!$57:$57,Юсь!$59:$61,Юсь!$67:$68,Юсь!$78:$79,Юсь!$83:$87,Юсь!$90:$97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Иль!$A$1:$F$106</definedName>
    <definedName name="Z_5BFCA170_DEAE_4D2C_98A0_1E68B427AC01_.wvu.PrintArea" localSheetId="0" hidden="1">Консол!$A$1:$K$51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Иль!$19:$24,Иль!$30:$31,Иль!$34:$34,Иль!$47:$47,Иль!$52:$52,Иль!$62:$63,Иль!$70:$71,Иль!$80:$81,Иль!$83:$83,Иль!$95:$99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Консол!$22:$22,Консол!$44:$46,Консол!$83:$85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район!$18:$19,район!$21:$21,район!$29:$31,район!$51:$52,район!$64:$64,район!$71:$71,район!$88:$88,район!#REF!,район!$122:$124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Хор!$19:$22,Хор!$30:$30,Хор!$38:$38,Хор!$42:$42,Хор!$53:$53,Хор!$55:$56,Хор!$63:$64,Хор!$79:$83,Хор!$86:$93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Юсь!$20:$24,Юсь!#REF!,Юсь!$43:$48,Юсь!$57:$57,Юсь!$59:$60,Юсь!$67:$68,Юсь!$78:$79,Юсь!$82:$87,Юсь!$90:$97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Иль!$A$1:$F$106</definedName>
    <definedName name="Z_61528DAC_5C4C_48F4_ADE2_8A724B05A086_.wvu.PrintArea" localSheetId="0" hidden="1">Консол!$A$1:$K$51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район!$A$1:$F$136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Але!$19:$24,Але!$28:$28,Але!$36:$36,Але!$40:$40,Але!$55:$56,Але!$63:$64,Але!$69:$70,Але!$74:$74,Але!$79:$82,Але!$86:$93,Але!$142:$142</definedName>
    <definedName name="Z_61528DAC_5C4C_48F4_ADE2_8A724B05A086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61528DAC_5C4C_48F4_ADE2_8A724B05A086_.wvu.Rows" localSheetId="6" hidden="1">Кад!$19:$24,Кад!$31:$35,Кад!$38:$38,Кад!$42:$42,Кад!$44:$44,Кад!$48:$48,Кад!$56:$56,Кад!$58:$60,Кад!$66:$67,Кад!$77:$77,Кад!$82:$86,Кад!$89:$96,Кад!$142:$142</definedName>
    <definedName name="Z_61528DAC_5C4C_48F4_ADE2_8A724B05A086_.wvu.Rows" localSheetId="0" hidden="1">Консол!$44:$46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Ори!$19:$24,Ори!$31:$35,Ори!$44:$44,Ори!$48:$50,Ори!$57:$57,Ори!$59:$60,Ори!$67:$68,Ори!$78:$78,Ори!$81:$81,Ори!$84:$88,Ори!$91:$98,Ори!$142:$142</definedName>
    <definedName name="Z_61528DAC_5C4C_48F4_ADE2_8A724B05A086_.wvu.Rows" localSheetId="2" hidden="1">район!$19:$19,район!$26:$27,район!$36:$36,район!$39:$39,район!$51:$52,район!$71:$71,район!$122:$123</definedName>
    <definedName name="Z_61528DAC_5C4C_48F4_ADE2_8A724B05A086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Тор!$19:$24,Тор!$32:$34,Тор!$39:$39,Тор!$43:$43,Тор!$47:$47,Тор!$57:$57,Тор!$59:$60,Тор!$67:$68,Тор!$75:$75,Тор!$79:$79,Тор!$86:$95,Тор!$142:$142</definedName>
    <definedName name="Z_61528DAC_5C4C_48F4_ADE2_8A724B05A086_.wvu.Rows" localSheetId="12" hidden="1">Хор!$20:$22,Хор!$26:$31,Хор!$38:$38,Хор!$44:$46,Хор!$53:$53,Хор!$55:$56,Хор!$63:$64,Хор!$74:$74,Хор!$79:$83,Хор!$86:$93,Хор!$140:$140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Шать!$19:$25,Шать!$35:$36,Шать!$38:$38,Шать!$47:$49,Шать!$57:$57,Шать!$59:$60,Шать!$67:$68,Шать!$78:$78,Шать!$84:$86,Шать!$90:$97,Шать!$142:$142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Юсь!$19:$24,Юсь!$36:$36,Юсь!$43:$48,Юсь!$57:$57,Юсь!$59:$60,Юсь!$67:$68,Юсь!$83:$87,Юсь!$90:$97,Юсь!$141:$141</definedName>
    <definedName name="Z_61528DAC_5C4C_48F4_ADE2_8A724B05A086_.wvu.Rows" localSheetId="17" hidden="1">Яра!$19:$24,Яра!$28:$29,Яра!$33:$34,Яра!$36:$36,Яра!$38:$38,Яра!$58:$58,Яра!$60:$61,Яра!$68:$69,Яра!$79:$79,Яра!$84:$88,Яра!$91:$98,Яра!$143:$143</definedName>
    <definedName name="Z_61528DAC_5C4C_48F4_ADE2_8A724B05A086_.wvu.Rows" localSheetId="18" hidden="1">Яро!$19:$24,Яро!$28:$28,Яро!$40:$40,Яро!$43:$43,Яро!$46:$47,Яро!$54:$54,Яро!$56:$57,Яро!$64:$65,Яро!$75:$75,Яро!$82:$84,Яро!$87:$90,Яро!$92:$94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Иль!$A$1:$F$106</definedName>
    <definedName name="Z_A54C432C_6C68_4B53_A75C_446EB3A61B2B_.wvu.PrintArea" localSheetId="0" hidden="1">Консол!$A$1:$K$51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Иль!$19:$24,Иль!$30:$41,Иль!$47:$47,Иль!$49:$52,Иль!$60:$60,Иль!$62:$64,Иль!$70:$71,Иль!$80:$81,Иль!$83:$83,Иль!$88:$92,Иль!$95:$102,Иль!$145:$145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Консол!$22:$22,Консол!$44:$46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район!$18:$19,район!$21:$21,район!$26:$26,район!$28:$32,район!$36:$36,район!$39:$39,район!$51:$52,район!#REF!,район!$64:$64,район!$71:$71,район!$88:$88,район!#REF!,район!$122:$124,район!$127:$128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Хор!$19:$22,Хор!$26:$31,Хор!$38:$38,Хор!$42:$42,Хор!$44:$46,Хор!$53:$53,Хор!$55:$57,Хор!$63:$64,Хор!$70:$70,Хор!$74:$75,Хор!$79:$83,Хор!$86:$93,Хор!$140:$140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Юсь!$19:$24,Юсь!$31:$33,Юсь!$36:$36,Юсь!#REF!,Юсь!$43:$49,Юсь!$57:$57,Юсь!$59:$60,Юсь!$67:$68,Юсь!$78:$79,Юсь!$83:$87,Юсь!$90:$97,Юсь!$141:$141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Иль!$A$1:$F$106</definedName>
    <definedName name="Z_B30CE22D_C12F_4E12_8BB9_3AAE0A6991CC_.wvu.PrintArea" localSheetId="0" hidden="1">Консол!$A$1:$K$51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Юсь!$A$1:$F$101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Иль!$19:$24,Иль!$35:$35,Иль!$40:$41,Иль!$50:$52,Иль!$60:$60,Иль!$62:$64,Иль!$70:$71,Иль!$80:$81,Иль!$83:$83,Иль!$88:$92,Иль!$95:$102,Иль!$145:$145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Консол!$22:$22,Консол!$44:$46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2" hidden="1">район!$18:$19,район!$21:$21,район!$28:$32,район!$36:$36,район!$39:$39,район!$51:$52,район!#REF!,район!$64:$64,район!$71:$71,район!$88:$88,район!$122:$124,район!$127:$128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Хор!$19:$22,Хор!$26:$34,Хор!$38:$38,Хор!$44:$46,Хор!$53:$53,Хор!$55:$57,Хор!$63:$64,Хор!$74:$75,Хор!$79:$83,Хор!$86:$93,Хор!$140:$140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Юсь!$19:$24,Юсь!$31:$33,Юсь!$36:$36,Юсь!$43:$48,Юсь!$57:$57,Юсь!$59:$60,Юсь!$67:$68,Юсь!$78:$79,Юсь!$83:$87,Юсь!$90:$97,Юсь!$141:$141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Иль!$A$1:$F$106</definedName>
    <definedName name="Z_B31C8DB7_3E78_4144_A6B5_8DE36DE63F0E_.wvu.PrintArea" localSheetId="0" hidden="1">Консол!$A$1:$K$51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Иль!$19:$24,Иль!$34:$34,Иль!$47:$47,Иль!$52:$52,Иль!$62:$63,Иль!$70:$71,Иль!$80:$81,Иль!$83:$83,Иль!$95:$99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Консол!$22:$22,Консол!$44:$46,Консол!$83:$85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район!$18:$19,район!$21:$21,район!$29:$31,район!$51:$52,район!$64:$64,район!$71:$71,район!$88:$88,район!#REF!,район!$122:$124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Хор!$19:$22,Хор!$30:$30,Хор!$38:$38,Хор!$53:$53,Хор!$55:$56,Хор!$63:$64,Хор!$79:$83,Хор!$86:$93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Юсь!$20:$24,Юсь!#REF!,Юсь!$43:$48,Юсь!$67:$68,Юсь!$83:$87,Юсь!$90:$97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Яро!$19:$24,Яро!$54:$54,Яро!$56:$57,Яро!$64:$65,Яро!$75:$76,Яро!$80:$85,Яро!$87:$94</definedName>
    <definedName name="Z_E6F84523_F47F_492E_BB0B_0D2156A983B1_.wvu.Cols" localSheetId="1" hidden="1">Справка!$AV:$AX,Справка!$BB:$BD,Справка!$BH:$BJ,Справка!$BL:$BM,Справка!$BT:$BY,Справка!$CX:$DF</definedName>
    <definedName name="Z_E6F84523_F47F_492E_BB0B_0D2156A983B1_.wvu.PrintArea" localSheetId="3" hidden="1">Але!$A$1:$F$97</definedName>
    <definedName name="Z_E6F84523_F47F_492E_BB0B_0D2156A983B1_.wvu.PrintArea" localSheetId="5" hidden="1">Иль!$A$1:$F$106</definedName>
    <definedName name="Z_E6F84523_F47F_492E_BB0B_0D2156A983B1_.wvu.PrintArea" localSheetId="0" hidden="1">Консол!$A$1:$K$51</definedName>
    <definedName name="Z_E6F84523_F47F_492E_BB0B_0D2156A983B1_.wvu.PrintArea" localSheetId="7" hidden="1">Мор!$A$1:$F$101</definedName>
    <definedName name="Z_E6F84523_F47F_492E_BB0B_0D2156A983B1_.wvu.PrintArea" localSheetId="2" hidden="1">район!$A$1:$F$136</definedName>
    <definedName name="Z_E6F84523_F47F_492E_BB0B_0D2156A983B1_.wvu.PrintArea" localSheetId="1" hidden="1">Справка!$A$1:$EY$31</definedName>
    <definedName name="Z_E6F84523_F47F_492E_BB0B_0D2156A983B1_.wvu.PrintArea" localSheetId="4" hidden="1">Сун!$A$1:$F$105</definedName>
    <definedName name="Z_E6F84523_F47F_492E_BB0B_0D2156A983B1_.wvu.PrintArea" localSheetId="11" hidden="1">Тор!$A$1:$F$101</definedName>
    <definedName name="Z_E6F84523_F47F_492E_BB0B_0D2156A983B1_.wvu.PrintArea" localSheetId="15" hidden="1">Юнг!$A$1:$F$100</definedName>
    <definedName name="Z_E6F84523_F47F_492E_BB0B_0D2156A983B1_.wvu.PrintArea" localSheetId="17" hidden="1">Яра!$A$1:$F$102</definedName>
    <definedName name="Z_E6F84523_F47F_492E_BB0B_0D2156A983B1_.wvu.Rows" localSheetId="3" hidden="1">Але!$19:$24,Але!$28:$28,Але!$36:$36,Але!$40:$40,Але!$55:$56,Але!$63:$64,Але!$69:$70,Але!$74:$74,Але!$79:$82,Але!$86:$93,Але!$142:$142</definedName>
    <definedName name="Z_E6F84523_F47F_492E_BB0B_0D2156A983B1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E6F84523_F47F_492E_BB0B_0D2156A983B1_.wvu.Rows" localSheetId="6" hidden="1">Кад!$19:$24,Кад!$31:$35,Кад!$38:$38,Кад!$42:$42,Кад!$44:$44,Кад!$48:$48,Кад!$56:$56,Кад!$58:$60,Кад!$66:$67,Кад!$77:$77,Кад!$82:$86,Кад!$89:$96,Кад!$142:$142</definedName>
    <definedName name="Z_E6F84523_F47F_492E_BB0B_0D2156A983B1_.wvu.Rows" localSheetId="0" hidden="1">Консол!$44:$46</definedName>
    <definedName name="Z_E6F84523_F47F_492E_BB0B_0D2156A983B1_.wvu.Rows" localSheetId="19" hidden="1">Лист1!$82:$84</definedName>
    <definedName name="Z_E6F84523_F47F_492E_BB0B_0D2156A983B1_.wvu.Rows" localSheetId="7" hidden="1">Мор!$17:$24,Мор!$27:$27,Мор!$44:$44,Мор!$47:$47,Мор!$57:$57,Мор!$59:$61,Мор!$64:$65,Мор!$67:$68,Мор!$78:$78,Мор!$83:$88,Мор!$91:$97,Мор!$142:$142</definedName>
    <definedName name="Z_E6F84523_F47F_492E_BB0B_0D2156A983B1_.wvu.Rows" localSheetId="8" hidden="1">Мос!$19:$24,Мос!$42:$42,Мос!$44:$44,Мос!$48:$48,Мос!$50:$50,Мос!$58:$58,Мос!$60:$61,Мос!$68:$69,Мос!$82:$82,Мос!$85:$92,Мос!$95:$102,Мос!$143:$143</definedName>
    <definedName name="Z_E6F84523_F47F_492E_BB0B_0D2156A983B1_.wvu.Rows" localSheetId="9" hidden="1">Ори!$19:$24,Ори!$31:$35,Ори!$44:$44,Ори!$48:$50,Ори!$57:$57,Ори!$59:$60,Ори!$67:$68,Ори!$78:$78,Ори!$81:$81,Ори!$84:$88,Ори!$91:$98,Ори!$142:$142</definedName>
    <definedName name="Z_E6F84523_F47F_492E_BB0B_0D2156A983B1_.wvu.Rows" localSheetId="2" hidden="1">район!$19:$19,район!$26:$27,район!$36:$36,район!$39:$39,район!$51:$52,район!$71:$71,район!$122:$123</definedName>
    <definedName name="Z_E6F84523_F47F_492E_BB0B_0D2156A983B1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E6F84523_F47F_492E_BB0B_0D2156A983B1_.wvu.Rows" localSheetId="10" hidden="1">Сят!$19:$24,Сят!$38:$38,Сят!$45:$47,Сят!$57:$57,Сят!$59:$60,Сят!$67:$68,Сят!$78:$78,Сят!$83:$87,Сят!$90:$97,Сят!$143:$143</definedName>
    <definedName name="Z_E6F84523_F47F_492E_BB0B_0D2156A983B1_.wvu.Rows" localSheetId="11" hidden="1">Тор!$19:$24,Тор!$32:$34,Тор!$39:$39,Тор!$43:$43,Тор!$47:$47,Тор!$57:$57,Тор!$59:$60,Тор!$67:$68,Тор!$75:$75,Тор!$79:$79,Тор!$86:$95,Тор!$142:$142</definedName>
    <definedName name="Z_E6F84523_F47F_492E_BB0B_0D2156A983B1_.wvu.Rows" localSheetId="12" hidden="1">Хор!$20:$22,Хор!$26:$31,Хор!$38:$38,Хор!$44:$46,Хор!$53:$53,Хор!$55:$56,Хор!$63:$64,Хор!$74:$74,Хор!$79:$83,Хор!$86:$93,Хор!$140:$140</definedName>
    <definedName name="Z_E6F84523_F47F_492E_BB0B_0D2156A983B1_.wvu.Rows" localSheetId="13" hidden="1">Чум!$19:$19,Чум!$21:$21,Чум!$24:$24,Чум!$43:$43,Чум!$47:$49,Чум!$57:$57,Чум!$59:$60,Чум!$67:$68,Чум!$78:$78,Чум!$83:$87,Чум!$90:$97,Чум!$142:$142</definedName>
    <definedName name="Z_E6F84523_F47F_492E_BB0B_0D2156A983B1_.wvu.Rows" localSheetId="14" hidden="1">Шать!$19:$25,Шать!$35:$36,Шать!$38:$38,Шать!$47:$49,Шать!$57:$57,Шать!$59:$60,Шать!$67:$68,Шать!$78:$78,Шать!$84:$86,Шать!$90:$97,Шать!$142:$142</definedName>
    <definedName name="Z_E6F84523_F47F_492E_BB0B_0D2156A983B1_.wvu.Rows" localSheetId="15" hidden="1">Юнг!$19:$24,Юнг!$38:$38,Юнг!$42:$42,Юнг!$46:$46,Юнг!$56:$56,Юнг!$58:$59,Юнг!$66:$67,Юнг!$77:$77,Юнг!$82:$86,Юнг!$89:$96,Юнг!$142:$142</definedName>
    <definedName name="Z_E6F84523_F47F_492E_BB0B_0D2156A983B1_.wvu.Rows" localSheetId="16" hidden="1">Юсь!$19:$24,Юсь!$36:$36,Юсь!$43:$48,Юсь!$57:$57,Юсь!$59:$60,Юсь!$67:$68,Юсь!$83:$87,Юсь!$90:$97,Юсь!$141:$141</definedName>
    <definedName name="Z_E6F84523_F47F_492E_BB0B_0D2156A983B1_.wvu.Rows" localSheetId="17" hidden="1">Яра!$19:$24,Яра!$28:$29,Яра!$33:$34,Яра!$36:$36,Яра!$38:$38,Яра!$58:$58,Яра!$60:$61,Яра!$68:$69,Яра!$79:$79,Яра!$84:$88,Яра!$91:$98,Яра!$143:$143</definedName>
    <definedName name="Z_E6F84523_F47F_492E_BB0B_0D2156A983B1_.wvu.Rows" localSheetId="18" hidden="1">Яро!$19:$24,Яро!$28:$28,Яро!$40:$40,Яро!$43:$43,Яро!$46:$47,Яро!$54:$54,Яро!$56:$57,Яро!$64:$65,Яро!$75:$75,Яро!$82:$84,Яро!$87:$90,Яро!$92:$94</definedName>
    <definedName name="_xlnm.Print_Area" localSheetId="3">Але!$A$1:$F$97</definedName>
    <definedName name="_xlnm.Print_Area" localSheetId="5">Иль!$A$1:$F$106</definedName>
    <definedName name="_xlnm.Print_Area" localSheetId="0">Консол!$A$1:$K$51</definedName>
    <definedName name="_xlnm.Print_Area" localSheetId="7">Мор!$A$1:$F$101</definedName>
    <definedName name="_xlnm.Print_Area" localSheetId="2">район!$A$1:$F$136</definedName>
    <definedName name="_xlnm.Print_Area" localSheetId="1">Справка!$A$1:$EY$31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хорной - Личное представление" guid="{E6F84523-F47F-492E-BB0B-0D2156A983B1}" mergeInterval="0" personalView="1" maximized="1" xWindow="1" yWindow="1" windowWidth="1276" windowHeight="794" tabRatio="695" activeSheetId="13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7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7 - Личное представление" guid="{5BFCA170-DEAE-4D2C-98A0-1E68B427AC01}" mergeInterval="0" personalView="1" maximized="1" xWindow="1" yWindow="1" windowWidth="1916" windowHeight="850" tabRatio="695" activeSheetId="19"/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CR28" i="2"/>
  <c r="C41" i="18"/>
  <c r="D30" i="6"/>
  <c r="E32"/>
  <c r="F32"/>
  <c r="D30" i="5"/>
  <c r="AZ15" i="2" s="1"/>
  <c r="C73" i="4"/>
  <c r="E69"/>
  <c r="F69"/>
  <c r="CD19" i="2"/>
  <c r="CC19"/>
  <c r="CV18"/>
  <c r="J27" i="1" s="1"/>
  <c r="D53" i="3"/>
  <c r="C53"/>
  <c r="E57"/>
  <c r="F57"/>
  <c r="D68" i="5"/>
  <c r="C68"/>
  <c r="F72"/>
  <c r="E72"/>
  <c r="D12" i="3"/>
  <c r="C12"/>
  <c r="F13"/>
  <c r="E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3"/>
  <c r="D77"/>
  <c r="D84"/>
  <c r="CO19" i="2"/>
  <c r="C22" i="1"/>
  <c r="CP17" i="2"/>
  <c r="CP14"/>
  <c r="BN20"/>
  <c r="D66" i="15"/>
  <c r="F71"/>
  <c r="E71"/>
  <c r="C34" i="16"/>
  <c r="BN26" i="2" s="1"/>
  <c r="F70" i="7"/>
  <c r="E70"/>
  <c r="D66" i="11"/>
  <c r="D36" i="6"/>
  <c r="C36"/>
  <c r="BN16" i="2" s="1"/>
  <c r="F37" i="6"/>
  <c r="E37"/>
  <c r="D63" i="19"/>
  <c r="D31"/>
  <c r="C31"/>
  <c r="BE29" i="2" s="1"/>
  <c r="E45" i="19"/>
  <c r="C77" i="3"/>
  <c r="CG19" i="2"/>
  <c r="CF19"/>
  <c r="CG17"/>
  <c r="CF17"/>
  <c r="CD17"/>
  <c r="CC17"/>
  <c r="D66" i="17"/>
  <c r="D65" i="16"/>
  <c r="D66" i="14"/>
  <c r="D62" i="13"/>
  <c r="D66" i="10"/>
  <c r="D66" i="8"/>
  <c r="D65" i="7"/>
  <c r="D34" i="3"/>
  <c r="C56" i="17"/>
  <c r="D40" i="7"/>
  <c r="C62" i="3"/>
  <c r="D53" i="19"/>
  <c r="CM14" i="2"/>
  <c r="D36" i="13"/>
  <c r="BP23" i="2"/>
  <c r="BP27"/>
  <c r="BP14"/>
  <c r="D82" i="18"/>
  <c r="D93" i="3"/>
  <c r="C93"/>
  <c r="F94"/>
  <c r="E94"/>
  <c r="CO17" i="2"/>
  <c r="CO14"/>
  <c r="F132" i="3"/>
  <c r="E132"/>
  <c r="F131"/>
  <c r="E131"/>
  <c r="F130"/>
  <c r="E130"/>
  <c r="D129"/>
  <c r="C129"/>
  <c r="F128"/>
  <c r="C127"/>
  <c r="F127" s="1"/>
  <c r="F126"/>
  <c r="E126"/>
  <c r="D125"/>
  <c r="C125"/>
  <c r="E124"/>
  <c r="E123"/>
  <c r="E122"/>
  <c r="F121"/>
  <c r="E121"/>
  <c r="F120"/>
  <c r="E120"/>
  <c r="D119"/>
  <c r="C119"/>
  <c r="F118"/>
  <c r="E118"/>
  <c r="F117"/>
  <c r="E117"/>
  <c r="F116"/>
  <c r="E116"/>
  <c r="F115"/>
  <c r="E115"/>
  <c r="D114"/>
  <c r="C114"/>
  <c r="F113"/>
  <c r="E113"/>
  <c r="F112"/>
  <c r="E112"/>
  <c r="D111"/>
  <c r="C111"/>
  <c r="F110"/>
  <c r="E110"/>
  <c r="F109"/>
  <c r="E109"/>
  <c r="F108"/>
  <c r="E108"/>
  <c r="F107"/>
  <c r="E107"/>
  <c r="F106"/>
  <c r="E106"/>
  <c r="D105"/>
  <c r="C105"/>
  <c r="F104"/>
  <c r="E104"/>
  <c r="D103"/>
  <c r="C103"/>
  <c r="F102"/>
  <c r="E102"/>
  <c r="F101"/>
  <c r="E101"/>
  <c r="F100"/>
  <c r="E100"/>
  <c r="D99"/>
  <c r="C99"/>
  <c r="F98"/>
  <c r="E98"/>
  <c r="F97"/>
  <c r="E97"/>
  <c r="F95"/>
  <c r="E95"/>
  <c r="F92"/>
  <c r="E92"/>
  <c r="F91"/>
  <c r="E91"/>
  <c r="F90"/>
  <c r="E90"/>
  <c r="F89"/>
  <c r="E89"/>
  <c r="F88"/>
  <c r="E88"/>
  <c r="D87"/>
  <c r="C87"/>
  <c r="F86"/>
  <c r="E86"/>
  <c r="D85"/>
  <c r="C85"/>
  <c r="F84"/>
  <c r="E84"/>
  <c r="F83"/>
  <c r="E83"/>
  <c r="F82"/>
  <c r="E82"/>
  <c r="F81"/>
  <c r="E81"/>
  <c r="F80"/>
  <c r="E80"/>
  <c r="F79"/>
  <c r="E79"/>
  <c r="F78"/>
  <c r="E78"/>
  <c r="D77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D62"/>
  <c r="F60"/>
  <c r="E60"/>
  <c r="F59"/>
  <c r="E59"/>
  <c r="D58"/>
  <c r="C58"/>
  <c r="F56"/>
  <c r="E56"/>
  <c r="F55"/>
  <c r="E55"/>
  <c r="F54"/>
  <c r="E54"/>
  <c r="F52"/>
  <c r="E52"/>
  <c r="D51"/>
  <c r="C51"/>
  <c r="F50"/>
  <c r="E50"/>
  <c r="F49"/>
  <c r="E49"/>
  <c r="D48"/>
  <c r="C48"/>
  <c r="F47"/>
  <c r="F46"/>
  <c r="E46"/>
  <c r="D45"/>
  <c r="C45"/>
  <c r="F44"/>
  <c r="E44"/>
  <c r="D43"/>
  <c r="C43"/>
  <c r="F42"/>
  <c r="E42"/>
  <c r="F41"/>
  <c r="F40"/>
  <c r="E40"/>
  <c r="F39"/>
  <c r="E39"/>
  <c r="F38"/>
  <c r="E38"/>
  <c r="F37"/>
  <c r="E37"/>
  <c r="F36"/>
  <c r="F35"/>
  <c r="E35"/>
  <c r="C34"/>
  <c r="F32"/>
  <c r="E32"/>
  <c r="F31"/>
  <c r="F30"/>
  <c r="F29"/>
  <c r="D28"/>
  <c r="C28"/>
  <c r="F27"/>
  <c r="F26"/>
  <c r="F25"/>
  <c r="E25"/>
  <c r="D24"/>
  <c r="C24"/>
  <c r="F23"/>
  <c r="E23"/>
  <c r="D22"/>
  <c r="C22"/>
  <c r="F21"/>
  <c r="F20"/>
  <c r="E20"/>
  <c r="F19"/>
  <c r="E19"/>
  <c r="F18"/>
  <c r="D17"/>
  <c r="C17"/>
  <c r="F16"/>
  <c r="E16"/>
  <c r="F15"/>
  <c r="E15"/>
  <c r="F14"/>
  <c r="F11"/>
  <c r="F10"/>
  <c r="E10"/>
  <c r="F9"/>
  <c r="E9"/>
  <c r="F8"/>
  <c r="E8"/>
  <c r="D7"/>
  <c r="C7"/>
  <c r="F6"/>
  <c r="E6"/>
  <c r="D5"/>
  <c r="C5"/>
  <c r="F71" i="12"/>
  <c r="E71"/>
  <c r="CR19" i="2"/>
  <c r="AB28"/>
  <c r="AZ17"/>
  <c r="AZ19"/>
  <c r="AZ20"/>
  <c r="AZ21"/>
  <c r="AZ24"/>
  <c r="AZ26"/>
  <c r="AZ27"/>
  <c r="AZ28"/>
  <c r="C66" i="8"/>
  <c r="F71"/>
  <c r="E71"/>
  <c r="DF33" i="2"/>
  <c r="C67" i="9"/>
  <c r="C40"/>
  <c r="C66" i="12"/>
  <c r="E65" i="11"/>
  <c r="C66"/>
  <c r="C66" i="10"/>
  <c r="C65" i="7"/>
  <c r="C62" i="13"/>
  <c r="C66" i="17"/>
  <c r="C65" i="16"/>
  <c r="C66" i="15"/>
  <c r="C66" i="14"/>
  <c r="F71"/>
  <c r="E71"/>
  <c r="C63" i="19"/>
  <c r="D26"/>
  <c r="BE28" i="2"/>
  <c r="D71" i="7"/>
  <c r="D83" i="9"/>
  <c r="D26" i="6"/>
  <c r="E44" i="14"/>
  <c r="F42" i="5" l="1"/>
  <c r="E42"/>
  <c r="D25" i="4"/>
  <c r="C25"/>
  <c r="CQ17" i="2"/>
  <c r="CQ14"/>
  <c r="E103" i="3"/>
  <c r="E129"/>
  <c r="F119"/>
  <c r="E24"/>
  <c r="F125"/>
  <c r="F7"/>
  <c r="F24"/>
  <c r="E43"/>
  <c r="E45"/>
  <c r="E77"/>
  <c r="F12"/>
  <c r="E7"/>
  <c r="E85"/>
  <c r="F87"/>
  <c r="F111"/>
  <c r="C4"/>
  <c r="E12"/>
  <c r="E53"/>
  <c r="F62"/>
  <c r="F77"/>
  <c r="F93"/>
  <c r="E119"/>
  <c r="E99"/>
  <c r="F103"/>
  <c r="D4"/>
  <c r="E48"/>
  <c r="F58"/>
  <c r="F114"/>
  <c r="E105"/>
  <c r="C33"/>
  <c r="F51"/>
  <c r="E17"/>
  <c r="E5"/>
  <c r="E22"/>
  <c r="E34"/>
  <c r="F45"/>
  <c r="F48"/>
  <c r="F99"/>
  <c r="E125"/>
  <c r="E51"/>
  <c r="F53"/>
  <c r="E58"/>
  <c r="E87"/>
  <c r="E93"/>
  <c r="E111"/>
  <c r="E114"/>
  <c r="C133"/>
  <c r="F105"/>
  <c r="E62"/>
  <c r="D33"/>
  <c r="F85"/>
  <c r="F5"/>
  <c r="F17"/>
  <c r="F22"/>
  <c r="F28"/>
  <c r="F34"/>
  <c r="F43"/>
  <c r="F129"/>
  <c r="D133"/>
  <c r="D40" i="16"/>
  <c r="F4" i="3" l="1"/>
  <c r="E4"/>
  <c r="C61"/>
  <c r="C72" s="1"/>
  <c r="D61"/>
  <c r="D72" s="1"/>
  <c r="F133"/>
  <c r="E133"/>
  <c r="E33"/>
  <c r="F33"/>
  <c r="D34" i="15"/>
  <c r="D36" i="7"/>
  <c r="D66" i="12"/>
  <c r="D34" i="11"/>
  <c r="D26"/>
  <c r="D14"/>
  <c r="CV26" i="2"/>
  <c r="AT18"/>
  <c r="AQ18"/>
  <c r="C73" i="3" l="1"/>
  <c r="F61"/>
  <c r="E61"/>
  <c r="D73"/>
  <c r="F72" s="1"/>
  <c r="E72"/>
  <c r="C34" i="11"/>
  <c r="BN21" i="2" s="1"/>
  <c r="C82" i="12"/>
  <c r="C38" i="17"/>
  <c r="D12" i="19"/>
  <c r="D67" i="18" l="1"/>
  <c r="E40" i="13"/>
  <c r="D82" i="12"/>
  <c r="D64"/>
  <c r="D69" i="6"/>
  <c r="C69"/>
  <c r="E74"/>
  <c r="F74"/>
  <c r="G33" i="1" l="1"/>
  <c r="E49" i="9"/>
  <c r="D5" i="5"/>
  <c r="C29" i="12"/>
  <c r="J15" i="2"/>
  <c r="D12" i="7"/>
  <c r="CD14" i="2"/>
  <c r="CS17"/>
  <c r="AT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3" i="6"/>
  <c r="C43"/>
  <c r="CS16" i="2"/>
  <c r="CR16"/>
  <c r="BQ14"/>
  <c r="E53" i="6"/>
  <c r="F53"/>
  <c r="BR14" i="2"/>
  <c r="CV22"/>
  <c r="CV21"/>
  <c r="D41" i="12"/>
  <c r="E49"/>
  <c r="F49"/>
  <c r="D40" i="11"/>
  <c r="CS23" i="2" l="1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4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78" i="13"/>
  <c r="F90" i="18"/>
  <c r="F50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2" i="5"/>
  <c r="F77"/>
  <c r="C26"/>
  <c r="E49"/>
  <c r="F49"/>
  <c r="E48" i="12"/>
  <c r="F48"/>
  <c r="G24" i="1"/>
  <c r="C41" i="15"/>
  <c r="F41" s="1"/>
  <c r="E42"/>
  <c r="C36" i="13"/>
  <c r="C41" i="12"/>
  <c r="F41" i="10"/>
  <c r="E44"/>
  <c r="F44"/>
  <c r="E44" i="9"/>
  <c r="F44"/>
  <c r="E44" i="8"/>
  <c r="F44"/>
  <c r="E44" i="7"/>
  <c r="F44"/>
  <c r="E47" i="6"/>
  <c r="F47"/>
  <c r="E48"/>
  <c r="F48"/>
  <c r="E46" i="5"/>
  <c r="F46"/>
  <c r="CR22" i="2"/>
  <c r="CT22" s="1"/>
  <c r="CV14"/>
  <c r="C55" i="7"/>
  <c r="G34" i="1"/>
  <c r="F34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BO21" i="2"/>
  <c r="BP21" s="1"/>
  <c r="D96" i="12"/>
  <c r="ER22" i="2" s="1"/>
  <c r="F35" i="16"/>
  <c r="E35"/>
  <c r="D34"/>
  <c r="E34" s="1"/>
  <c r="D12" i="13"/>
  <c r="D5"/>
  <c r="D77"/>
  <c r="EL23" i="2" s="1"/>
  <c r="D73" i="13"/>
  <c r="EI23" i="2" s="1"/>
  <c r="D60" i="13"/>
  <c r="D68"/>
  <c r="EF23" i="2" s="1"/>
  <c r="D52" i="13"/>
  <c r="D24"/>
  <c r="AQ27" i="2"/>
  <c r="AQ25"/>
  <c r="AQ19"/>
  <c r="AR19" s="1"/>
  <c r="AQ17"/>
  <c r="AT29"/>
  <c r="AU29" s="1"/>
  <c r="BU32"/>
  <c r="BU33" s="1"/>
  <c r="E88" i="16"/>
  <c r="C81" i="14"/>
  <c r="EK24" i="2" s="1"/>
  <c r="E15" i="14"/>
  <c r="C73" i="13"/>
  <c r="EH23" i="2" s="1"/>
  <c r="E42" i="10"/>
  <c r="F42"/>
  <c r="BO19" i="2"/>
  <c r="F76" i="9"/>
  <c r="F35"/>
  <c r="E35"/>
  <c r="D34"/>
  <c r="C34"/>
  <c r="BN19" i="2" s="1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BN22" i="2" s="1"/>
  <c r="E42" i="11"/>
  <c r="F42"/>
  <c r="E42" i="8"/>
  <c r="F42"/>
  <c r="E86" i="7"/>
  <c r="BR17" i="2"/>
  <c r="E42" i="7"/>
  <c r="F42"/>
  <c r="E35"/>
  <c r="F35"/>
  <c r="E60" i="6"/>
  <c r="F60"/>
  <c r="E51"/>
  <c r="E61" i="5"/>
  <c r="E62"/>
  <c r="E63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D78" i="18"/>
  <c r="EI28" i="2" s="1"/>
  <c r="D41" i="18"/>
  <c r="E51"/>
  <c r="F51"/>
  <c r="D34" i="7"/>
  <c r="BO17" i="2" s="1"/>
  <c r="C34" i="7"/>
  <c r="BN17" i="2" s="1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6" i="1"/>
  <c r="D36" s="1"/>
  <c r="EC18" i="2"/>
  <c r="EB18"/>
  <c r="C14" i="14"/>
  <c r="F15" s="1"/>
  <c r="F35" i="15"/>
  <c r="E35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AP27" i="2"/>
  <c r="CO28"/>
  <c r="CO26"/>
  <c r="CC26"/>
  <c r="CO24"/>
  <c r="CO23"/>
  <c r="CO22"/>
  <c r="CO16"/>
  <c r="D69" i="19"/>
  <c r="EF29" i="2" s="1"/>
  <c r="D63" i="16"/>
  <c r="D55"/>
  <c r="D76"/>
  <c r="D71"/>
  <c r="EF26" i="2" s="1"/>
  <c r="EC25"/>
  <c r="D7" i="7"/>
  <c r="F40"/>
  <c r="D26"/>
  <c r="D17" i="5"/>
  <c r="EF14" i="2"/>
  <c r="DQ20"/>
  <c r="DQ17"/>
  <c r="D5" i="15"/>
  <c r="D5" i="9"/>
  <c r="C35" i="18"/>
  <c r="BN28" i="2" s="1"/>
  <c r="C34" i="8"/>
  <c r="BN18" i="2" s="1"/>
  <c r="AP18"/>
  <c r="AT19"/>
  <c r="AS18"/>
  <c r="F20" i="1"/>
  <c r="DZ22" i="2"/>
  <c r="AQ21"/>
  <c r="D64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I18"/>
  <c r="BI31" s="1"/>
  <c r="BI32" s="1"/>
  <c r="BI33" s="1"/>
  <c r="BJ18"/>
  <c r="BK18"/>
  <c r="BL18"/>
  <c r="BM18"/>
  <c r="EC24"/>
  <c r="D5" i="14"/>
  <c r="EY30" i="2"/>
  <c r="D65" i="18"/>
  <c r="DZ28" i="2" s="1"/>
  <c r="D12" i="5"/>
  <c r="E48"/>
  <c r="F48"/>
  <c r="C74"/>
  <c r="I14" i="2"/>
  <c r="AP26"/>
  <c r="AP25"/>
  <c r="AP24"/>
  <c r="AP22"/>
  <c r="AP17"/>
  <c r="AP14"/>
  <c r="AS26"/>
  <c r="AS22"/>
  <c r="AS21"/>
  <c r="G11" i="1"/>
  <c r="D11" s="1"/>
  <c r="G5"/>
  <c r="G39"/>
  <c r="C96" i="12"/>
  <c r="EQ22" i="2" s="1"/>
  <c r="D7" i="16"/>
  <c r="E42" i="9"/>
  <c r="F42"/>
  <c r="ER14" i="2"/>
  <c r="EL14"/>
  <c r="EH14"/>
  <c r="EB14"/>
  <c r="D52" i="4"/>
  <c r="D36" i="16"/>
  <c r="G42" i="1"/>
  <c r="D17" i="19"/>
  <c r="D33" i="5"/>
  <c r="BF15" i="2" s="1"/>
  <c r="D64" i="11"/>
  <c r="D56"/>
  <c r="DK21" i="2" s="1"/>
  <c r="D87" i="7"/>
  <c r="ER17" i="2" s="1"/>
  <c r="D82" i="7"/>
  <c r="EO17" i="2" s="1"/>
  <c r="D80" i="7"/>
  <c r="EL17" i="2" s="1"/>
  <c r="D76" i="7"/>
  <c r="EI17" i="2" s="1"/>
  <c r="EC17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30" i="1"/>
  <c r="D26" i="16"/>
  <c r="D67" i="9"/>
  <c r="D57"/>
  <c r="AD23" i="2"/>
  <c r="I23"/>
  <c r="L23"/>
  <c r="I24"/>
  <c r="AD24"/>
  <c r="AQ28"/>
  <c r="AQ23"/>
  <c r="AQ20"/>
  <c r="AP21"/>
  <c r="AP15"/>
  <c r="E43" i="14"/>
  <c r="F43"/>
  <c r="C26" i="6"/>
  <c r="C66" i="5"/>
  <c r="DE23" i="2"/>
  <c r="DE31" s="1"/>
  <c r="D77" i="17"/>
  <c r="EI27" i="2" s="1"/>
  <c r="D78" i="12"/>
  <c r="D73" i="9"/>
  <c r="G12" i="1"/>
  <c r="C88" i="17"/>
  <c r="EQ27" i="2" s="1"/>
  <c r="DP14"/>
  <c r="D26" i="17"/>
  <c r="D32" i="18"/>
  <c r="C77" i="13"/>
  <c r="EK23" i="2" s="1"/>
  <c r="C26" i="11"/>
  <c r="C26" i="8"/>
  <c r="C33" i="6"/>
  <c r="E67" i="18"/>
  <c r="C64" i="15"/>
  <c r="C81" i="8"/>
  <c r="E83"/>
  <c r="F83"/>
  <c r="CG23" i="2"/>
  <c r="CF23"/>
  <c r="F38" i="13"/>
  <c r="F39"/>
  <c r="E38"/>
  <c r="E39"/>
  <c r="CG27" i="2"/>
  <c r="CF27"/>
  <c r="F40" i="17"/>
  <c r="E40"/>
  <c r="CP27" i="2"/>
  <c r="D7" i="10"/>
  <c r="D7" i="8"/>
  <c r="C29" i="13"/>
  <c r="EL22" i="2"/>
  <c r="EK22"/>
  <c r="D95" i="8"/>
  <c r="EU18" i="2" s="1"/>
  <c r="D67" i="6"/>
  <c r="D66" i="5"/>
  <c r="CO27" i="2"/>
  <c r="D81" i="11"/>
  <c r="EL21" i="2" s="1"/>
  <c r="D65" i="9"/>
  <c r="F43" i="17"/>
  <c r="F44"/>
  <c r="F46"/>
  <c r="F47"/>
  <c r="F48"/>
  <c r="F49"/>
  <c r="E43"/>
  <c r="E44"/>
  <c r="E46"/>
  <c r="E47"/>
  <c r="E48"/>
  <c r="E49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39" i="1"/>
  <c r="F38"/>
  <c r="G37"/>
  <c r="F37"/>
  <c r="F33"/>
  <c r="G31"/>
  <c r="F30"/>
  <c r="F6"/>
  <c r="D12" i="6"/>
  <c r="C91" i="9"/>
  <c r="EN19" i="2" s="1"/>
  <c r="EC27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N29" i="2" s="1"/>
  <c r="D34" i="19"/>
  <c r="BO29" i="2" s="1"/>
  <c r="E35" i="19"/>
  <c r="F35"/>
  <c r="E36"/>
  <c r="F36"/>
  <c r="E39"/>
  <c r="E40"/>
  <c r="F40"/>
  <c r="E41"/>
  <c r="F41"/>
  <c r="E42"/>
  <c r="F42"/>
  <c r="E43"/>
  <c r="F43"/>
  <c r="E44"/>
  <c r="F44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EC29" i="2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1"/>
  <c r="F41"/>
  <c r="E42"/>
  <c r="F42"/>
  <c r="C45"/>
  <c r="D45"/>
  <c r="D56"/>
  <c r="E58"/>
  <c r="F58"/>
  <c r="F59"/>
  <c r="E60"/>
  <c r="F60"/>
  <c r="E61"/>
  <c r="F61"/>
  <c r="E62"/>
  <c r="F62"/>
  <c r="E63"/>
  <c r="F63"/>
  <c r="C64"/>
  <c r="E65"/>
  <c r="F65"/>
  <c r="E67"/>
  <c r="F67"/>
  <c r="E68"/>
  <c r="F68"/>
  <c r="E69"/>
  <c r="F69"/>
  <c r="E70"/>
  <c r="F70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BE25" i="2" s="1"/>
  <c r="D31" i="15"/>
  <c r="BF25" i="2" s="1"/>
  <c r="E32" i="15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F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AY23" i="2" s="1"/>
  <c r="D27" i="13"/>
  <c r="AZ23" i="2" s="1"/>
  <c r="E28" i="13"/>
  <c r="F28"/>
  <c r="D29"/>
  <c r="E30"/>
  <c r="F30"/>
  <c r="E31"/>
  <c r="F31"/>
  <c r="C32"/>
  <c r="BQ23" i="2" s="1"/>
  <c r="D32" i="13"/>
  <c r="E33"/>
  <c r="F33"/>
  <c r="E34"/>
  <c r="F34"/>
  <c r="E37"/>
  <c r="F37"/>
  <c r="F40"/>
  <c r="E41"/>
  <c r="F41"/>
  <c r="E42"/>
  <c r="F42"/>
  <c r="E43"/>
  <c r="F43"/>
  <c r="F44"/>
  <c r="E45"/>
  <c r="F45"/>
  <c r="C52"/>
  <c r="E54"/>
  <c r="F54"/>
  <c r="F55"/>
  <c r="E56"/>
  <c r="F56"/>
  <c r="E57"/>
  <c r="F57"/>
  <c r="E58"/>
  <c r="F58"/>
  <c r="E59"/>
  <c r="F59"/>
  <c r="C60"/>
  <c r="E61"/>
  <c r="F61"/>
  <c r="EB23" i="2"/>
  <c r="EC23"/>
  <c r="E63" i="13"/>
  <c r="F63"/>
  <c r="E64"/>
  <c r="F64"/>
  <c r="E65"/>
  <c r="F65"/>
  <c r="E66"/>
  <c r="F66"/>
  <c r="C68"/>
  <c r="E70"/>
  <c r="F70"/>
  <c r="E71"/>
  <c r="F71"/>
  <c r="E72"/>
  <c r="F72"/>
  <c r="E74"/>
  <c r="F74"/>
  <c r="E75"/>
  <c r="F75"/>
  <c r="E76"/>
  <c r="F76"/>
  <c r="E78"/>
  <c r="C79"/>
  <c r="EN23" i="2" s="1"/>
  <c r="D79" i="13"/>
  <c r="E80"/>
  <c r="F80"/>
  <c r="E81"/>
  <c r="F81"/>
  <c r="E82"/>
  <c r="F82"/>
  <c r="F83"/>
  <c r="C84"/>
  <c r="EQ23" i="2" s="1"/>
  <c r="D84" i="13"/>
  <c r="ER23" i="2" s="1"/>
  <c r="E85" i="13"/>
  <c r="F85"/>
  <c r="E86"/>
  <c r="F86"/>
  <c r="E87"/>
  <c r="E88"/>
  <c r="E89"/>
  <c r="C90"/>
  <c r="ET23" i="2" s="1"/>
  <c r="D90" i="13"/>
  <c r="EU23" i="2" s="1"/>
  <c r="E91" i="13"/>
  <c r="F91"/>
  <c r="E92"/>
  <c r="F92"/>
  <c r="E93"/>
  <c r="F93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BF21" i="2" s="1"/>
  <c r="E32" i="11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EC20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BF18" i="2" s="1"/>
  <c r="E32" i="8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AZ16"/>
  <c r="E31" i="6"/>
  <c r="F31"/>
  <c r="D33"/>
  <c r="BF16" i="2" s="1"/>
  <c r="E34" i="6"/>
  <c r="F34"/>
  <c r="E35"/>
  <c r="F35"/>
  <c r="E38"/>
  <c r="F38"/>
  <c r="D39"/>
  <c r="BR16" i="2" s="1"/>
  <c r="C39" i="6"/>
  <c r="E40"/>
  <c r="E41"/>
  <c r="F41"/>
  <c r="F43"/>
  <c r="E44"/>
  <c r="F44"/>
  <c r="E45"/>
  <c r="F45"/>
  <c r="E46"/>
  <c r="F46"/>
  <c r="E49"/>
  <c r="F49"/>
  <c r="E50"/>
  <c r="F50"/>
  <c r="F51"/>
  <c r="E52"/>
  <c r="F52"/>
  <c r="C59"/>
  <c r="D59"/>
  <c r="E61"/>
  <c r="F61"/>
  <c r="F62"/>
  <c r="E63"/>
  <c r="F63"/>
  <c r="E64"/>
  <c r="F64"/>
  <c r="E65"/>
  <c r="F65"/>
  <c r="E66"/>
  <c r="F66"/>
  <c r="C67"/>
  <c r="E68"/>
  <c r="F68"/>
  <c r="EB16" i="2"/>
  <c r="E70" i="6"/>
  <c r="F70"/>
  <c r="E71"/>
  <c r="F71"/>
  <c r="E72"/>
  <c r="F72"/>
  <c r="E73"/>
  <c r="F73"/>
  <c r="D75"/>
  <c r="EF16" i="2" s="1"/>
  <c r="E76" i="6"/>
  <c r="F76"/>
  <c r="E77"/>
  <c r="F77"/>
  <c r="E79"/>
  <c r="F79"/>
  <c r="C82"/>
  <c r="D82"/>
  <c r="EI16" i="2" s="1"/>
  <c r="E83" i="6"/>
  <c r="F83"/>
  <c r="E84"/>
  <c r="F84"/>
  <c r="E85"/>
  <c r="F85"/>
  <c r="C86"/>
  <c r="EK16" i="2" s="1"/>
  <c r="D86" i="6"/>
  <c r="EL16" i="2" s="1"/>
  <c r="E87" i="6"/>
  <c r="F87"/>
  <c r="C88"/>
  <c r="EN16" i="2" s="1"/>
  <c r="D88" i="6"/>
  <c r="EO16" i="2" s="1"/>
  <c r="E89" i="6"/>
  <c r="F89"/>
  <c r="E90"/>
  <c r="F90"/>
  <c r="E91"/>
  <c r="F91"/>
  <c r="F92"/>
  <c r="C93"/>
  <c r="EQ16" i="2" s="1"/>
  <c r="D93" i="6"/>
  <c r="ER16" i="2" s="1"/>
  <c r="E94" i="6"/>
  <c r="F94"/>
  <c r="E95"/>
  <c r="F95"/>
  <c r="E96"/>
  <c r="E97"/>
  <c r="E98"/>
  <c r="C99"/>
  <c r="D99"/>
  <c r="EU16" i="2" s="1"/>
  <c r="E100" i="6"/>
  <c r="F100"/>
  <c r="E101"/>
  <c r="F101"/>
  <c r="E102"/>
  <c r="F102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E15" i="2" s="1"/>
  <c r="E34" i="5"/>
  <c r="E35"/>
  <c r="F35"/>
  <c r="C36"/>
  <c r="BK15" i="2" s="1"/>
  <c r="D36" i="5"/>
  <c r="BL15" i="2" s="1"/>
  <c r="E37" i="5"/>
  <c r="F37"/>
  <c r="C38"/>
  <c r="BQ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F15" i="2" s="1"/>
  <c r="E75" i="5"/>
  <c r="F75"/>
  <c r="E76"/>
  <c r="F76"/>
  <c r="E77"/>
  <c r="E78"/>
  <c r="F78"/>
  <c r="C79"/>
  <c r="D79"/>
  <c r="EI15" i="2" s="1"/>
  <c r="E80" i="5"/>
  <c r="F80"/>
  <c r="E81"/>
  <c r="F81"/>
  <c r="E82"/>
  <c r="E83"/>
  <c r="F83"/>
  <c r="C84"/>
  <c r="EK15" i="2" s="1"/>
  <c r="D84" i="5"/>
  <c r="E85"/>
  <c r="F85"/>
  <c r="E86"/>
  <c r="F86"/>
  <c r="C87"/>
  <c r="EN15" i="2" s="1"/>
  <c r="D87" i="5"/>
  <c r="EO15" i="2" s="1"/>
  <c r="E88" i="5"/>
  <c r="F88"/>
  <c r="E89"/>
  <c r="F89"/>
  <c r="E90"/>
  <c r="F90"/>
  <c r="E91"/>
  <c r="F91"/>
  <c r="C92"/>
  <c r="EQ15" i="2" s="1"/>
  <c r="D92" i="5"/>
  <c r="ER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AY14" i="2"/>
  <c r="AZ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C9" s="1"/>
  <c r="F11"/>
  <c r="C11" s="1"/>
  <c r="F12"/>
  <c r="F13"/>
  <c r="F16"/>
  <c r="C16" s="1"/>
  <c r="F17"/>
  <c r="G17"/>
  <c r="F18"/>
  <c r="G19"/>
  <c r="D19" s="1"/>
  <c r="F35"/>
  <c r="C35" s="1"/>
  <c r="F40"/>
  <c r="C40" s="1"/>
  <c r="F41"/>
  <c r="C41" s="1"/>
  <c r="G41"/>
  <c r="D41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X19"/>
  <c r="BE19"/>
  <c r="BF19"/>
  <c r="BJ19"/>
  <c r="BV19"/>
  <c r="BY19"/>
  <c r="CJ19"/>
  <c r="CL19"/>
  <c r="CM19"/>
  <c r="CP19"/>
  <c r="CQ19" s="1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D22" i="1"/>
  <c r="E24"/>
  <c r="F24"/>
  <c r="F27"/>
  <c r="C27" s="1"/>
  <c r="G27"/>
  <c r="E33"/>
  <c r="E34"/>
  <c r="E37"/>
  <c r="AO22" i="2"/>
  <c r="AO29"/>
  <c r="AO27"/>
  <c r="AO26"/>
  <c r="F40" i="6"/>
  <c r="BS14" i="2"/>
  <c r="G38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3" i="6"/>
  <c r="E76" i="9"/>
  <c r="F75" i="11"/>
  <c r="E77" i="12"/>
  <c r="F73" i="17"/>
  <c r="C72"/>
  <c r="EE27" i="2" s="1"/>
  <c r="E73" i="17"/>
  <c r="E80" i="8"/>
  <c r="F80"/>
  <c r="E74"/>
  <c r="CC20" i="2"/>
  <c r="C72" i="12"/>
  <c r="C38" i="19"/>
  <c r="F39"/>
  <c r="CQ29" i="2" l="1"/>
  <c r="CA23"/>
  <c r="BZ14"/>
  <c r="AQ31"/>
  <c r="CQ20"/>
  <c r="E20" i="14"/>
  <c r="CQ23" i="2"/>
  <c r="CQ21"/>
  <c r="CA17"/>
  <c r="CQ28"/>
  <c r="CQ27"/>
  <c r="CQ26"/>
  <c r="CQ25"/>
  <c r="CQ24"/>
  <c r="CQ22"/>
  <c r="CQ18"/>
  <c r="CQ16"/>
  <c r="CQ15"/>
  <c r="BP29"/>
  <c r="F28"/>
  <c r="F27"/>
  <c r="F23"/>
  <c r="F22"/>
  <c r="F20"/>
  <c r="BP19"/>
  <c r="BP17"/>
  <c r="F16"/>
  <c r="C25" i="12"/>
  <c r="AS19" i="2"/>
  <c r="F19" s="1"/>
  <c r="C25" i="9"/>
  <c r="C25" i="6"/>
  <c r="D25" i="16"/>
  <c r="C25"/>
  <c r="D98" i="8"/>
  <c r="EH27" i="2"/>
  <c r="EJ27" s="1"/>
  <c r="BP25"/>
  <c r="BP18"/>
  <c r="BP28"/>
  <c r="BZ16"/>
  <c r="BA16"/>
  <c r="C94" i="4"/>
  <c r="J31" i="2"/>
  <c r="J33" s="1"/>
  <c r="E64" i="11"/>
  <c r="D25" i="19"/>
  <c r="D95"/>
  <c r="E14" i="12"/>
  <c r="EQ29" i="2"/>
  <c r="ES29" s="1"/>
  <c r="F17" i="14"/>
  <c r="C98" i="12"/>
  <c r="G98" s="1"/>
  <c r="D98"/>
  <c r="H98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3" i="13"/>
  <c r="E40" i="9"/>
  <c r="EB15" i="2"/>
  <c r="ED15" s="1"/>
  <c r="E5" i="12"/>
  <c r="F55" i="16"/>
  <c r="E40" i="8"/>
  <c r="CK27" i="2"/>
  <c r="E68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E5" i="8"/>
  <c r="F26" i="5"/>
  <c r="F26" i="12"/>
  <c r="AR22" i="2"/>
  <c r="F7" i="12"/>
  <c r="E38" i="5"/>
  <c r="C25"/>
  <c r="CH23" i="2"/>
  <c r="Z20"/>
  <c r="E52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2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9" i="6"/>
  <c r="E36" i="5"/>
  <c r="E33"/>
  <c r="E68"/>
  <c r="DU15" i="2"/>
  <c r="CN15"/>
  <c r="F58" i="5"/>
  <c r="C4"/>
  <c r="BN15" i="2"/>
  <c r="F15" s="1"/>
  <c r="F36" i="5"/>
  <c r="F30"/>
  <c r="AU14" i="2"/>
  <c r="F34" i="4"/>
  <c r="F17"/>
  <c r="F5"/>
  <c r="F42" i="1"/>
  <c r="H42" s="1"/>
  <c r="F26" i="19"/>
  <c r="E17" i="17"/>
  <c r="CH27" i="2"/>
  <c r="EA25"/>
  <c r="AU25"/>
  <c r="CH25"/>
  <c r="Z25"/>
  <c r="CE25"/>
  <c r="F37" i="14"/>
  <c r="F35" s="1"/>
  <c r="F34" s="1"/>
  <c r="F60" i="13"/>
  <c r="Q22" i="2"/>
  <c r="E94" i="11"/>
  <c r="F40" i="9"/>
  <c r="E20"/>
  <c r="F36"/>
  <c r="F86"/>
  <c r="F7" i="8"/>
  <c r="ES18" i="2"/>
  <c r="F14" i="8"/>
  <c r="F80" i="7"/>
  <c r="E39" i="6"/>
  <c r="E36"/>
  <c r="CE15" i="2"/>
  <c r="AF15"/>
  <c r="W15"/>
  <c r="EP15"/>
  <c r="E84" i="4"/>
  <c r="E73"/>
  <c r="D4"/>
  <c r="D37" s="1"/>
  <c r="G32" i="1"/>
  <c r="F7" i="19"/>
  <c r="BA27" i="2"/>
  <c r="F31" i="16"/>
  <c r="E29"/>
  <c r="F31" i="15"/>
  <c r="F29"/>
  <c r="E20"/>
  <c r="AI24" i="2"/>
  <c r="CK23"/>
  <c r="E24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9" i="6"/>
  <c r="F88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0" i="13"/>
  <c r="DO23" i="2"/>
  <c r="F52" i="13"/>
  <c r="D94"/>
  <c r="F84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K19"/>
  <c r="E66" i="8"/>
  <c r="CE18" i="2"/>
  <c r="K18"/>
  <c r="BL31"/>
  <c r="E89" i="8"/>
  <c r="EA18" i="2"/>
  <c r="AR18"/>
  <c r="E7" i="6"/>
  <c r="E33"/>
  <c r="F12"/>
  <c r="F87" i="5"/>
  <c r="E20"/>
  <c r="DO15" i="2"/>
  <c r="E20" i="4"/>
  <c r="CK14" i="2"/>
  <c r="Z14"/>
  <c r="E14" i="4"/>
  <c r="E7"/>
  <c r="F31"/>
  <c r="F29" i="19"/>
  <c r="E29"/>
  <c r="E12"/>
  <c r="E26"/>
  <c r="AI29" i="2"/>
  <c r="F31" i="19"/>
  <c r="E91"/>
  <c r="DO29" i="2"/>
  <c r="W29"/>
  <c r="E17" i="18"/>
  <c r="E7"/>
  <c r="Z28" i="2"/>
  <c r="E77" i="17"/>
  <c r="E45"/>
  <c r="DX27" i="2"/>
  <c r="E34" i="17"/>
  <c r="EV27" i="2"/>
  <c r="F31" i="17"/>
  <c r="W27" i="2"/>
  <c r="E94" i="17"/>
  <c r="F94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2" i="13"/>
  <c r="F24"/>
  <c r="BZ23" i="2"/>
  <c r="AI23"/>
  <c r="AR23"/>
  <c r="F72" i="12"/>
  <c r="F96"/>
  <c r="E96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3" i="6"/>
  <c r="DR16" i="2"/>
  <c r="E12" i="6"/>
  <c r="DU16" i="2"/>
  <c r="AI16"/>
  <c r="AC16"/>
  <c r="W16"/>
  <c r="C102" i="5"/>
  <c r="D102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DK15"/>
  <c r="DJ15"/>
  <c r="AO15"/>
  <c r="AA31"/>
  <c r="AA33" s="1"/>
  <c r="E17" i="4"/>
  <c r="C4"/>
  <c r="C37" s="1"/>
  <c r="F84" i="5"/>
  <c r="EP16" i="2"/>
  <c r="E82" i="6"/>
  <c r="F17"/>
  <c r="F87" i="7"/>
  <c r="F29"/>
  <c r="F5"/>
  <c r="E56" i="8"/>
  <c r="E17"/>
  <c r="E78" i="9"/>
  <c r="F31"/>
  <c r="C4"/>
  <c r="E82" i="10"/>
  <c r="F56"/>
  <c r="E36"/>
  <c r="E17"/>
  <c r="F77" i="11"/>
  <c r="E17"/>
  <c r="E31" i="14"/>
  <c r="E29"/>
  <c r="C25" i="15"/>
  <c r="E12"/>
  <c r="F87" i="16"/>
  <c r="F14"/>
  <c r="F88" i="17"/>
  <c r="E12"/>
  <c r="C4"/>
  <c r="E5"/>
  <c r="E20" i="18"/>
  <c r="E5" i="19"/>
  <c r="C4" i="14"/>
  <c r="F29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9" i="6"/>
  <c r="AF27" i="2"/>
  <c r="AF25"/>
  <c r="N25"/>
  <c r="T24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6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4" i="1"/>
  <c r="H6"/>
  <c r="BR26" i="2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5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2" i="13"/>
  <c r="F72" i="8"/>
  <c r="C98"/>
  <c r="D98" i="14"/>
  <c r="E77" i="13"/>
  <c r="E20" i="12"/>
  <c r="F83" i="15"/>
  <c r="E92" i="5"/>
  <c r="F17" i="15"/>
  <c r="EU17" i="2"/>
  <c r="EV17" s="1"/>
  <c r="E86" i="6"/>
  <c r="F33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0" i="13"/>
  <c r="F17" i="18"/>
  <c r="DR14" i="2"/>
  <c r="F17" i="11"/>
  <c r="F86" i="6"/>
  <c r="F73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7" i="13"/>
  <c r="E93" i="7"/>
  <c r="E5" i="6"/>
  <c r="D25" i="10"/>
  <c r="DN31" i="2"/>
  <c r="DN33" s="1"/>
  <c r="E37" i="12"/>
  <c r="F64"/>
  <c r="EC28" i="2"/>
  <c r="AU24"/>
  <c r="AR16"/>
  <c r="E67" i="6"/>
  <c r="DJ18" i="2"/>
  <c r="F17" i="19"/>
  <c r="E29" i="4"/>
  <c r="E80" i="16"/>
  <c r="E99" i="9"/>
  <c r="DJ19" i="2"/>
  <c r="F14" i="4"/>
  <c r="E77" i="15"/>
  <c r="E94"/>
  <c r="E82" i="12"/>
  <c r="E78" i="19"/>
  <c r="F29" i="10"/>
  <c r="E84"/>
  <c r="F66" i="8"/>
  <c r="E84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29" i="13"/>
  <c r="F12"/>
  <c r="E65" i="18"/>
  <c r="AR28" i="2"/>
  <c r="DR17"/>
  <c r="AI25"/>
  <c r="W24"/>
  <c r="EE29"/>
  <c r="EG29" s="1"/>
  <c r="CN29"/>
  <c r="AF16"/>
  <c r="F99" i="6"/>
  <c r="N28" i="2"/>
  <c r="D97" i="7"/>
  <c r="AI28" i="2"/>
  <c r="CN21"/>
  <c r="K14"/>
  <c r="EA28"/>
  <c r="CK21"/>
  <c r="F59" i="6"/>
  <c r="F7"/>
  <c r="DM31" i="2"/>
  <c r="DM33" s="1"/>
  <c r="CE26"/>
  <c r="CA26"/>
  <c r="CA29"/>
  <c r="CA28"/>
  <c r="CA27"/>
  <c r="CO31"/>
  <c r="CO33" s="1"/>
  <c r="CA24"/>
  <c r="EP22"/>
  <c r="CF31"/>
  <c r="CF33" s="1"/>
  <c r="CA22"/>
  <c r="AD31"/>
  <c r="L31"/>
  <c r="L33" s="1"/>
  <c r="AC22"/>
  <c r="CA21"/>
  <c r="CA18"/>
  <c r="BA19"/>
  <c r="CA25"/>
  <c r="CA20"/>
  <c r="CA19"/>
  <c r="CA16"/>
  <c r="CA15"/>
  <c r="CA14"/>
  <c r="G20"/>
  <c r="AF22"/>
  <c r="CE20"/>
  <c r="M31"/>
  <c r="P31"/>
  <c r="E37" i="7"/>
  <c r="F37"/>
  <c r="E59" i="6"/>
  <c r="E55" i="7"/>
  <c r="F55"/>
  <c r="F38" i="19"/>
  <c r="EA17" i="2"/>
  <c r="F14" i="5"/>
  <c r="EV19" i="2"/>
  <c r="E26" i="9"/>
  <c r="E31" i="10"/>
  <c r="F5"/>
  <c r="E73" i="13"/>
  <c r="F93" i="6"/>
  <c r="H37" i="1"/>
  <c r="CH18" i="2"/>
  <c r="F17" i="10"/>
  <c r="F56" i="12"/>
  <c r="CH14" i="2"/>
  <c r="F12" i="14"/>
  <c r="F12" i="17"/>
  <c r="E5" i="18"/>
  <c r="E7" i="14"/>
  <c r="E7" i="15"/>
  <c r="T22" i="2"/>
  <c r="F5" i="8"/>
  <c r="F31" i="1"/>
  <c r="H31" s="1"/>
  <c r="BR15" i="2"/>
  <c r="F38" i="5"/>
  <c r="E82" i="7"/>
  <c r="EN17" i="2"/>
  <c r="EP17" s="1"/>
  <c r="F36" i="8"/>
  <c r="BQ18" i="2"/>
  <c r="BS18" s="1"/>
  <c r="E26" i="8"/>
  <c r="D25"/>
  <c r="E12" i="13"/>
  <c r="DJ22" i="2"/>
  <c r="BS22"/>
  <c r="E26" i="4"/>
  <c r="F26"/>
  <c r="C4" i="15"/>
  <c r="E65" i="16"/>
  <c r="EB26" i="2"/>
  <c r="F7" i="17"/>
  <c r="E7"/>
  <c r="F32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4" i="5"/>
  <c r="E80" i="7"/>
  <c r="F7" i="14"/>
  <c r="F5" i="15"/>
  <c r="F7"/>
  <c r="F63" i="16"/>
  <c r="E31" i="19"/>
  <c r="E66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5" i="17"/>
  <c r="F34"/>
  <c r="E72" i="12"/>
  <c r="AC26" i="2"/>
  <c r="DU24"/>
  <c r="CH24"/>
  <c r="AO19"/>
  <c r="N19"/>
  <c r="DU18"/>
  <c r="E88" i="6"/>
  <c r="F17" i="9"/>
  <c r="F82" i="10"/>
  <c r="E5"/>
  <c r="E84" i="13"/>
  <c r="F82" i="16"/>
  <c r="G24" i="2"/>
  <c r="E9" i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7" i="5"/>
  <c r="F67" i="6"/>
  <c r="F36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3" i="1"/>
  <c r="H12"/>
  <c r="E81" i="14"/>
  <c r="G27" i="2"/>
  <c r="CG31"/>
  <c r="CG33" s="1"/>
  <c r="CM31"/>
  <c r="CM33" s="1"/>
  <c r="AB31"/>
  <c r="EK17"/>
  <c r="EM17" s="1"/>
  <c r="N17"/>
  <c r="ED22"/>
  <c r="EM29"/>
  <c r="F92" i="5"/>
  <c r="EP19" i="2"/>
  <c r="F20" i="12"/>
  <c r="F34" i="7"/>
  <c r="BS16" i="2"/>
  <c r="CC31"/>
  <c r="CC33" s="1"/>
  <c r="H38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8" i="5"/>
  <c r="D25"/>
  <c r="E30" i="6"/>
  <c r="E5" i="7"/>
  <c r="E20" i="8"/>
  <c r="E12"/>
  <c r="E14" i="9"/>
  <c r="F31" i="10"/>
  <c r="F26"/>
  <c r="F88" i="11"/>
  <c r="E29"/>
  <c r="F31" i="14"/>
  <c r="E93" i="16"/>
  <c r="F83" i="17"/>
  <c r="E56"/>
  <c r="E20"/>
  <c r="F78" i="19"/>
  <c r="F20"/>
  <c r="H39" i="1"/>
  <c r="BG27" i="2"/>
  <c r="BE31"/>
  <c r="BE33" s="1"/>
  <c r="E36" i="7"/>
  <c r="F36"/>
  <c r="BQ17" i="2"/>
  <c r="BS17" s="1"/>
  <c r="DZ31"/>
  <c r="DZ33" s="1"/>
  <c r="EV26"/>
  <c r="DJ23"/>
  <c r="AF17"/>
  <c r="CH16"/>
  <c r="EA15"/>
  <c r="BZ15"/>
  <c r="E64" i="8"/>
  <c r="F89" i="10"/>
  <c r="F14"/>
  <c r="F84" i="12"/>
  <c r="F5" i="13"/>
  <c r="F83" i="14"/>
  <c r="E26" i="15"/>
  <c r="F12"/>
  <c r="E31" i="16"/>
  <c r="F20" i="17"/>
  <c r="F65" i="18"/>
  <c r="E20" i="19"/>
  <c r="Z26" i="2"/>
  <c r="E60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3" i="13"/>
  <c r="E66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3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40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2" i="13"/>
  <c r="BR23" i="2"/>
  <c r="BS23" s="1"/>
  <c r="F32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D16" s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1" i="17"/>
  <c r="E81" s="1"/>
  <c r="F82"/>
  <c r="E82"/>
  <c r="E77" i="18"/>
  <c r="C73"/>
  <c r="F77"/>
  <c r="E64"/>
  <c r="C57"/>
  <c r="F64"/>
  <c r="C74" i="19"/>
  <c r="C95" s="1"/>
  <c r="F77"/>
  <c r="H11" i="1"/>
  <c r="D103" i="6"/>
  <c r="F93" i="9"/>
  <c r="E89" i="10"/>
  <c r="EV23" i="2"/>
  <c r="F66" i="5"/>
  <c r="E32" i="18"/>
  <c r="CK18" i="2"/>
  <c r="G13" i="1"/>
  <c r="BF14" i="2"/>
  <c r="E31" i="4"/>
  <c r="E5" i="5"/>
  <c r="F5"/>
  <c r="ET16" i="2"/>
  <c r="E99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25" s="1"/>
  <c r="F37" i="15"/>
  <c r="EB28" i="2"/>
  <c r="F67" i="18"/>
  <c r="ET29" i="2"/>
  <c r="EV29" s="1"/>
  <c r="F91" i="19"/>
  <c r="F36" i="1"/>
  <c r="E12" i="11"/>
  <c r="F12"/>
  <c r="EE15" i="2"/>
  <c r="F74" i="5"/>
  <c r="D98" i="17"/>
  <c r="E64"/>
  <c r="F64"/>
  <c r="F76" i="16"/>
  <c r="E76"/>
  <c r="EI26" i="2"/>
  <c r="E53" i="19"/>
  <c r="F53"/>
  <c r="E82" i="18"/>
  <c r="EL28" i="2"/>
  <c r="EM28" s="1"/>
  <c r="F82" i="18"/>
  <c r="F39" i="4"/>
  <c r="E78" i="6"/>
  <c r="C75"/>
  <c r="F78"/>
  <c r="E73" i="7"/>
  <c r="F73"/>
  <c r="F79"/>
  <c r="C76"/>
  <c r="CR31" i="2"/>
  <c r="CR33" s="1"/>
  <c r="CT19"/>
  <c r="F72" i="17"/>
  <c r="CN28" i="2"/>
  <c r="F31" i="8"/>
  <c r="E17" i="9"/>
  <c r="F31" i="11"/>
  <c r="C94" i="13"/>
  <c r="F88" i="14"/>
  <c r="C25"/>
  <c r="E14" i="16"/>
  <c r="D103" i="9"/>
  <c r="ES22" i="2"/>
  <c r="DK16"/>
  <c r="DX16"/>
  <c r="F19" i="1"/>
  <c r="C19" s="1"/>
  <c r="F7"/>
  <c r="EH15" i="2"/>
  <c r="F79" i="5"/>
  <c r="E79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79" i="13"/>
  <c r="EO23" i="2"/>
  <c r="EP23" s="1"/>
  <c r="E79" i="13"/>
  <c r="EE23" i="2"/>
  <c r="F68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6" i="13"/>
  <c r="F36"/>
  <c r="E7" i="5"/>
  <c r="F7"/>
  <c r="EB27" i="2"/>
  <c r="F66" i="17"/>
  <c r="E13" i="7"/>
  <c r="Y17" i="2"/>
  <c r="F13" i="7"/>
  <c r="Y19" i="2"/>
  <c r="G19" s="1"/>
  <c r="E13" i="9"/>
  <c r="D12"/>
  <c r="F95" i="8"/>
  <c r="CE23" i="2"/>
  <c r="K22"/>
  <c r="E17" i="5"/>
  <c r="F17"/>
  <c r="E63" i="7"/>
  <c r="F63"/>
  <c r="F84" i="8"/>
  <c r="E84"/>
  <c r="EO18" i="2"/>
  <c r="E29" i="9"/>
  <c r="F29"/>
  <c r="EF20" i="2"/>
  <c r="F14" i="12"/>
  <c r="D4"/>
  <c r="E27" i="13"/>
  <c r="F27"/>
  <c r="E94" i="14"/>
  <c r="F94"/>
  <c r="ET24" i="2"/>
  <c r="EV24" s="1"/>
  <c r="E14" i="14"/>
  <c r="F14"/>
  <c r="E83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69" i="13"/>
  <c r="F69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30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AU19" l="1"/>
  <c r="AS31"/>
  <c r="AS33" s="1"/>
  <c r="F24"/>
  <c r="C24" s="1"/>
  <c r="F29"/>
  <c r="C29" s="1"/>
  <c r="F21"/>
  <c r="F18"/>
  <c r="F17"/>
  <c r="C17" s="1"/>
  <c r="C98" i="17"/>
  <c r="BP15" i="2"/>
  <c r="D37" i="19"/>
  <c r="D48" s="1"/>
  <c r="D49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9" i="1"/>
  <c r="ER33" i="2"/>
  <c r="DV33"/>
  <c r="P33"/>
  <c r="AQ33"/>
  <c r="G18"/>
  <c r="D18" s="1"/>
  <c r="AT31"/>
  <c r="AT33" s="1"/>
  <c r="C41" i="5"/>
  <c r="C53" s="1"/>
  <c r="C54" s="1"/>
  <c r="D40" i="18"/>
  <c r="D52" s="1"/>
  <c r="BS15" i="2"/>
  <c r="G15"/>
  <c r="D15" s="1"/>
  <c r="CB29"/>
  <c r="E25" i="15"/>
  <c r="ED26" i="2"/>
  <c r="BN31"/>
  <c r="E25" i="5"/>
  <c r="E4" i="13"/>
  <c r="CZ32" i="2"/>
  <c r="CZ33" s="1"/>
  <c r="E25" i="16"/>
  <c r="BS26" i="2"/>
  <c r="F4" i="16"/>
  <c r="E36"/>
  <c r="F36"/>
  <c r="E4" i="10"/>
  <c r="D39"/>
  <c r="D51" s="1"/>
  <c r="CB18" i="2"/>
  <c r="CB23"/>
  <c r="E4" i="16"/>
  <c r="C40" i="14"/>
  <c r="C51" s="1"/>
  <c r="F4" i="13"/>
  <c r="E25" i="12"/>
  <c r="E71" i="7"/>
  <c r="C42" i="6"/>
  <c r="C54" s="1"/>
  <c r="G16" i="2"/>
  <c r="D16" s="1"/>
  <c r="BO31"/>
  <c r="BO33" s="1"/>
  <c r="E4" i="5"/>
  <c r="F4" i="4"/>
  <c r="D47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2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1" s="1"/>
  <c r="DL26" i="2"/>
  <c r="BA25"/>
  <c r="F25" i="15"/>
  <c r="DH22" i="2"/>
  <c r="F25" i="12"/>
  <c r="F4" i="11"/>
  <c r="I13" i="1"/>
  <c r="C13" s="1"/>
  <c r="F102" i="5"/>
  <c r="E4" i="4"/>
  <c r="F94"/>
  <c r="CB26" i="2"/>
  <c r="DL18"/>
  <c r="DL15"/>
  <c r="F25" i="19"/>
  <c r="BG29" i="2"/>
  <c r="C26"/>
  <c r="DH25"/>
  <c r="CB25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2" i="5"/>
  <c r="C15" i="2"/>
  <c r="I6" i="1"/>
  <c r="C6" s="1"/>
  <c r="C47" i="4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BZ33" s="1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5" i="1"/>
  <c r="D35"/>
  <c r="E35" s="1"/>
  <c r="K31" i="2"/>
  <c r="BQ31"/>
  <c r="DG18"/>
  <c r="D39" i="11"/>
  <c r="D51" s="1"/>
  <c r="DG23" i="2"/>
  <c r="J5" i="1"/>
  <c r="D5" s="1"/>
  <c r="C35" i="13"/>
  <c r="C47" s="1"/>
  <c r="E98" i="8"/>
  <c r="D20" i="2"/>
  <c r="Q31"/>
  <c r="D24"/>
  <c r="I7" i="1"/>
  <c r="C7" s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1" i="5"/>
  <c r="T31" i="2"/>
  <c r="F98" i="12"/>
  <c r="E98"/>
  <c r="CH31" i="2"/>
  <c r="DK31"/>
  <c r="AK33"/>
  <c r="J13" i="1"/>
  <c r="D13" s="1"/>
  <c r="AX32" i="2"/>
  <c r="AX33" s="1"/>
  <c r="F25" i="5"/>
  <c r="CN31" i="2"/>
  <c r="C40" i="18"/>
  <c r="AC31" i="2"/>
  <c r="J8" i="1"/>
  <c r="D8" s="1"/>
  <c r="W31" i="2"/>
  <c r="CE31"/>
  <c r="AU18"/>
  <c r="DH20"/>
  <c r="DC31"/>
  <c r="DB32"/>
  <c r="DB33" s="1"/>
  <c r="CB15"/>
  <c r="F4" i="18"/>
  <c r="E4"/>
  <c r="J31" i="1"/>
  <c r="D31" s="1"/>
  <c r="DL28" i="2"/>
  <c r="E25" i="18"/>
  <c r="E25" i="10"/>
  <c r="C39" i="9"/>
  <c r="I18" i="1"/>
  <c r="C18" s="1"/>
  <c r="E72" i="10"/>
  <c r="C27" i="2"/>
  <c r="H27"/>
  <c r="EE24"/>
  <c r="E72" i="14"/>
  <c r="F72"/>
  <c r="C98"/>
  <c r="EK21" i="2"/>
  <c r="EM21" s="1"/>
  <c r="F81" i="11"/>
  <c r="E81"/>
  <c r="DH14" i="2"/>
  <c r="DL14"/>
  <c r="EE16"/>
  <c r="C103" i="6"/>
  <c r="E75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3"/>
  <c r="E4" i="12"/>
  <c r="D40"/>
  <c r="F4"/>
  <c r="F12" i="9"/>
  <c r="E12"/>
  <c r="D4"/>
  <c r="Y31" i="2"/>
  <c r="Y33" s="1"/>
  <c r="G17"/>
  <c r="Z17"/>
  <c r="F4" i="10"/>
  <c r="C39"/>
  <c r="EJ15" i="2"/>
  <c r="F14" i="1"/>
  <c r="EG15" i="2"/>
  <c r="DG15"/>
  <c r="E4" i="6"/>
  <c r="D42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4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C36" i="1"/>
  <c r="E36" s="1"/>
  <c r="F29"/>
  <c r="H36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40" i="1"/>
  <c r="H40"/>
  <c r="G29"/>
  <c r="E94" i="13"/>
  <c r="F72" i="10"/>
  <c r="C99"/>
  <c r="E99" s="1"/>
  <c r="F25" i="18"/>
  <c r="DL20" i="2"/>
  <c r="C39" i="8"/>
  <c r="C51" s="1"/>
  <c r="D35" i="13"/>
  <c r="F23"/>
  <c r="E23"/>
  <c r="CB21" i="2"/>
  <c r="D21"/>
  <c r="EK27"/>
  <c r="DG27" s="1"/>
  <c r="E16" i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BS25"/>
  <c r="EV20"/>
  <c r="EU31"/>
  <c r="BB32"/>
  <c r="BB33" s="1"/>
  <c r="BD31"/>
  <c r="F75" i="6"/>
  <c r="F81" i="17"/>
  <c r="DH23" i="2"/>
  <c r="DH18"/>
  <c r="DL21"/>
  <c r="CB22"/>
  <c r="CA31"/>
  <c r="BJ32"/>
  <c r="BJ33" s="1"/>
  <c r="DX31"/>
  <c r="DH27"/>
  <c r="DL27"/>
  <c r="J12" i="1"/>
  <c r="D12" s="1"/>
  <c r="AI31" i="2"/>
  <c r="DJ31"/>
  <c r="DJ33" s="1"/>
  <c r="CA33" l="1"/>
  <c r="C48" i="13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1" i="1"/>
  <c r="C31" s="1"/>
  <c r="E31" s="1"/>
  <c r="DY33" i="2"/>
  <c r="I20" i="1"/>
  <c r="C20" s="1"/>
  <c r="BN33" i="2"/>
  <c r="EN33"/>
  <c r="D52" i="15"/>
  <c r="D52" i="11"/>
  <c r="D52" i="10"/>
  <c r="C52" i="9"/>
  <c r="C53" s="1"/>
  <c r="C52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5" i="6"/>
  <c r="BP31" i="2"/>
  <c r="H16"/>
  <c r="DI14"/>
  <c r="EW19"/>
  <c r="EA31"/>
  <c r="DG21"/>
  <c r="DI21" s="1"/>
  <c r="EW14"/>
  <c r="EW22"/>
  <c r="C51" i="7"/>
  <c r="F103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E8" i="1"/>
  <c r="EX28" i="2"/>
  <c r="BQ32"/>
  <c r="BQ33" s="1"/>
  <c r="F40" i="18"/>
  <c r="K5" i="1"/>
  <c r="C4"/>
  <c r="EW27" i="2"/>
  <c r="J30" i="1"/>
  <c r="D30" s="1"/>
  <c r="D51" i="16"/>
  <c r="K10" i="1"/>
  <c r="H14"/>
  <c r="AR31" i="2"/>
  <c r="H29"/>
  <c r="EX24"/>
  <c r="E29"/>
  <c r="EX18"/>
  <c r="I38" i="1"/>
  <c r="E39" i="11"/>
  <c r="E103" i="6"/>
  <c r="E40" i="18"/>
  <c r="C52"/>
  <c r="C48" i="4"/>
  <c r="E20" i="2"/>
  <c r="K6" i="1"/>
  <c r="DI20" i="2"/>
  <c r="DI22"/>
  <c r="C51" i="15"/>
  <c r="F40"/>
  <c r="E40"/>
  <c r="D53" i="5"/>
  <c r="E41"/>
  <c r="F41"/>
  <c r="E97" i="7"/>
  <c r="EX21" i="2"/>
  <c r="F97" i="7"/>
  <c r="DC32" i="2"/>
  <c r="DC33" s="1"/>
  <c r="J15" i="1"/>
  <c r="AU31" i="2"/>
  <c r="H29" i="1"/>
  <c r="EK31" i="2"/>
  <c r="E95" i="19"/>
  <c r="DG17" i="2"/>
  <c r="EW17" s="1"/>
  <c r="EM27"/>
  <c r="H21"/>
  <c r="C21"/>
  <c r="E21" s="1"/>
  <c r="F35" i="13"/>
  <c r="D47"/>
  <c r="E35"/>
  <c r="H23" i="2"/>
  <c r="D23"/>
  <c r="F97" i="16"/>
  <c r="E97"/>
  <c r="E4" i="7"/>
  <c r="D39"/>
  <c r="F4"/>
  <c r="H4" i="1"/>
  <c r="F23"/>
  <c r="F28" s="1"/>
  <c r="F44" s="1"/>
  <c r="J34"/>
  <c r="F98" i="15"/>
  <c r="E98"/>
  <c r="F99" i="18"/>
  <c r="E99"/>
  <c r="D17" i="2"/>
  <c r="H17"/>
  <c r="ET32"/>
  <c r="ET33" s="1"/>
  <c r="I42" i="1"/>
  <c r="DG16" i="2"/>
  <c r="EG16"/>
  <c r="EE31"/>
  <c r="EE33" s="1"/>
  <c r="E98" i="14"/>
  <c r="F98"/>
  <c r="F47" i="4"/>
  <c r="E47"/>
  <c r="D48"/>
  <c r="BD32" i="2"/>
  <c r="BD33" s="1"/>
  <c r="E37" i="19"/>
  <c r="F37"/>
  <c r="E40" i="1"/>
  <c r="J21"/>
  <c r="D21" s="1"/>
  <c r="BS31" i="2"/>
  <c r="I39" i="1"/>
  <c r="ES31" i="2"/>
  <c r="J32" i="1"/>
  <c r="D32" s="1"/>
  <c r="ED31" i="2"/>
  <c r="BA31"/>
  <c r="I17" i="1"/>
  <c r="C17" s="1"/>
  <c r="J33"/>
  <c r="I32"/>
  <c r="C32" s="1"/>
  <c r="EG25" i="2"/>
  <c r="DG25"/>
  <c r="DI25" s="1"/>
  <c r="J18" i="1"/>
  <c r="D18" s="1"/>
  <c r="BG31" i="2"/>
  <c r="E42" i="6"/>
  <c r="F42"/>
  <c r="D54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2" i="1"/>
  <c r="EU32" i="2"/>
  <c r="EU33" s="1"/>
  <c r="EV31"/>
  <c r="EX26"/>
  <c r="F39" i="8"/>
  <c r="D51"/>
  <c r="G51" s="1"/>
  <c r="E39"/>
  <c r="DG26" i="2"/>
  <c r="EW26" s="1"/>
  <c r="EG26"/>
  <c r="J37" i="1"/>
  <c r="E19" i="2"/>
  <c r="EX19"/>
  <c r="C18"/>
  <c r="H18"/>
  <c r="F31"/>
  <c r="F33" s="1"/>
  <c r="J38" i="1"/>
  <c r="EP31" i="2"/>
  <c r="E4" i="9"/>
  <c r="F4"/>
  <c r="D39"/>
  <c r="F40" i="12"/>
  <c r="D51"/>
  <c r="H51" s="1"/>
  <c r="E40"/>
  <c r="E98" i="17"/>
  <c r="H25" i="2"/>
  <c r="C25"/>
  <c r="C25" i="1"/>
  <c r="EJ29" i="2"/>
  <c r="DG29"/>
  <c r="F40" i="14"/>
  <c r="D51"/>
  <c r="E40"/>
  <c r="D51" i="17"/>
  <c r="E37"/>
  <c r="F37"/>
  <c r="H14" i="2"/>
  <c r="G31"/>
  <c r="G33" s="1"/>
  <c r="D14"/>
  <c r="EW15"/>
  <c r="DI15"/>
  <c r="C51" i="10"/>
  <c r="F39"/>
  <c r="E39"/>
  <c r="J7" i="1"/>
  <c r="Z31" i="2"/>
  <c r="F98" i="17"/>
  <c r="C52" i="14"/>
  <c r="I30" i="1"/>
  <c r="C30" s="1"/>
  <c r="EX27" i="2"/>
  <c r="DI27"/>
  <c r="K12" i="1"/>
  <c r="DH31" i="2"/>
  <c r="DH33" s="1"/>
  <c r="DL31"/>
  <c r="CB31"/>
  <c r="D15" i="1" l="1"/>
  <c r="E15" s="1"/>
  <c r="J14"/>
  <c r="J4"/>
  <c r="K4" s="1"/>
  <c r="D7"/>
  <c r="E7" s="1"/>
  <c r="E50" i="16"/>
  <c r="C53" i="18"/>
  <c r="E20" i="1"/>
  <c r="E38"/>
  <c r="K31"/>
  <c r="EM31" i="2"/>
  <c r="EK33"/>
  <c r="C52" i="15"/>
  <c r="E32" i="1"/>
  <c r="E30"/>
  <c r="D29"/>
  <c r="K39"/>
  <c r="DI28" i="2"/>
  <c r="EY28"/>
  <c r="F50" i="16"/>
  <c r="C51"/>
  <c r="F39"/>
  <c r="E39"/>
  <c r="EY20" i="2"/>
  <c r="EY19"/>
  <c r="EX22"/>
  <c r="EY22" s="1"/>
  <c r="DI17"/>
  <c r="D31"/>
  <c r="D33" s="1"/>
  <c r="EY27"/>
  <c r="K30" i="1"/>
  <c r="E52" i="18"/>
  <c r="F52"/>
  <c r="D55" i="6"/>
  <c r="E51" i="15"/>
  <c r="F51"/>
  <c r="D54" i="5"/>
  <c r="E53"/>
  <c r="F53"/>
  <c r="I37" i="1"/>
  <c r="K37" s="1"/>
  <c r="K15"/>
  <c r="EY15" i="2"/>
  <c r="DI26"/>
  <c r="EW21"/>
  <c r="EY21" s="1"/>
  <c r="DG31"/>
  <c r="J29" i="1"/>
  <c r="I14"/>
  <c r="I33"/>
  <c r="K33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2" i="1"/>
  <c r="F39" i="7"/>
  <c r="D50"/>
  <c r="E39"/>
  <c r="I34" i="1"/>
  <c r="K34" s="1"/>
  <c r="EX17" i="2"/>
  <c r="EY17" s="1"/>
  <c r="E17"/>
  <c r="D48" i="13"/>
  <c r="E47"/>
  <c r="F47"/>
  <c r="K7" i="1"/>
  <c r="F51" i="8"/>
  <c r="D52"/>
  <c r="E51"/>
  <c r="E54" i="6"/>
  <c r="F54"/>
  <c r="C52" i="10"/>
  <c r="E51"/>
  <c r="F51"/>
  <c r="D52" i="17"/>
  <c r="F51"/>
  <c r="E51"/>
  <c r="EW25" i="2"/>
  <c r="EY25" s="1"/>
  <c r="E25"/>
  <c r="EW18"/>
  <c r="EY18" s="1"/>
  <c r="E18"/>
  <c r="C31"/>
  <c r="C33" s="1"/>
  <c r="G28" i="1"/>
  <c r="H23"/>
  <c r="DI24" i="2"/>
  <c r="EW24"/>
  <c r="EY24" s="1"/>
  <c r="E48" i="19"/>
  <c r="C49"/>
  <c r="F48"/>
  <c r="EW16" i="2"/>
  <c r="EY16" s="1"/>
  <c r="DI16"/>
  <c r="EY26"/>
  <c r="EJ31"/>
  <c r="E12" i="1"/>
  <c r="K24"/>
  <c r="J23" l="1"/>
  <c r="J28" s="1"/>
  <c r="DI31" i="2"/>
  <c r="DG33"/>
  <c r="E39" i="1"/>
  <c r="C29"/>
  <c r="E29" s="1"/>
  <c r="E31" i="2"/>
  <c r="I29" i="1"/>
  <c r="K29" s="1"/>
  <c r="EY14" i="2"/>
  <c r="EX31"/>
  <c r="EX33" s="1"/>
  <c r="D53" i="9"/>
  <c r="F52"/>
  <c r="E52"/>
  <c r="E18" i="1"/>
  <c r="D14"/>
  <c r="D4"/>
  <c r="E4" s="1"/>
  <c r="K14"/>
  <c r="I23"/>
  <c r="I28" s="1"/>
  <c r="G44"/>
  <c r="H28"/>
  <c r="F50" i="7"/>
  <c r="D51"/>
  <c r="E50"/>
  <c r="EW31" i="2"/>
  <c r="EW33" s="1"/>
  <c r="E17" i="1"/>
  <c r="C14"/>
  <c r="C23" s="1"/>
  <c r="C28" s="1"/>
  <c r="J44" l="1"/>
  <c r="G45" s="1"/>
  <c r="C44"/>
  <c r="D23"/>
  <c r="D28" s="1"/>
  <c r="I44"/>
  <c r="F45" s="1"/>
  <c r="F46" s="1"/>
  <c r="E14"/>
  <c r="EY31" i="2"/>
  <c r="K23" i="1"/>
  <c r="K28" l="1"/>
  <c r="E23"/>
  <c r="G46"/>
  <c r="C45"/>
  <c r="E28"/>
  <c r="D44"/>
  <c r="D45" s="1"/>
</calcChain>
</file>

<file path=xl/sharedStrings.xml><?xml version="1.0" encoding="utf-8"?>
<sst xmlns="http://schemas.openxmlformats.org/spreadsheetml/2006/main" count="2849" uniqueCount="436">
  <si>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</si>
  <si>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</si>
  <si>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</si>
  <si>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</si>
  <si>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</si>
  <si>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</si>
  <si>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</si>
  <si>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</si>
  <si>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</si>
  <si>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</si>
  <si>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</si>
  <si>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</si>
  <si>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</si>
  <si>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</si>
  <si>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</si>
  <si>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</si>
  <si>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</si>
  <si>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</si>
  <si>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</si>
  <si>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</si>
  <si>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</si>
  <si>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</si>
  <si>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</si>
  <si>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</si>
  <si>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</si>
  <si>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</si>
  <si>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</si>
  <si>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</si>
  <si>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</si>
  <si>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</si>
  <si>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</si>
  <si>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</si>
  <si>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</si>
  <si>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</si>
  <si>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</si>
  <si>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</si>
  <si>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</si>
  <si>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</si>
  <si>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</si>
  <si>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</si>
  <si>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</si>
  <si>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</si>
  <si>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</si>
  <si>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</si>
  <si>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</si>
  <si>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</si>
  <si>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</si>
  <si>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</si>
  <si>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</si>
  <si>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</si>
  <si>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</si>
  <si>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</si>
  <si>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</si>
  <si>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</si>
  <si>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</si>
  <si>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</si>
  <si>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</si>
  <si>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</si>
  <si>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</si>
  <si>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</si>
  <si>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</si>
  <si>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</si>
  <si>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</si>
  <si>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</si>
  <si>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</si>
  <si>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</si>
  <si>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</si>
  <si>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</si>
  <si>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</si>
  <si>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</si>
  <si>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</si>
  <si>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</si>
  <si>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</si>
  <si>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</si>
  <si>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</si>
  <si>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</si>
  <si>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</si>
  <si>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</si>
  <si>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</si>
  <si>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</si>
  <si>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</si>
  <si>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</si>
  <si>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</si>
  <si>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</si>
  <si>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</si>
  <si>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</si>
  <si>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</si>
  <si>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</si>
  <si>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</si>
  <si>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</si>
  <si>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</si>
  <si>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</si>
  <si>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</si>
  <si>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</si>
  <si>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</si>
  <si>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</si>
  <si>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</si>
  <si>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</si>
  <si>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</si>
  <si>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</si>
  <si>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</si>
  <si>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</si>
  <si>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</si>
  <si>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</si>
  <si>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</si>
  <si>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</si>
  <si>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</si>
  <si>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</si>
  <si>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</si>
  <si>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</si>
  <si>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</si>
  <si>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</si>
  <si>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</si>
  <si>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</si>
  <si>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</si>
  <si>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</si>
  <si>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</si>
  <si>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</si>
  <si>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</si>
  <si>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</si>
  <si>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</si>
  <si>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</si>
  <si>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</si>
  <si>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</si>
  <si>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</si>
  <si>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</si>
  <si>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</si>
  <si>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</si>
  <si>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</si>
  <si>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</si>
  <si>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</si>
  <si>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</si>
  <si>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</si>
  <si>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</si>
  <si>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</si>
  <si>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</si>
  <si>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</si>
  <si>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</si>
  <si>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</si>
  <si>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</si>
  <si>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</si>
  <si>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</si>
  <si>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</si>
  <si>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</si>
  <si>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</si>
  <si>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</si>
  <si>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</si>
  <si>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</si>
  <si>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</si>
  <si>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</si>
  <si>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</si>
  <si>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</si>
  <si>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</si>
  <si>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</si>
  <si>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</si>
  <si>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</si>
  <si>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</si>
  <si>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</si>
  <si>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</si>
  <si>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</si>
  <si>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</si>
  <si>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</si>
  <si>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</si>
  <si>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</si>
  <si>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</si>
  <si>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</si>
  <si>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</si>
  <si>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</si>
  <si>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</si>
  <si>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</si>
  <si>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</si>
  <si>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</si>
  <si>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</si>
  <si>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</si>
  <si>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</si>
  <si>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</si>
  <si>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</si>
  <si>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</si>
  <si>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</si>
  <si>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</si>
  <si>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</si>
  <si>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</si>
  <si>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</si>
  <si>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</si>
  <si>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</si>
  <si>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</si>
  <si>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</si>
  <si>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</si>
  <si>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</si>
  <si>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</si>
  <si>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</si>
  <si>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</si>
  <si>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</si>
  <si>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</si>
  <si>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</si>
  <si>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</si>
  <si>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</si>
  <si>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</si>
  <si>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</si>
  <si>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</si>
  <si>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</si>
  <si>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</si>
  <si>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</si>
  <si>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</si>
  <si>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</si>
  <si>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</si>
  <si>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</si>
  <si>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</si>
  <si>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</si>
  <si>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</si>
  <si>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</si>
  <si>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</si>
  <si>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</si>
  <si>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</si>
  <si>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</si>
  <si>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</si>
  <si>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</si>
  <si>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</si>
  <si>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</si>
  <si>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</si>
  <si>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</si>
  <si>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</si>
  <si>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</si>
  <si>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</si>
  <si>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</si>
  <si>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</si>
  <si>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</si>
  <si>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</si>
  <si>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</si>
  <si>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</si>
  <si>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</si>
  <si>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</si>
  <si>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</si>
  <si>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</si>
  <si>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</si>
  <si>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</si>
  <si>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</si>
  <si>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</si>
  <si>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</si>
  <si>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</si>
  <si>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</si>
  <si>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</si>
  <si>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</si>
  <si>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</si>
  <si>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</si>
  <si>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</si>
  <si>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</si>
  <si>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</si>
  <si>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</si>
  <si>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</si>
  <si>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</si>
  <si>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</si>
  <si>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</si>
  <si>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</si>
  <si>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</si>
  <si>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</si>
  <si>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</si>
  <si>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</si>
  <si>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</si>
  <si>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</si>
  <si>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</si>
  <si>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</si>
  <si>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</si>
  <si>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</si>
  <si>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</si>
  <si>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</si>
  <si>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</si>
  <si>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</si>
  <si>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</si>
  <si>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</si>
  <si>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</si>
  <si>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</si>
  <si>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</si>
  <si>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</si>
  <si>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</si>
  <si>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</si>
  <si>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</si>
  <si>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</si>
  <si>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</si>
  <si>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</si>
  <si>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</si>
  <si>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</si>
  <si>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</si>
  <si>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</si>
  <si>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</si>
  <si>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</si>
  <si>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</si>
  <si>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</si>
  <si>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</si>
  <si>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</si>
  <si>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</si>
  <si>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</si>
  <si>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</si>
  <si>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</si>
  <si>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</si>
  <si>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</si>
  <si>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</si>
  <si>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</si>
  <si>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</si>
  <si>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</si>
  <si>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</si>
  <si>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</si>
  <si>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</si>
  <si>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</si>
  <si>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</si>
  <si>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</si>
  <si>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</si>
  <si>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</si>
  <si>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</si>
  <si>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</si>
  <si>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</si>
  <si>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</si>
  <si>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</si>
  <si>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</si>
  <si>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</si>
  <si>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</si>
  <si>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</si>
  <si>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</si>
  <si>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</si>
  <si>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</si>
  <si>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</si>
  <si>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</si>
  <si>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</si>
  <si>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</si>
  <si>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</si>
  <si>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</si>
  <si>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</si>
  <si>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</si>
  <si>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</si>
  <si>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</si>
  <si>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</si>
  <si>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</si>
  <si>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</si>
  <si>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</si>
  <si>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</si>
  <si>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</si>
  <si>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</si>
  <si>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</si>
  <si>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</si>
  <si>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</si>
  <si>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</si>
  <si>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</si>
  <si>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</si>
  <si>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</si>
  <si>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</si>
  <si>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</si>
  <si>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</si>
  <si>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</si>
  <si>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</si>
  <si>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</si>
  <si>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</si>
  <si>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</si>
  <si>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</si>
  <si>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</si>
  <si>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</si>
  <si>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</si>
  <si>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</si>
  <si>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</si>
  <si>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</si>
  <si>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</si>
  <si>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</si>
  <si>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</si>
  <si>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</si>
  <si>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</si>
  <si>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</si>
  <si>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</si>
  <si>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</si>
  <si>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</si>
  <si>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</si>
  <si>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</si>
  <si>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</si>
  <si>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</si>
  <si>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</si>
  <si>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</si>
  <si>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</si>
  <si>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</si>
  <si>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</si>
  <si>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</si>
  <si>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</si>
  <si>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</si>
  <si>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</si>
  <si>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</si>
  <si>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</si>
  <si>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</si>
  <si>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</si>
  <si>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</si>
  <si>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</si>
  <si>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</si>
  <si>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</si>
  <si>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</si>
  <si>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</si>
  <si>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</si>
  <si>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</si>
  <si>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</si>
  <si>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</si>
  <si>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</si>
  <si>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</si>
  <si>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</si>
  <si>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</si>
  <si>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</si>
  <si>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</si>
  <si>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</si>
  <si>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</si>
  <si>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</si>
  <si>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Иные штафы, неустойки, пени, уплаченные в соотв с законом или договорам</t>
  </si>
  <si>
    <t>Штрафы, неустойки,пени, уплаченные в случае просрочки исп поставщиком</t>
  </si>
  <si>
    <t>Доходы от д.в. (штрафов),поступ в счет погашения задолж., образ до 1 января 2020 года</t>
  </si>
  <si>
    <t>Иные штрафы, неустойки, пени</t>
  </si>
  <si>
    <t>Платежи, уплачиваемые в целях возмещения вреда</t>
  </si>
  <si>
    <t>план на 2022 г.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</si>
  <si>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</si>
  <si>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</si>
  <si>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</si>
  <si>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</si>
  <si>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 xml:space="preserve">                     Анализ исполнения бюджета Александровского сельского поселения на 01.04.2022 г.</t>
  </si>
  <si>
    <t>исполнено на 01.04.2022 г.</t>
  </si>
  <si>
    <t>Доходы от компенсации затрат государства</t>
  </si>
  <si>
    <t xml:space="preserve">                     Анализ исполнения бюджета Большесундырского сельского поселения на 01.04.2022 г.</t>
  </si>
  <si>
    <t xml:space="preserve">                     Анализ исполнения бюджета Ильинского сельского поселения на 01.04.2022 г.</t>
  </si>
  <si>
    <t xml:space="preserve">                     Анализ исполнения бюджета Моргаушского сельского поселения на 01.04.2022 г.</t>
  </si>
  <si>
    <t xml:space="preserve">                     Анализ исполнения бюджета Кадикасинского сельского поселения на 01.04.2022 г.</t>
  </si>
  <si>
    <t xml:space="preserve">                     Анализ исполнения бюджета Москакасинского сельского поселения на 01.04.2022 г.</t>
  </si>
  <si>
    <t xml:space="preserve">  Доходы от компенсации затрат государства</t>
  </si>
  <si>
    <t xml:space="preserve">                     Анализ исполнения бюджета Орининского сельского поселения на 01.04.2022 г.</t>
  </si>
  <si>
    <t xml:space="preserve">                     Анализ исполнения бюджета Сятракасинского сельского поселения на 01.04.2022 г.</t>
  </si>
  <si>
    <t xml:space="preserve">                     Анализ исполнения бюджета Тораевского сельского поселения на 01.04.2022 г.</t>
  </si>
  <si>
    <t xml:space="preserve">                     Анализ исполнения бюджета Чуманкасинского сельского поселения на 01.04.2022 г.</t>
  </si>
  <si>
    <t xml:space="preserve">                     Анализ исполнения бюджета Шатьмапосинского сельского поселения на 01.04.2022 г.</t>
  </si>
  <si>
    <t xml:space="preserve">                     Анализ исполнения бюджета Юнгинского сельского поселения на 01.04.2022 г.</t>
  </si>
  <si>
    <t xml:space="preserve">                     Анализ исполнения бюджета Юськасинского сельского поселения на 01.04.2022 г.</t>
  </si>
  <si>
    <t xml:space="preserve">                     Анализ исполнения бюджета Ярабайкасинского сельского поселения на 01.04.2022 г.</t>
  </si>
  <si>
    <t xml:space="preserve">                     Анализ исполнения бюджета Ярославского сельского поселения на 01.04.2022 г.</t>
  </si>
  <si>
    <t>об исполнении бюджетов поселений  Моргаушского района  на 1 апреля 2022 г.</t>
  </si>
  <si>
    <t xml:space="preserve">                                                        Моргаушского района на 01.04.2022 г. </t>
  </si>
  <si>
    <t>Анализ исполнения консолидированного бюджета Моргаушского районана 01.04.2022 г.</t>
  </si>
  <si>
    <t xml:space="preserve">                     Анализ исполнения бюджета Хорнойского сельского поселения на 01.04.2022 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</si>
</sst>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28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5" fillId="3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18" fillId="0" borderId="1" xfId="11" applyFont="1" applyBorder="1"/>
    <xf numFmtId="166" fontId="18" fillId="0" borderId="1" xfId="11" applyNumberFormat="1" applyFont="1" applyBorder="1" applyAlignment="1">
      <alignment horizontal="right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wrapText="1"/>
    </xf>
    <xf numFmtId="166" fontId="19" fillId="0" borderId="1" xfId="11" applyNumberFormat="1" applyFont="1" applyBorder="1" applyAlignment="1">
      <alignment horizontal="right" vertical="center"/>
    </xf>
    <xf numFmtId="166" fontId="19" fillId="0" borderId="1" xfId="11" applyNumberFormat="1" applyFont="1" applyFill="1" applyBorder="1" applyAlignment="1">
      <alignment horizontal="right" vertical="center"/>
    </xf>
    <xf numFmtId="0" fontId="18" fillId="0" borderId="1" xfId="11" applyFont="1" applyBorder="1" applyAlignment="1">
      <alignment wrapText="1"/>
    </xf>
    <xf numFmtId="0" fontId="19" fillId="0" borderId="1" xfId="11" applyFont="1" applyBorder="1"/>
    <xf numFmtId="166" fontId="19" fillId="0" borderId="1" xfId="0" applyNumberFormat="1" applyFont="1" applyBorder="1" applyAlignment="1">
      <alignment horizontal="right" vertical="center"/>
    </xf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6" fontId="19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/>
    </xf>
    <xf numFmtId="1" fontId="18" fillId="0" borderId="1" xfId="11" applyNumberFormat="1" applyFont="1" applyBorder="1" applyAlignment="1">
      <alignment horizontal="center"/>
    </xf>
    <xf numFmtId="166" fontId="18" fillId="0" borderId="1" xfId="11" applyNumberFormat="1" applyFont="1" applyBorder="1" applyAlignment="1">
      <alignment wrapText="1"/>
    </xf>
    <xf numFmtId="0" fontId="18" fillId="0" borderId="1" xfId="11" applyFont="1" applyBorder="1" applyAlignment="1">
      <alignment horizontal="center" vertical="top"/>
    </xf>
    <xf numFmtId="0" fontId="18" fillId="0" borderId="1" xfId="11" applyFont="1" applyBorder="1" applyAlignment="1">
      <alignment vertical="top" wrapText="1"/>
    </xf>
    <xf numFmtId="0" fontId="19" fillId="0" borderId="1" xfId="11" applyFont="1" applyFill="1" applyBorder="1" applyAlignment="1">
      <alignment wrapText="1"/>
    </xf>
    <xf numFmtId="166" fontId="19" fillId="3" borderId="1" xfId="12" applyNumberFormat="1" applyFont="1" applyFill="1" applyBorder="1" applyAlignment="1">
      <alignment horizontal="right" vertical="center"/>
    </xf>
    <xf numFmtId="166" fontId="19" fillId="3" borderId="1" xfId="11" applyNumberFormat="1" applyFont="1" applyFill="1" applyBorder="1" applyAlignment="1">
      <alignment horizontal="right" vertical="center"/>
    </xf>
    <xf numFmtId="166" fontId="19" fillId="5" borderId="1" xfId="11" applyNumberFormat="1" applyFont="1" applyFill="1" applyBorder="1" applyAlignment="1">
      <alignment horizontal="right" vertical="center"/>
    </xf>
    <xf numFmtId="166" fontId="19" fillId="2" borderId="1" xfId="2" applyNumberFormat="1" applyFont="1" applyFill="1" applyBorder="1" applyAlignment="1">
      <alignment horizontal="right" vertical="center" shrinkToFit="1"/>
    </xf>
    <xf numFmtId="166" fontId="19" fillId="2" borderId="1" xfId="3" applyNumberFormat="1" applyFont="1" applyFill="1" applyBorder="1" applyAlignment="1">
      <alignment horizontal="right" vertical="center" shrinkToFit="1"/>
    </xf>
    <xf numFmtId="166" fontId="19" fillId="2" borderId="1" xfId="4" applyNumberFormat="1" applyFont="1" applyFill="1" applyBorder="1" applyAlignment="1">
      <alignment horizontal="right" vertical="center" shrinkToFit="1"/>
    </xf>
    <xf numFmtId="166" fontId="18" fillId="0" borderId="1" xfId="11" applyNumberFormat="1" applyFont="1" applyFill="1" applyBorder="1" applyAlignment="1">
      <alignment horizontal="right" vertical="center"/>
    </xf>
    <xf numFmtId="0" fontId="18" fillId="0" borderId="1" xfId="11" applyFont="1" applyFill="1" applyBorder="1"/>
    <xf numFmtId="166" fontId="18" fillId="5" borderId="1" xfId="11" applyNumberFormat="1" applyFont="1" applyFill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0" fontId="18" fillId="0" borderId="2" xfId="11" applyFont="1" applyBorder="1" applyAlignment="1">
      <alignment horizontal="center"/>
    </xf>
    <xf numFmtId="0" fontId="18" fillId="0" borderId="2" xfId="11" applyFont="1" applyFill="1" applyBorder="1"/>
    <xf numFmtId="166" fontId="18" fillId="0" borderId="2" xfId="11" applyNumberFormat="1" applyFont="1" applyBorder="1" applyAlignment="1">
      <alignment horizontal="right" vertical="center"/>
    </xf>
    <xf numFmtId="166" fontId="19" fillId="0" borderId="0" xfId="9" applyNumberFormat="1" applyFont="1" applyAlignment="1">
      <alignment horizontal="right" vertical="center"/>
    </xf>
    <xf numFmtId="0" fontId="18" fillId="0" borderId="1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1" fontId="18" fillId="0" borderId="1" xfId="9" applyNumberFormat="1" applyFont="1" applyBorder="1" applyAlignment="1">
      <alignment horizontal="center" vertical="center" wrapText="1"/>
    </xf>
    <xf numFmtId="49" fontId="18" fillId="0" borderId="1" xfId="9" applyNumberFormat="1" applyFont="1" applyBorder="1" applyAlignment="1">
      <alignment horizontal="center"/>
    </xf>
    <xf numFmtId="0" fontId="18" fillId="3" borderId="1" xfId="9" applyFont="1" applyFill="1" applyBorder="1" applyAlignment="1">
      <alignment wrapText="1"/>
    </xf>
    <xf numFmtId="166" fontId="18" fillId="0" borderId="1" xfId="6" applyNumberFormat="1" applyFont="1" applyBorder="1" applyAlignment="1">
      <alignment horizontal="right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 vertical="center"/>
    </xf>
    <xf numFmtId="0" fontId="19" fillId="0" borderId="1" xfId="9" applyFont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166" fontId="19" fillId="0" borderId="1" xfId="9" applyNumberFormat="1" applyFont="1" applyBorder="1" applyAlignment="1">
      <alignment horizontal="right"/>
    </xf>
    <xf numFmtId="49" fontId="18" fillId="0" borderId="3" xfId="8" applyNumberFormat="1" applyFont="1" applyBorder="1" applyAlignment="1">
      <alignment horizontal="center"/>
    </xf>
    <xf numFmtId="0" fontId="18" fillId="3" borderId="1" xfId="8" applyFont="1" applyFill="1" applyBorder="1" applyAlignment="1">
      <alignment wrapText="1"/>
    </xf>
    <xf numFmtId="49" fontId="19" fillId="0" borderId="1" xfId="8" applyNumberFormat="1" applyFont="1" applyBorder="1" applyAlignment="1">
      <alignment horizontal="center"/>
    </xf>
    <xf numFmtId="0" fontId="19" fillId="0" borderId="1" xfId="8" applyFont="1" applyBorder="1" applyAlignment="1">
      <alignment wrapText="1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39" fillId="0" borderId="1" xfId="7" applyFont="1" applyBorder="1" applyAlignment="1">
      <alignment wrapText="1"/>
    </xf>
    <xf numFmtId="166" fontId="19" fillId="0" borderId="1" xfId="9" applyNumberFormat="1" applyFont="1" applyBorder="1" applyAlignment="1">
      <alignment horizontal="right" vertical="center" wrapText="1"/>
    </xf>
    <xf numFmtId="166" fontId="18" fillId="0" borderId="1" xfId="6" applyNumberFormat="1" applyFont="1" applyBorder="1" applyAlignment="1">
      <alignment horizontal="right" vertical="center"/>
    </xf>
    <xf numFmtId="166" fontId="19" fillId="0" borderId="1" xfId="6" applyNumberFormat="1" applyFont="1" applyBorder="1" applyAlignment="1">
      <alignment horizontal="right" vertical="center"/>
    </xf>
    <xf numFmtId="0" fontId="19" fillId="0" borderId="1" xfId="9" applyFont="1" applyBorder="1" applyAlignment="1">
      <alignment horizontal="left" wrapText="1"/>
    </xf>
    <xf numFmtId="0" fontId="18" fillId="3" borderId="1" xfId="9" applyFont="1" applyFill="1" applyBorder="1" applyAlignment="1">
      <alignment horizontal="left" wrapText="1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1" xfId="9" applyFont="1" applyFill="1" applyBorder="1" applyAlignment="1">
      <alignment wrapText="1"/>
    </xf>
    <xf numFmtId="166" fontId="18" fillId="0" borderId="1" xfId="9" applyNumberFormat="1" applyFont="1" applyBorder="1" applyAlignment="1">
      <alignment horizontal="right"/>
    </xf>
    <xf numFmtId="0" fontId="18" fillId="0" borderId="1" xfId="9" applyFont="1" applyFill="1" applyBorder="1" applyAlignment="1">
      <alignment wrapText="1"/>
    </xf>
    <xf numFmtId="0" fontId="18" fillId="0" borderId="1" xfId="9" applyFont="1" applyFill="1" applyBorder="1" applyAlignment="1">
      <alignment horizontal="center" wrapText="1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0" fontId="18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2" fontId="19" fillId="0" borderId="1" xfId="11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79" fontId="31" fillId="3" borderId="1" xfId="0" applyNumberFormat="1" applyFont="1" applyFill="1" applyBorder="1" applyAlignment="1">
      <alignment vertical="center" wrapText="1"/>
    </xf>
    <xf numFmtId="166" fontId="18" fillId="5" borderId="1" xfId="9" applyNumberFormat="1" applyFont="1" applyFill="1" applyBorder="1" applyAlignment="1">
      <alignment horizontal="right" vertical="center"/>
    </xf>
    <xf numFmtId="166" fontId="19" fillId="2" borderId="1" xfId="5" applyNumberFormat="1" applyFont="1" applyFill="1" applyBorder="1" applyAlignment="1">
      <alignment horizontal="right" vertical="top" shrinkToFit="1"/>
    </xf>
    <xf numFmtId="166" fontId="18" fillId="0" borderId="1" xfId="12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9" fontId="31" fillId="0" borderId="1" xfId="0" applyNumberFormat="1" applyFont="1" applyFill="1" applyBorder="1" applyAlignment="1">
      <alignment vertical="center" wrapText="1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166" fontId="18" fillId="3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2" fontId="18" fillId="5" borderId="1" xfId="12" applyNumberFormat="1" applyFont="1" applyFill="1" applyBorder="1" applyAlignment="1">
      <alignment horizontal="right" vertical="center"/>
    </xf>
    <xf numFmtId="2" fontId="18" fillId="0" borderId="1" xfId="11" applyNumberFormat="1" applyFont="1" applyBorder="1" applyAlignment="1">
      <alignment horizontal="right" vertical="center"/>
    </xf>
    <xf numFmtId="0" fontId="18" fillId="0" borderId="1" xfId="9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617" Type="http://schemas.openxmlformats.org/officeDocument/2006/relationships/revisionLog" Target="revisionLog15.xml"/><Relationship Id="rId620" Type="http://schemas.openxmlformats.org/officeDocument/2006/relationships/revisionLog" Target="revisionLog1.xml"/><Relationship Id="rId619" Type="http://schemas.openxmlformats.org/officeDocument/2006/relationships/revisionLog" Target="revisionLog11.xml"/><Relationship Id="rId618" Type="http://schemas.openxmlformats.org/officeDocument/2006/relationships/revisionLog" Target="revisionLog19.xml"/></Relationships>
</file>

<file path=xl/revisions/revisionHeaders.xml><?xml version="1.0" encoding="utf-8"?>
<headers xmlns="http://schemas.openxmlformats.org/spreadsheetml/2006/main" xmlns:r="http://schemas.openxmlformats.org/officeDocument/2006/relationships" guid="{B30A7079-C4EE-4A6E-ACCC-BEFA458D5116}" diskRevisions="1" revisionId="26327" version="2">
  <header guid="{47EBA3EE-1E5B-4E53-8F73-723EDDF5F5A1}" dateTime="2022-04-06T11:20:46" maxSheetId="24" userName="morgau_fin3" r:id="rId6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E297EB-7D6A-4FC6-AD70-2FAAD77D8FED}" dateTime="2022-04-06T14:34:13" maxSheetId="24" userName="morgau_fin3" r:id="rId618" minRId="26222" maxRId="262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5C3325-1ADB-4BFA-A596-006AB708A8EC}" dateTime="2022-04-06T14:40:07" maxSheetId="24" userName="morgau_fin3" r:id="rId6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30A7079-C4EE-4A6E-ACCC-BEFA458D5116}" dateTime="2022-07-06T15:50:39" maxSheetId="25" userName="хорной" r:id="rId620" minRId="26296" maxRId="26297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6296" sId="13">
    <oc r="A1" t="inlineStr">
      <is>
        <t xml:space="preserve">                     Анализ исполнения бюджета Хорнойского сельского поселения на 01.03.2022 г.</t>
      </is>
    </oc>
    <nc r="A1" t="inlineStr">
      <is>
        <t xml:space="preserve">                     Анализ исполнения бюджета Хорнойского сельского поселения на 01.04.2022 г.</t>
      </is>
    </nc>
  </rcc>
  <ris rId="26297" sheetId="24" name="[analiz-ispolneniya-byudzheta-ifxxiwdn.xlsx]Лист5" sheetPosition="23"/>
  <rdn rId="0" localSheetId="1" customView="1" name="Z_E6F84523_F47F_492E_BB0B_0D2156A983B1_.wvu.PrintArea" hidden="1" oldHidden="1">
    <formula>Консол!$A$1:$K$51</formula>
  </rdn>
  <rdn rId="0" localSheetId="1" customView="1" name="Z_E6F84523_F47F_492E_BB0B_0D2156A983B1_.wvu.Rows" hidden="1" oldHidden="1">
    <formula>Консол!$44:$46</formula>
  </rdn>
  <rdn rId="0" localSheetId="2" customView="1" name="Z_E6F84523_F47F_492E_BB0B_0D2156A983B1_.wvu.PrintArea" hidden="1" oldHidden="1">
    <formula>Справка!$A$1:$EY$31</formula>
  </rdn>
  <rdn rId="0" localSheetId="2" customView="1" name="Z_E6F84523_F47F_492E_BB0B_0D2156A983B1_.wvu.Cols" hidden="1" oldHidden="1">
    <formula>Справка!$AV:$AX,Справка!$BB:$BD,Справка!$BH:$BJ,Справка!$BL:$BM,Справка!$BT:$BY,Справка!$CX:$DF</formula>
  </rdn>
  <rdn rId="0" localSheetId="3" customView="1" name="Z_E6F84523_F47F_492E_BB0B_0D2156A983B1_.wvu.PrintArea" hidden="1" oldHidden="1">
    <formula>район!$A$1:$F$136</formula>
  </rdn>
  <rdn rId="0" localSheetId="3" customView="1" name="Z_E6F84523_F47F_492E_BB0B_0D2156A983B1_.wvu.Rows" hidden="1" oldHidden="1">
    <formula>район!$19:$19,район!$26:$27,район!$36:$36,район!$39:$39,район!$51:$52,район!$71:$71,район!$122:$123</formula>
  </rdn>
  <rdn rId="0" localSheetId="4" customView="1" name="Z_E6F84523_F47F_492E_BB0B_0D2156A983B1_.wvu.PrintArea" hidden="1" oldHidden="1">
    <formula>Але!$A$1:$F$97</formula>
  </rdn>
  <rdn rId="0" localSheetId="4" customView="1" name="Z_E6F84523_F47F_492E_BB0B_0D2156A983B1_.wvu.Rows" hidden="1" oldHidden="1">
    <formula>Але!$19:$24,Але!$28:$28,Але!$36:$36,Але!$40:$40,Але!$55:$56,Але!$63:$64,Але!$69:$70,Але!$74:$74,Але!$79:$82,Але!$86:$93,Але!$142:$142</formula>
  </rdn>
  <rdn rId="0" localSheetId="5" customView="1" name="Z_E6F84523_F47F_492E_BB0B_0D2156A983B1_.wvu.PrintArea" hidden="1" oldHidden="1">
    <formula>Сун!$A$1:$F$105</formula>
  </rdn>
  <rdn rId="0" localSheetId="5" customView="1" name="Z_E6F84523_F47F_492E_BB0B_0D2156A983B1_.wvu.Rows" hidden="1" oldHidden="1">
    <formula>Сун!$19:$24,Сун!$44:$44,Сун!$46:$46,Сун!$50:$52,Сун!$59:$59,Сун!$61:$62,Сун!$69:$70,Сун!$76:$76,Сун!$80:$80,Сун!$83:$83,Сун!$86:$86,Сун!$88:$90,Сун!$94:$101,Сун!$143:$143</formula>
  </rdn>
  <rdn rId="0" localSheetId="6" customView="1" name="Z_E6F84523_F47F_492E_BB0B_0D2156A983B1_.wvu.PrintArea" hidden="1" oldHidden="1">
    <formula>Иль!$A$1:$F$106</formula>
  </rdn>
  <rdn rId="0" localSheetId="6" customView="1" name="Z_E6F84523_F47F_492E_BB0B_0D2156A983B1_.wvu.Rows" hidden="1" oldHidden="1">
    <formula>Иль!$19:$23,Иль!$35:$35,Иль!$41:$41,Иль!$45:$45,Иль!$47:$47,Иль!$51:$52,Иль!$60:$60,Иль!$62:$64,Иль!$70:$71,Иль!$80:$81,Иль!$83:$83,Иль!$88:$92,Иль!$95:$102,Иль!$145:$145</formula>
  </rdn>
  <rdn rId="0" localSheetId="7" customView="1" name="Z_E6F84523_F47F_492E_BB0B_0D2156A983B1_.wvu.Rows" hidden="1" oldHidden="1">
    <formula>Кад!$19:$24,Кад!$31:$35,Кад!$38:$38,Кад!$42:$42,Кад!$44:$44,Кад!$48:$48,Кад!$56:$56,Кад!$58:$60,Кад!$66:$67,Кад!$77:$77,Кад!$82:$86,Кад!$89:$96,Кад!$142:$142</formula>
  </rdn>
  <rdn rId="0" localSheetId="8" customView="1" name="Z_E6F84523_F47F_492E_BB0B_0D2156A983B1_.wvu.PrintArea" hidden="1" oldHidden="1">
    <formula>Мор!$A$1:$F$101</formula>
  </rdn>
  <rdn rId="0" localSheetId="8" customView="1" name="Z_E6F84523_F47F_492E_BB0B_0D2156A983B1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E6F84523_F47F_492E_BB0B_0D2156A983B1_.wvu.Rows" hidden="1" oldHidden="1">
    <formula>Мос!$19:$24,Мос!$42:$42,Мос!$44:$44,Мос!$48:$48,Мос!$50:$50,Мос!$58:$58,Мос!$60:$61,Мос!$68:$69,Мос!$82:$82,Мос!$85:$92,Мос!$95:$102,Мос!$143:$143</formula>
  </rdn>
  <rdn rId="0" localSheetId="10" customView="1" name="Z_E6F84523_F47F_492E_BB0B_0D2156A983B1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E6F84523_F47F_492E_BB0B_0D2156A983B1_.wvu.Rows" hidden="1" oldHidden="1">
    <formula>Сят!$19:$24,Сят!$38:$38,Сят!$45:$47,Сят!$57:$57,Сят!$59:$60,Сят!$67:$68,Сят!$78:$78,Сят!$83:$87,Сят!$90:$97,Сят!$143:$143</formula>
  </rdn>
  <rdn rId="0" localSheetId="12" customView="1" name="Z_E6F84523_F47F_492E_BB0B_0D2156A983B1_.wvu.PrintArea" hidden="1" oldHidden="1">
    <formula>Тор!$A$1:$F$101</formula>
  </rdn>
  <rdn rId="0" localSheetId="12" customView="1" name="Z_E6F84523_F47F_492E_BB0B_0D2156A983B1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E6F84523_F47F_492E_BB0B_0D2156A983B1_.wvu.Rows" hidden="1" oldHidden="1">
    <formula>Хор!$20:$22,Хор!$26:$31,Хор!$38:$38,Хор!$44:$46,Хор!$53:$53,Хор!$55:$56,Хор!$63:$64,Хор!$74:$74,Хор!$79:$83,Хор!$86:$93,Хор!$140:$140</formula>
  </rdn>
  <rdn rId="0" localSheetId="14" customView="1" name="Z_E6F84523_F47F_492E_BB0B_0D2156A983B1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E6F84523_F47F_492E_BB0B_0D2156A983B1_.wvu.Rows" hidden="1" oldHidden="1">
    <formula>Шать!$19:$25,Шать!$35:$36,Шать!$38:$38,Шать!$47:$49,Шать!$57:$57,Шать!$59:$60,Шать!$67:$68,Шать!$78:$78,Шать!$84:$86,Шать!$90:$97,Шать!$142:$142</formula>
  </rdn>
  <rdn rId="0" localSheetId="16" customView="1" name="Z_E6F84523_F47F_492E_BB0B_0D2156A983B1_.wvu.PrintArea" hidden="1" oldHidden="1">
    <formula>Юнг!$A$1:$F$100</formula>
  </rdn>
  <rdn rId="0" localSheetId="16" customView="1" name="Z_E6F84523_F47F_492E_BB0B_0D2156A983B1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E6F84523_F47F_492E_BB0B_0D2156A983B1_.wvu.Rows" hidden="1" oldHidden="1">
    <formula>Юсь!$19:$24,Юсь!$36:$36,Юсь!$43:$48,Юсь!$57:$57,Юсь!$59:$60,Юсь!$67:$68,Юсь!$83:$87,Юсь!$90:$97,Юсь!$141:$141</formula>
  </rdn>
  <rdn rId="0" localSheetId="18" customView="1" name="Z_E6F84523_F47F_492E_BB0B_0D2156A983B1_.wvu.PrintArea" hidden="1" oldHidden="1">
    <formula>Яра!$A$1:$F$102</formula>
  </rdn>
  <rdn rId="0" localSheetId="18" customView="1" name="Z_E6F84523_F47F_492E_BB0B_0D2156A983B1_.wvu.Rows" hidden="1" oldHidden="1">
    <formula>Яра!$19:$24,Яра!$28:$29,Яра!$33:$34,Яра!$36:$36,Яра!$38:$38,Яра!$58:$58,Яра!$60:$61,Яра!$68:$69,Яра!$79:$79,Яра!$84:$88,Яра!$91:$98,Яра!$143:$143</formula>
  </rdn>
  <rdn rId="0" localSheetId="19" customView="1" name="Z_E6F84523_F47F_492E_BB0B_0D2156A983B1_.wvu.Rows" hidden="1" oldHidden="1">
    <formula>Яро!$19:$24,Яро!$28:$28,Яро!$40:$40,Яро!$43:$43,Яро!$46:$47,Яро!$54:$54,Яро!$56:$57,Яро!$64:$65,Яро!$75:$75,Яро!$82:$84,Яро!$87:$90,Яро!$92:$94</formula>
  </rdn>
  <rdn rId="0" localSheetId="20" customView="1" name="Z_E6F84523_F47F_492E_BB0B_0D2156A983B1_.wvu.Rows" hidden="1" oldHidden="1">
    <formula>Лист1!$82:$84</formula>
  </rdn>
  <rcv guid="{E6F84523-F47F-492E-BB0B-0D2156A983B1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район!$39:$39,район!$71:$71,район!$122:$123</formula>
    <oldFormula>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26222" sId="3">
    <oc r="E18">
      <f>SUM(D18/C18*100)</f>
    </oc>
    <nc r="E18"/>
  </rcc>
  <rcc rId="26223" sId="3">
    <oc r="E21">
      <f>SUM(D21/C21*100)</f>
    </oc>
    <nc r="E21"/>
  </rcc>
  <rcc rId="26224" sId="3">
    <oc r="E11">
      <f>SUM(D11/C11*100)</f>
    </oc>
    <nc r="E11"/>
  </rcc>
  <rcc rId="26225" sId="3">
    <oc r="E14">
      <f>SUM(D14/C14*100)</f>
    </oc>
    <nc r="E14"/>
  </rcc>
  <rcc rId="26226" sId="3">
    <oc r="E27">
      <f>SUM(D27/C27*100)</f>
    </oc>
    <nc r="E27"/>
  </rcc>
  <rcc rId="26227" sId="3">
    <oc r="E26">
      <f>SUM(D26/C26*100)</f>
    </oc>
    <nc r="E26"/>
  </rcc>
  <rcc rId="26228" sId="3">
    <oc r="E28">
      <f>SUM(D28/C28*100)</f>
    </oc>
    <nc r="E28"/>
  </rcc>
  <rcc rId="26229" sId="3">
    <oc r="E29">
      <f>SUM(D29/C29*100)</f>
    </oc>
    <nc r="E29"/>
  </rcc>
  <rcc rId="26230" sId="3">
    <oc r="E30">
      <f>SUM(D30/C30*100)</f>
    </oc>
    <nc r="E30"/>
  </rcc>
  <rcc rId="26231" sId="3">
    <oc r="E31">
      <f>SUM(D31/C31*100)</f>
    </oc>
    <nc r="E31"/>
  </rcc>
  <rcc rId="26232" sId="3">
    <oc r="E36">
      <f>SUM(D36/C36*100)</f>
    </oc>
    <nc r="E36"/>
  </rcc>
  <rcc rId="26233" sId="3">
    <oc r="E41">
      <f>SUM(D41/C41*100)</f>
    </oc>
    <nc r="E41"/>
  </rcc>
  <rcc rId="26234" sId="3">
    <oc r="G72">
      <f>C72-798026.07441</f>
    </oc>
    <nc r="G72"/>
  </rcc>
  <rcc rId="26235" sId="3">
    <oc r="H72">
      <f>D72-379713.41199</f>
    </oc>
    <nc r="H72"/>
  </rcc>
  <rfmt sheetId="3" sqref="C72:D72">
    <dxf>
      <numFmt numFmtId="174" formatCode="0.0000"/>
    </dxf>
  </rfmt>
  <rfmt sheetId="3" sqref="C72:D72">
    <dxf>
      <numFmt numFmtId="183" formatCode="0.000"/>
    </dxf>
  </rfmt>
  <rfmt sheetId="3" sqref="C72:D72">
    <dxf>
      <numFmt numFmtId="2" formatCode="0.00"/>
    </dxf>
  </rfmt>
  <rfmt sheetId="3" sqref="C62:D62">
    <dxf>
      <numFmt numFmtId="174" formatCode="0.0000"/>
    </dxf>
  </rfmt>
  <rfmt sheetId="3" sqref="C62:D62">
    <dxf>
      <numFmt numFmtId="183" formatCode="0.000"/>
    </dxf>
  </rfmt>
  <rfmt sheetId="3" sqref="C62:D62">
    <dxf>
      <numFmt numFmtId="2" formatCode="0.00"/>
    </dxf>
  </rfmt>
  <rfmt sheetId="3" sqref="C133:D133">
    <dxf>
      <numFmt numFmtId="174" formatCode="0.0000"/>
    </dxf>
  </rfmt>
  <rfmt sheetId="3" sqref="C133:D133">
    <dxf>
      <numFmt numFmtId="183" formatCode="0.000"/>
    </dxf>
  </rfmt>
  <rfmt sheetId="3" sqref="C133:D133">
    <dxf>
      <numFmt numFmtId="2" formatCode="0.00"/>
    </dxf>
  </rfmt>
  <rfmt sheetId="3" sqref="D76">
    <dxf>
      <numFmt numFmtId="0" formatCode="General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район!$19:$19,район!$39:$39,район!$71:$71,район!$122:$123</formula>
    <oldFormula>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DF5C3325-1ADB-4BFA-A596-006AB708A8EC}" name="хорной" id="-489743369" dateTime="2022-07-06T15:50:3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5"/>
  <sheetViews>
    <sheetView view="pageBreakPreview" zoomScale="80" zoomScaleNormal="100" zoomScaleSheetLayoutView="80" workbookViewId="0">
      <selection activeCell="E11" sqref="E11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3.5703125" style="74" customWidth="1"/>
    <col min="9" max="9" width="21.140625" style="74" customWidth="1"/>
    <col min="10" max="10" width="18" style="74" customWidth="1"/>
    <col min="11" max="11" width="13" style="74" customWidth="1"/>
    <col min="12" max="12" width="23.5703125" style="74" customWidth="1"/>
    <col min="13" max="13" width="12" style="74" customWidth="1"/>
    <col min="14" max="16384" width="9.140625" style="74"/>
  </cols>
  <sheetData>
    <row r="1" spans="1:15" ht="26.25" customHeight="1">
      <c r="A1" s="486" t="s">
        <v>434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121"/>
      <c r="M1" s="121"/>
      <c r="N1" s="121"/>
      <c r="O1" s="121"/>
    </row>
    <row r="2" spans="1:15" ht="33.75" customHeight="1">
      <c r="A2" s="484" t="s">
        <v>177</v>
      </c>
      <c r="B2" s="485" t="s">
        <v>178</v>
      </c>
      <c r="C2" s="481" t="s">
        <v>179</v>
      </c>
      <c r="D2" s="482"/>
      <c r="E2" s="482"/>
      <c r="F2" s="481" t="s">
        <v>180</v>
      </c>
      <c r="G2" s="482"/>
      <c r="H2" s="482"/>
      <c r="I2" s="481" t="s">
        <v>181</v>
      </c>
      <c r="J2" s="482"/>
      <c r="K2" s="487"/>
    </row>
    <row r="3" spans="1:15" ht="53.25" customHeight="1">
      <c r="A3" s="484"/>
      <c r="B3" s="485"/>
      <c r="C3" s="77" t="s">
        <v>409</v>
      </c>
      <c r="D3" s="77" t="s">
        <v>415</v>
      </c>
      <c r="E3" s="135" t="s">
        <v>317</v>
      </c>
      <c r="F3" s="77" t="s">
        <v>409</v>
      </c>
      <c r="G3" s="77" t="s">
        <v>415</v>
      </c>
      <c r="H3" s="135" t="s">
        <v>317</v>
      </c>
      <c r="I3" s="77" t="s">
        <v>409</v>
      </c>
      <c r="J3" s="77" t="s">
        <v>415</v>
      </c>
      <c r="K3" s="77" t="s">
        <v>317</v>
      </c>
    </row>
    <row r="4" spans="1:15" s="79" customFormat="1" ht="30.75" customHeight="1">
      <c r="A4" s="78" t="s">
        <v>4</v>
      </c>
      <c r="B4" s="75"/>
      <c r="C4" s="194">
        <f>SUM(C5:C13)</f>
        <v>203601.29600000003</v>
      </c>
      <c r="D4" s="194">
        <f>SUM(D5:D13)</f>
        <v>48930.103930000005</v>
      </c>
      <c r="E4" s="194">
        <f>D4/C4*100</f>
        <v>24.032314573282481</v>
      </c>
      <c r="F4" s="194">
        <f>SUM(F5:F13)</f>
        <v>164323.60000000003</v>
      </c>
      <c r="G4" s="194">
        <f>SUM(G5:G13)</f>
        <v>42175.188549999999</v>
      </c>
      <c r="H4" s="194">
        <f>G4/F4*100</f>
        <v>25.665935112181081</v>
      </c>
      <c r="I4" s="194">
        <f>I5+I7+I6+I8+I10+I11+I12+I13</f>
        <v>39277.695999999996</v>
      </c>
      <c r="J4" s="194">
        <f>J5+J6+J7+J8+J10+J11+J12+J13</f>
        <v>6754.9153800000013</v>
      </c>
      <c r="K4" s="194">
        <f>J4/I4*100</f>
        <v>17.197840168629043</v>
      </c>
    </row>
    <row r="5" spans="1:15" ht="27" customHeight="1">
      <c r="A5" s="80" t="s">
        <v>182</v>
      </c>
      <c r="B5" s="76">
        <v>10102</v>
      </c>
      <c r="C5" s="195">
        <f t="shared" ref="C5:C13" si="0">F5+I5</f>
        <v>141678.20000000001</v>
      </c>
      <c r="D5" s="195">
        <f t="shared" ref="D5:D13" si="1">G5+J5</f>
        <v>31944.943909999998</v>
      </c>
      <c r="E5" s="196">
        <f t="shared" ref="E5:E12" si="2">D5/C5*100</f>
        <v>22.547536537025454</v>
      </c>
      <c r="F5" s="195">
        <f>район!C5</f>
        <v>135138.20000000001</v>
      </c>
      <c r="G5" s="195">
        <f>район!D5</f>
        <v>30473.09996</v>
      </c>
      <c r="H5" s="196">
        <f t="shared" ref="H5:H42" si="3">G5/F5*100</f>
        <v>22.549582545867857</v>
      </c>
      <c r="I5" s="195">
        <f>Справка!I31</f>
        <v>6540</v>
      </c>
      <c r="J5" s="195">
        <f>Справка!J31</f>
        <v>1471.8439499999999</v>
      </c>
      <c r="K5" s="196">
        <f t="shared" ref="K5:K12" si="4">J5/I5*100</f>
        <v>22.505259174311927</v>
      </c>
    </row>
    <row r="6" spans="1:15" ht="41.25" customHeight="1">
      <c r="A6" s="80" t="s">
        <v>270</v>
      </c>
      <c r="B6" s="76">
        <v>10300</v>
      </c>
      <c r="C6" s="195">
        <f t="shared" si="0"/>
        <v>16269.2</v>
      </c>
      <c r="D6" s="195">
        <f t="shared" si="1"/>
        <v>4298.7824200000005</v>
      </c>
      <c r="E6" s="196">
        <f t="shared" si="2"/>
        <v>26.422826076266816</v>
      </c>
      <c r="F6" s="195">
        <f>район!C7</f>
        <v>5934.2</v>
      </c>
      <c r="G6" s="195">
        <f>район!D7</f>
        <v>1567.9677299999998</v>
      </c>
      <c r="H6" s="196">
        <f t="shared" si="3"/>
        <v>26.422562940244681</v>
      </c>
      <c r="I6" s="195">
        <f>Справка!L31+Справка!R31+Справка!O31</f>
        <v>10335</v>
      </c>
      <c r="J6" s="195">
        <f>Справка!M31+Справка!S31+Справка!P31+Справка!V31</f>
        <v>2730.8146900000006</v>
      </c>
      <c r="K6" s="196">
        <f t="shared" si="4"/>
        <v>26.4229771649734</v>
      </c>
    </row>
    <row r="7" spans="1:15" ht="19.5" customHeight="1">
      <c r="A7" s="80" t="s">
        <v>183</v>
      </c>
      <c r="B7" s="76">
        <v>10500</v>
      </c>
      <c r="C7" s="195">
        <f t="shared" si="0"/>
        <v>16965</v>
      </c>
      <c r="D7" s="195">
        <f t="shared" si="1"/>
        <v>4961.75648</v>
      </c>
      <c r="E7" s="196">
        <f t="shared" si="2"/>
        <v>29.247017270851757</v>
      </c>
      <c r="F7" s="195">
        <f>район!C12</f>
        <v>16500</v>
      </c>
      <c r="G7" s="195">
        <f>район!D12</f>
        <v>4567.8223099999996</v>
      </c>
      <c r="H7" s="196">
        <f t="shared" si="3"/>
        <v>27.683771575757572</v>
      </c>
      <c r="I7" s="195">
        <f>Справка!X31</f>
        <v>465</v>
      </c>
      <c r="J7" s="195">
        <f>Справка!Y31</f>
        <v>393.93417000000011</v>
      </c>
      <c r="K7" s="196">
        <f t="shared" si="4"/>
        <v>84.717025806451645</v>
      </c>
    </row>
    <row r="8" spans="1:15" ht="19.5" customHeight="1">
      <c r="A8" s="80" t="s">
        <v>184</v>
      </c>
      <c r="B8" s="76">
        <v>10601</v>
      </c>
      <c r="C8" s="195">
        <f t="shared" si="0"/>
        <v>6780</v>
      </c>
      <c r="D8" s="195">
        <f t="shared" si="1"/>
        <v>523.12360999999987</v>
      </c>
      <c r="E8" s="196">
        <f t="shared" si="2"/>
        <v>7.7156874631268408</v>
      </c>
      <c r="F8" s="195"/>
      <c r="G8" s="195"/>
      <c r="H8" s="196"/>
      <c r="I8" s="195">
        <f>Справка!AA31</f>
        <v>6780</v>
      </c>
      <c r="J8" s="195">
        <f>Справка!AB31</f>
        <v>523.12360999999987</v>
      </c>
      <c r="K8" s="196">
        <f t="shared" si="4"/>
        <v>7.7156874631268408</v>
      </c>
    </row>
    <row r="9" spans="1:15" ht="19.5" customHeight="1">
      <c r="A9" s="80" t="s">
        <v>271</v>
      </c>
      <c r="B9" s="76">
        <v>10604</v>
      </c>
      <c r="C9" s="195">
        <f t="shared" si="0"/>
        <v>2731.2</v>
      </c>
      <c r="D9" s="195">
        <f t="shared" si="1"/>
        <v>203.47613000000001</v>
      </c>
      <c r="E9" s="196">
        <f t="shared" si="2"/>
        <v>7.4500633421206803</v>
      </c>
      <c r="F9" s="195">
        <f>район!C17</f>
        <v>2731.2</v>
      </c>
      <c r="G9" s="195">
        <f>район!D20</f>
        <v>203.47613000000001</v>
      </c>
      <c r="H9" s="196">
        <f t="shared" si="3"/>
        <v>7.4500633421206803</v>
      </c>
      <c r="I9" s="195"/>
      <c r="J9" s="195"/>
      <c r="K9" s="196"/>
    </row>
    <row r="10" spans="1:15" ht="19.5" customHeight="1">
      <c r="A10" s="80" t="s">
        <v>185</v>
      </c>
      <c r="B10" s="76">
        <v>10606</v>
      </c>
      <c r="C10" s="195">
        <f t="shared" si="0"/>
        <v>15060.696</v>
      </c>
      <c r="D10" s="195">
        <f t="shared" si="1"/>
        <v>1618.1253100000001</v>
      </c>
      <c r="E10" s="196">
        <f t="shared" si="2"/>
        <v>10.744027434057497</v>
      </c>
      <c r="F10" s="195"/>
      <c r="G10" s="195"/>
      <c r="H10" s="196">
        <v>0</v>
      </c>
      <c r="I10" s="195">
        <f>Справка!AD31</f>
        <v>15060.696</v>
      </c>
      <c r="J10" s="195">
        <f>Справка!AE31</f>
        <v>1618.1253100000001</v>
      </c>
      <c r="K10" s="196">
        <f t="shared" si="4"/>
        <v>10.744027434057497</v>
      </c>
    </row>
    <row r="11" spans="1:15" ht="33.75" customHeight="1">
      <c r="A11" s="80" t="s">
        <v>186</v>
      </c>
      <c r="B11" s="76">
        <v>10701</v>
      </c>
      <c r="C11" s="195">
        <f t="shared" si="0"/>
        <v>1320</v>
      </c>
      <c r="D11" s="195">
        <f t="shared" si="1"/>
        <v>4760.2740000000003</v>
      </c>
      <c r="E11" s="196">
        <f t="shared" si="2"/>
        <v>360.62681818181818</v>
      </c>
      <c r="F11" s="195">
        <f>район!C22</f>
        <v>1320</v>
      </c>
      <c r="G11" s="195">
        <f>район!D22</f>
        <v>4760.2740000000003</v>
      </c>
      <c r="H11" s="196">
        <f t="shared" si="3"/>
        <v>360.62681818181818</v>
      </c>
      <c r="I11" s="195"/>
      <c r="J11" s="195"/>
      <c r="K11" s="196">
        <v>0</v>
      </c>
    </row>
    <row r="12" spans="1:15" ht="19.5" customHeight="1">
      <c r="A12" s="80" t="s">
        <v>187</v>
      </c>
      <c r="B12" s="76">
        <v>10800</v>
      </c>
      <c r="C12" s="195">
        <f t="shared" si="0"/>
        <v>2797</v>
      </c>
      <c r="D12" s="195">
        <f t="shared" si="1"/>
        <v>619.25842</v>
      </c>
      <c r="E12" s="196">
        <f t="shared" si="2"/>
        <v>22.140093671791206</v>
      </c>
      <c r="F12" s="195">
        <f>район!C24</f>
        <v>2700</v>
      </c>
      <c r="G12" s="195">
        <f>район!D24</f>
        <v>602.54841999999996</v>
      </c>
      <c r="H12" s="196">
        <f t="shared" si="3"/>
        <v>22.316608148148148</v>
      </c>
      <c r="I12" s="195">
        <f>Справка!AG31</f>
        <v>97</v>
      </c>
      <c r="J12" s="195">
        <f>Справка!AH31</f>
        <v>16.71</v>
      </c>
      <c r="K12" s="196">
        <f t="shared" si="4"/>
        <v>17.226804123711343</v>
      </c>
    </row>
    <row r="13" spans="1:15" ht="19.5" customHeight="1">
      <c r="A13" s="80" t="s">
        <v>188</v>
      </c>
      <c r="B13" s="76">
        <v>10900</v>
      </c>
      <c r="C13" s="195">
        <f t="shared" si="0"/>
        <v>0</v>
      </c>
      <c r="D13" s="195">
        <f t="shared" si="1"/>
        <v>0.36364999999999997</v>
      </c>
      <c r="E13" s="196"/>
      <c r="F13" s="195">
        <f>район!C28</f>
        <v>0</v>
      </c>
      <c r="G13" s="195">
        <f>район!D28</f>
        <v>0</v>
      </c>
      <c r="H13" s="196"/>
      <c r="I13" s="195">
        <f>Справка!AJ31</f>
        <v>0</v>
      </c>
      <c r="J13" s="195">
        <f>Справка!AK31</f>
        <v>0.36364999999999997</v>
      </c>
      <c r="K13" s="196"/>
    </row>
    <row r="14" spans="1:15" s="79" customFormat="1" ht="20.25" customHeight="1">
      <c r="A14" s="78" t="s">
        <v>12</v>
      </c>
      <c r="B14" s="75"/>
      <c r="C14" s="194">
        <f>SUM(C15:C21)</f>
        <v>19996.570639999998</v>
      </c>
      <c r="D14" s="194">
        <f>SUM(D15:D21)</f>
        <v>7540.0769700000001</v>
      </c>
      <c r="E14" s="194">
        <f t="shared" ref="E14:E40" si="5">D14/C14*100</f>
        <v>37.706850368218944</v>
      </c>
      <c r="F14" s="194">
        <f>F15+F16+F17+F18+F20+F21+F19</f>
        <v>15690</v>
      </c>
      <c r="G14" s="194">
        <f>G15+G16+G17+G18+G20+G21+G19</f>
        <v>5519.5742099999998</v>
      </c>
      <c r="H14" s="194">
        <f t="shared" si="3"/>
        <v>35.178930592734226</v>
      </c>
      <c r="I14" s="197">
        <f>I15+I16+I17+I18+I20+I21+I27</f>
        <v>4306.5706399999999</v>
      </c>
      <c r="J14" s="197">
        <f>J15+J16+J17+J18+J20+J21</f>
        <v>2020.5027600000001</v>
      </c>
      <c r="K14" s="194">
        <f>J14/I14*100</f>
        <v>46.916744874292839</v>
      </c>
    </row>
    <row r="15" spans="1:15" ht="52.5" customHeight="1">
      <c r="A15" s="80" t="s">
        <v>189</v>
      </c>
      <c r="B15" s="76">
        <v>11100</v>
      </c>
      <c r="C15" s="195">
        <f t="shared" ref="C15:D21" si="6">F15+I15</f>
        <v>11662.01064</v>
      </c>
      <c r="D15" s="195">
        <f t="shared" si="6"/>
        <v>2861.0406999999996</v>
      </c>
      <c r="E15" s="195">
        <f t="shared" si="5"/>
        <v>24.532996824636747</v>
      </c>
      <c r="F15" s="195">
        <f>район!C34</f>
        <v>9140</v>
      </c>
      <c r="G15" s="195">
        <f>район!D34</f>
        <v>2398.3397899999995</v>
      </c>
      <c r="H15" s="195">
        <f t="shared" si="3"/>
        <v>26.240041466083149</v>
      </c>
      <c r="I15" s="195">
        <f>Справка!AP31+Справка!AS31+Справка!AM31</f>
        <v>2522.0106400000004</v>
      </c>
      <c r="J15" s="195">
        <f>Справка!AQ31+Справка!AT31+Справка!AN31</f>
        <v>462.70091000000002</v>
      </c>
      <c r="K15" s="196">
        <f>J15/I15*100</f>
        <v>18.346509037725546</v>
      </c>
    </row>
    <row r="16" spans="1:15" ht="33" customHeight="1">
      <c r="A16" s="80" t="s">
        <v>190</v>
      </c>
      <c r="B16" s="76">
        <v>11200</v>
      </c>
      <c r="C16" s="195">
        <f t="shared" si="6"/>
        <v>1400</v>
      </c>
      <c r="D16" s="195">
        <f t="shared" si="6"/>
        <v>317.70154000000002</v>
      </c>
      <c r="E16" s="195">
        <f t="shared" si="5"/>
        <v>22.692967142857146</v>
      </c>
      <c r="F16" s="195">
        <f>район!C43</f>
        <v>1400</v>
      </c>
      <c r="G16" s="195">
        <f>район!D43</f>
        <v>317.70154000000002</v>
      </c>
      <c r="H16" s="195">
        <f t="shared" si="3"/>
        <v>22.692967142857146</v>
      </c>
      <c r="I16" s="195">
        <v>0</v>
      </c>
      <c r="J16" s="195">
        <v>0</v>
      </c>
      <c r="K16" s="196">
        <v>0</v>
      </c>
    </row>
    <row r="17" spans="1:13" ht="33" customHeight="1">
      <c r="A17" s="80" t="s">
        <v>191</v>
      </c>
      <c r="B17" s="76">
        <v>11300</v>
      </c>
      <c r="C17" s="195">
        <f t="shared" si="6"/>
        <v>540</v>
      </c>
      <c r="D17" s="195">
        <f t="shared" si="6"/>
        <v>99.762190000000004</v>
      </c>
      <c r="E17" s="195">
        <f>D17/C17*100</f>
        <v>18.474479629629631</v>
      </c>
      <c r="F17" s="195">
        <f>район!C45</f>
        <v>50</v>
      </c>
      <c r="G17" s="195">
        <f>район!D45</f>
        <v>0.76173999999999997</v>
      </c>
      <c r="H17" s="195">
        <f t="shared" si="3"/>
        <v>1.5234799999999999</v>
      </c>
      <c r="I17" s="195">
        <f>Справка!AY31</f>
        <v>490</v>
      </c>
      <c r="J17" s="195">
        <f>Справка!AZ31</f>
        <v>99.000450000000001</v>
      </c>
      <c r="K17" s="196"/>
    </row>
    <row r="18" spans="1:13" ht="33" customHeight="1">
      <c r="A18" s="80" t="s">
        <v>192</v>
      </c>
      <c r="B18" s="76">
        <v>11400</v>
      </c>
      <c r="C18" s="195">
        <f t="shared" si="6"/>
        <v>4794.5599999999995</v>
      </c>
      <c r="D18" s="195">
        <f t="shared" si="6"/>
        <v>3796.1173200000003</v>
      </c>
      <c r="E18" s="195">
        <f t="shared" si="5"/>
        <v>79.175509744376967</v>
      </c>
      <c r="F18" s="195">
        <f>район!C48</f>
        <v>3500</v>
      </c>
      <c r="G18" s="195">
        <f>район!D48</f>
        <v>2337.7159200000001</v>
      </c>
      <c r="H18" s="195">
        <f t="shared" si="3"/>
        <v>66.791883428571424</v>
      </c>
      <c r="I18" s="195">
        <f>Справка!BE31</f>
        <v>1294.56</v>
      </c>
      <c r="J18" s="195">
        <f>Справка!BF31</f>
        <v>1458.4014</v>
      </c>
      <c r="K18" s="196"/>
    </row>
    <row r="19" spans="1:13" ht="23.25" customHeight="1">
      <c r="A19" s="80" t="s">
        <v>240</v>
      </c>
      <c r="B19" s="76">
        <v>11500</v>
      </c>
      <c r="C19" s="195">
        <f t="shared" si="6"/>
        <v>0</v>
      </c>
      <c r="D19" s="195">
        <f t="shared" si="6"/>
        <v>0</v>
      </c>
      <c r="E19" s="195"/>
      <c r="F19" s="195">
        <f>район!C51</f>
        <v>0</v>
      </c>
      <c r="G19" s="195">
        <f>район!D51</f>
        <v>0</v>
      </c>
      <c r="H19" s="195"/>
      <c r="I19" s="195"/>
      <c r="J19" s="195"/>
      <c r="K19" s="196"/>
    </row>
    <row r="20" spans="1:13" ht="22.5" customHeight="1">
      <c r="A20" s="80" t="s">
        <v>193</v>
      </c>
      <c r="B20" s="76">
        <v>11600</v>
      </c>
      <c r="C20" s="195">
        <f t="shared" si="6"/>
        <v>1600</v>
      </c>
      <c r="D20" s="195">
        <f t="shared" si="6"/>
        <v>465.05522000000002</v>
      </c>
      <c r="E20" s="195">
        <f t="shared" si="5"/>
        <v>29.065951249999998</v>
      </c>
      <c r="F20" s="195">
        <f>район!C53</f>
        <v>1600</v>
      </c>
      <c r="G20" s="195">
        <f>район!D53</f>
        <v>465.05522000000002</v>
      </c>
      <c r="H20" s="195">
        <f t="shared" si="3"/>
        <v>29.065951249999998</v>
      </c>
      <c r="I20" s="195">
        <f>Справка!BN31</f>
        <v>0</v>
      </c>
      <c r="J20" s="195">
        <f>Справка!BO31</f>
        <v>0</v>
      </c>
      <c r="K20" s="196">
        <v>0</v>
      </c>
    </row>
    <row r="21" spans="1:13" ht="49.5" customHeight="1">
      <c r="A21" s="80" t="s">
        <v>194</v>
      </c>
      <c r="B21" s="76">
        <v>11700</v>
      </c>
      <c r="C21" s="195">
        <f t="shared" si="6"/>
        <v>0</v>
      </c>
      <c r="D21" s="195">
        <f t="shared" si="6"/>
        <v>0.4</v>
      </c>
      <c r="E21" s="195"/>
      <c r="F21" s="195">
        <f>район!C58</f>
        <v>0</v>
      </c>
      <c r="G21" s="195">
        <f>район!D58</f>
        <v>0</v>
      </c>
      <c r="H21" s="195"/>
      <c r="I21" s="195">
        <f>Справка!BQ31</f>
        <v>0</v>
      </c>
      <c r="J21" s="195">
        <f>Справка!BR31</f>
        <v>0.4</v>
      </c>
      <c r="K21" s="196">
        <v>0</v>
      </c>
    </row>
    <row r="22" spans="1:13" ht="0.75" customHeight="1">
      <c r="A22" s="78" t="s">
        <v>195</v>
      </c>
      <c r="B22" s="75">
        <v>30000</v>
      </c>
      <c r="C22" s="467">
        <f>F22+I22</f>
        <v>0</v>
      </c>
      <c r="D22" s="194">
        <f t="shared" ref="D22" si="7">G22+J22</f>
        <v>0</v>
      </c>
      <c r="E22" s="194"/>
      <c r="F22" s="194">
        <v>0</v>
      </c>
      <c r="G22" s="194">
        <v>0</v>
      </c>
      <c r="H22" s="194"/>
      <c r="I22" s="194">
        <v>0</v>
      </c>
      <c r="J22" s="194">
        <v>0</v>
      </c>
      <c r="K22" s="194"/>
    </row>
    <row r="23" spans="1:13" ht="29.25" customHeight="1">
      <c r="A23" s="78" t="s">
        <v>16</v>
      </c>
      <c r="B23" s="75">
        <v>10000</v>
      </c>
      <c r="C23" s="197">
        <f>SUM(C4,C14,C22,)</f>
        <v>223597.86664000002</v>
      </c>
      <c r="D23" s="197">
        <f>SUM(D4,D14,)</f>
        <v>56470.180900000007</v>
      </c>
      <c r="E23" s="194">
        <f t="shared" si="5"/>
        <v>25.255241361903902</v>
      </c>
      <c r="F23" s="197">
        <f>SUM(F4,F14,)</f>
        <v>180013.60000000003</v>
      </c>
      <c r="G23" s="197">
        <f>SUM(G4,G14,G22)</f>
        <v>47694.762759999998</v>
      </c>
      <c r="H23" s="194">
        <f t="shared" si="3"/>
        <v>26.495088571085734</v>
      </c>
      <c r="I23" s="197">
        <f>I4+I14</f>
        <v>43584.266639999994</v>
      </c>
      <c r="J23" s="197">
        <f>J4+J14</f>
        <v>8775.4181400000016</v>
      </c>
      <c r="K23" s="194">
        <f>J23/I23*100</f>
        <v>20.134371452165848</v>
      </c>
    </row>
    <row r="24" spans="1:13" ht="32.25" customHeight="1">
      <c r="A24" s="78" t="s">
        <v>196</v>
      </c>
      <c r="B24" s="75">
        <v>20200</v>
      </c>
      <c r="C24" s="198">
        <v>738919.97672999999</v>
      </c>
      <c r="D24" s="198">
        <v>155522.88683</v>
      </c>
      <c r="E24" s="197">
        <f t="shared" si="5"/>
        <v>21.047324707371903</v>
      </c>
      <c r="F24" s="197">
        <f>район!C62</f>
        <v>765367.21286999993</v>
      </c>
      <c r="G24" s="197">
        <f>район!D62</f>
        <v>163299.66571999999</v>
      </c>
      <c r="H24" s="194">
        <f t="shared" si="3"/>
        <v>21.336119835556239</v>
      </c>
      <c r="I24" s="197">
        <f>Справка!BZ31</f>
        <v>192072.52984999999</v>
      </c>
      <c r="J24" s="198">
        <v>16330.472</v>
      </c>
      <c r="K24" s="194">
        <f t="shared" ref="K24:K39" si="8">J24/I24*100</f>
        <v>8.5022423626915131</v>
      </c>
    </row>
    <row r="25" spans="1:13" ht="33" customHeight="1">
      <c r="A25" s="78" t="s">
        <v>289</v>
      </c>
      <c r="B25" s="75">
        <v>20700</v>
      </c>
      <c r="C25" s="199">
        <f>F25+I25</f>
        <v>7207.5656400000007</v>
      </c>
      <c r="D25" s="199">
        <f>SUM(J25+G25)</f>
        <v>171.95499999999998</v>
      </c>
      <c r="E25" s="197"/>
      <c r="F25" s="197"/>
      <c r="G25" s="197"/>
      <c r="H25" s="194"/>
      <c r="I25" s="197">
        <f>Справка!CR31</f>
        <v>7207.5656400000007</v>
      </c>
      <c r="J25" s="197">
        <f>Справка!CS31</f>
        <v>171.95499999999998</v>
      </c>
      <c r="K25" s="194"/>
    </row>
    <row r="26" spans="1:13" ht="50.25" customHeight="1">
      <c r="A26" s="78" t="s">
        <v>412</v>
      </c>
      <c r="B26" s="471">
        <v>21800</v>
      </c>
      <c r="C26" s="199">
        <v>0</v>
      </c>
      <c r="D26" s="199">
        <v>1848.9377500000001</v>
      </c>
      <c r="E26" s="197"/>
      <c r="F26" s="197"/>
      <c r="G26" s="197"/>
      <c r="H26" s="194"/>
      <c r="I26" s="197"/>
      <c r="J26" s="197"/>
      <c r="K26" s="194"/>
    </row>
    <row r="27" spans="1:13" ht="33" customHeight="1">
      <c r="A27" s="78" t="s">
        <v>251</v>
      </c>
      <c r="B27" s="76">
        <v>21900</v>
      </c>
      <c r="C27" s="199">
        <f>F27+I27</f>
        <v>-12.16386</v>
      </c>
      <c r="D27" s="199">
        <v>-12.16386</v>
      </c>
      <c r="E27" s="197"/>
      <c r="F27" s="196">
        <f>район!C70</f>
        <v>-12.16386</v>
      </c>
      <c r="G27" s="196">
        <f>район!D70</f>
        <v>-12.16386</v>
      </c>
      <c r="H27" s="194"/>
      <c r="I27" s="196">
        <v>0</v>
      </c>
      <c r="J27" s="196">
        <f>SUM(Справка!CV18)</f>
        <v>0</v>
      </c>
      <c r="K27" s="196">
        <v>0</v>
      </c>
      <c r="L27" s="82"/>
    </row>
    <row r="28" spans="1:13" ht="29.25" customHeight="1">
      <c r="A28" s="75" t="s">
        <v>197</v>
      </c>
      <c r="B28" s="75"/>
      <c r="C28" s="201">
        <f>C24+C23+C27+C25</f>
        <v>969713.24515000009</v>
      </c>
      <c r="D28" s="201">
        <f>D24+D23+D27+D25+D26</f>
        <v>214001.79662000001</v>
      </c>
      <c r="E28" s="201">
        <f t="shared" si="5"/>
        <v>22.068564876299813</v>
      </c>
      <c r="F28" s="201">
        <f>F24+F23</f>
        <v>945380.81287000002</v>
      </c>
      <c r="G28" s="201">
        <f>G24+G23</f>
        <v>210994.42848</v>
      </c>
      <c r="H28" s="201">
        <f t="shared" si="3"/>
        <v>22.31845893290982</v>
      </c>
      <c r="I28" s="201">
        <f>I24+I23</f>
        <v>235656.79648999998</v>
      </c>
      <c r="J28" s="201">
        <f>J24+J23+J25+J27</f>
        <v>25277.845140000005</v>
      </c>
      <c r="K28" s="200">
        <f t="shared" si="8"/>
        <v>10.726550439665619</v>
      </c>
      <c r="L28" s="94"/>
      <c r="M28" s="82"/>
    </row>
    <row r="29" spans="1:13" ht="29.25" customHeight="1">
      <c r="A29" s="75" t="s">
        <v>198</v>
      </c>
      <c r="B29" s="75"/>
      <c r="C29" s="201">
        <f>C30+C31+C32+C33+C34+C35+C36+C37+C38+C42+C39+C40+C41</f>
        <v>1022202.58398</v>
      </c>
      <c r="D29" s="201">
        <f>SUM(D30:D42)</f>
        <v>201782.75245999999</v>
      </c>
      <c r="E29" s="201">
        <f t="shared" si="5"/>
        <v>19.739996319941604</v>
      </c>
      <c r="F29" s="201">
        <f>SUM(F30+F31+F32+F33+F34+F35+F36+F37+F38+F39+F40+F41+F42)</f>
        <v>989469.62082999991</v>
      </c>
      <c r="G29" s="201">
        <f>SUM(G30:G42)</f>
        <v>203704.92421999999</v>
      </c>
      <c r="H29" s="201">
        <f t="shared" si="3"/>
        <v>20.587284332097589</v>
      </c>
      <c r="I29" s="201">
        <f>I30+I31+I32+I33+I34+I35+I36+I37+I38+I39+I40+I41+I42</f>
        <v>244057.32735999997</v>
      </c>
      <c r="J29" s="201">
        <f>J30+J31+J32+J33+J34+J35+J36+J37+J38+J39+J40+J41+J42</f>
        <v>20348.305240000002</v>
      </c>
      <c r="K29" s="200">
        <f t="shared" si="8"/>
        <v>8.33751047760388</v>
      </c>
      <c r="L29" s="94"/>
    </row>
    <row r="30" spans="1:13" ht="30.75" customHeight="1">
      <c r="A30" s="80" t="s">
        <v>199</v>
      </c>
      <c r="B30" s="81" t="s">
        <v>27</v>
      </c>
      <c r="C30" s="260">
        <f>F30+I30</f>
        <v>72411.416870000001</v>
      </c>
      <c r="D30" s="260">
        <f>G30+J30</f>
        <v>14081.674720000001</v>
      </c>
      <c r="E30" s="203">
        <f t="shared" si="5"/>
        <v>19.446760371062467</v>
      </c>
      <c r="F30" s="195">
        <f>район!C77</f>
        <v>45976.278740000002</v>
      </c>
      <c r="G30" s="203">
        <f>район!D77</f>
        <v>9302.1956800000007</v>
      </c>
      <c r="H30" s="204">
        <f t="shared" si="3"/>
        <v>20.232598059109471</v>
      </c>
      <c r="I30" s="204">
        <f>Справка!DJ31</f>
        <v>26435.138129999999</v>
      </c>
      <c r="J30" s="204">
        <f>Справка!DK31</f>
        <v>4779.4790400000002</v>
      </c>
      <c r="K30" s="204">
        <f t="shared" si="8"/>
        <v>18.080022947094019</v>
      </c>
    </row>
    <row r="31" spans="1:13" ht="30.75" customHeight="1">
      <c r="A31" s="80" t="s">
        <v>200</v>
      </c>
      <c r="B31" s="81" t="s">
        <v>43</v>
      </c>
      <c r="C31" s="199">
        <f>I31</f>
        <v>2404.8000000000002</v>
      </c>
      <c r="D31" s="199">
        <f>J31</f>
        <v>331.94897999999995</v>
      </c>
      <c r="E31" s="203">
        <f t="shared" si="5"/>
        <v>13.803600299401195</v>
      </c>
      <c r="F31" s="195">
        <f>район!C85</f>
        <v>2404.8000000000002</v>
      </c>
      <c r="G31" s="203">
        <f>район!D85</f>
        <v>598.79999999999995</v>
      </c>
      <c r="H31" s="204">
        <f t="shared" si="3"/>
        <v>24.900199600798402</v>
      </c>
      <c r="I31" s="204">
        <f>Справка!DY31</f>
        <v>2404.8000000000002</v>
      </c>
      <c r="J31" s="204">
        <f>Справка!DZ31</f>
        <v>331.94897999999995</v>
      </c>
      <c r="K31" s="204">
        <f t="shared" si="8"/>
        <v>13.803600299401195</v>
      </c>
    </row>
    <row r="32" spans="1:13" ht="33" customHeight="1">
      <c r="A32" s="80" t="s">
        <v>201</v>
      </c>
      <c r="B32" s="81" t="s">
        <v>47</v>
      </c>
      <c r="C32" s="260">
        <f>F32+I32</f>
        <v>6235.86</v>
      </c>
      <c r="D32" s="260">
        <f>G32+J32</f>
        <v>951.87157000000002</v>
      </c>
      <c r="E32" s="203">
        <f t="shared" si="5"/>
        <v>15.26447947837187</v>
      </c>
      <c r="F32" s="195">
        <f>район!C87</f>
        <v>5230.16</v>
      </c>
      <c r="G32" s="203">
        <f>район!D87</f>
        <v>891.57157000000007</v>
      </c>
      <c r="H32" s="204">
        <f t="shared" si="3"/>
        <v>17.046736046315985</v>
      </c>
      <c r="I32" s="204">
        <f>Справка!EB31</f>
        <v>1005.6999999999999</v>
      </c>
      <c r="J32" s="204">
        <f>Справка!EC31</f>
        <v>60.300000000000004</v>
      </c>
      <c r="K32" s="204">
        <f t="shared" si="8"/>
        <v>5.9958238043154033</v>
      </c>
    </row>
    <row r="33" spans="1:12" ht="30" customHeight="1">
      <c r="A33" s="80" t="s">
        <v>202</v>
      </c>
      <c r="B33" s="81" t="s">
        <v>55</v>
      </c>
      <c r="C33" s="202">
        <v>156102.73892</v>
      </c>
      <c r="D33" s="202">
        <v>13563.928970000001</v>
      </c>
      <c r="E33" s="203">
        <f t="shared" si="5"/>
        <v>8.6891037683530215</v>
      </c>
      <c r="F33" s="195">
        <f>район!C93</f>
        <v>134574.03227</v>
      </c>
      <c r="G33" s="203">
        <f>район!D93</f>
        <v>12910.466829999999</v>
      </c>
      <c r="H33" s="204">
        <f t="shared" si="3"/>
        <v>9.5935795429666069</v>
      </c>
      <c r="I33" s="204">
        <f>Справка!EE31</f>
        <v>64885.07387</v>
      </c>
      <c r="J33" s="204">
        <f>Справка!EF31</f>
        <v>3070.8581399999998</v>
      </c>
      <c r="K33" s="204">
        <f t="shared" si="8"/>
        <v>4.7327651135183944</v>
      </c>
    </row>
    <row r="34" spans="1:12" ht="30" customHeight="1">
      <c r="A34" s="80" t="s">
        <v>203</v>
      </c>
      <c r="B34" s="81" t="s">
        <v>65</v>
      </c>
      <c r="C34" s="202">
        <v>145716.54428</v>
      </c>
      <c r="D34" s="202">
        <v>4359.6006900000002</v>
      </c>
      <c r="E34" s="203">
        <f t="shared" si="5"/>
        <v>2.9918364531228918</v>
      </c>
      <c r="F34" s="195">
        <f>район!C99</f>
        <v>108149.30068999999</v>
      </c>
      <c r="G34" s="203">
        <f>район!D99</f>
        <v>79.329729999999998</v>
      </c>
      <c r="H34" s="204">
        <f t="shared" si="3"/>
        <v>7.3352050816668124E-2</v>
      </c>
      <c r="I34" s="204">
        <f>Справка!EH31</f>
        <v>109751.98557999998</v>
      </c>
      <c r="J34" s="204">
        <f>Справка!EI31</f>
        <v>4280.2709599999998</v>
      </c>
      <c r="K34" s="204">
        <f t="shared" si="8"/>
        <v>3.899948540684981</v>
      </c>
    </row>
    <row r="35" spans="1:12" ht="30" customHeight="1">
      <c r="A35" s="80" t="s">
        <v>204</v>
      </c>
      <c r="B35" s="81" t="s">
        <v>73</v>
      </c>
      <c r="C35" s="199">
        <f>F35</f>
        <v>50</v>
      </c>
      <c r="D35" s="199">
        <f>G35</f>
        <v>0</v>
      </c>
      <c r="E35" s="203">
        <f t="shared" si="5"/>
        <v>0</v>
      </c>
      <c r="F35" s="195">
        <f>район!C103</f>
        <v>50</v>
      </c>
      <c r="G35" s="203">
        <f>район!D103</f>
        <v>0</v>
      </c>
      <c r="H35" s="204">
        <f t="shared" si="3"/>
        <v>0</v>
      </c>
      <c r="I35" s="203"/>
      <c r="J35" s="203"/>
      <c r="K35" s="204">
        <v>0</v>
      </c>
    </row>
    <row r="36" spans="1:12" ht="30" customHeight="1">
      <c r="A36" s="80" t="s">
        <v>205</v>
      </c>
      <c r="B36" s="81" t="s">
        <v>77</v>
      </c>
      <c r="C36" s="199">
        <f>F36</f>
        <v>520377.0637</v>
      </c>
      <c r="D36" s="199">
        <f>G36</f>
        <v>130268.83759999998</v>
      </c>
      <c r="E36" s="203">
        <f t="shared" si="5"/>
        <v>25.03354715016814</v>
      </c>
      <c r="F36" s="195">
        <f>район!C105</f>
        <v>520377.0637</v>
      </c>
      <c r="G36" s="203">
        <f>район!D105</f>
        <v>130268.83759999998</v>
      </c>
      <c r="H36" s="204">
        <f t="shared" si="3"/>
        <v>25.03354715016814</v>
      </c>
      <c r="I36" s="203"/>
      <c r="J36" s="203"/>
      <c r="K36" s="204">
        <v>0</v>
      </c>
    </row>
    <row r="37" spans="1:12" ht="30" customHeight="1">
      <c r="A37" s="80" t="s">
        <v>206</v>
      </c>
      <c r="B37" s="81" t="s">
        <v>83</v>
      </c>
      <c r="C37" s="202">
        <v>64828.606780000002</v>
      </c>
      <c r="D37" s="202">
        <v>12032.32324</v>
      </c>
      <c r="E37" s="203">
        <f t="shared" si="5"/>
        <v>18.560206423735824</v>
      </c>
      <c r="F37" s="195">
        <f>район!C111</f>
        <v>58179.476999999999</v>
      </c>
      <c r="G37" s="203">
        <f>район!D111</f>
        <v>10247.09512</v>
      </c>
      <c r="H37" s="204">
        <f t="shared" si="3"/>
        <v>17.612903464223304</v>
      </c>
      <c r="I37" s="204">
        <f>Справка!EK31</f>
        <v>39299.629779999996</v>
      </c>
      <c r="J37" s="204">
        <f>Справка!EL31</f>
        <v>7725.2331199999999</v>
      </c>
      <c r="K37" s="204">
        <f t="shared" si="8"/>
        <v>19.657266908736769</v>
      </c>
      <c r="L37" s="82"/>
    </row>
    <row r="38" spans="1:12" ht="30" customHeight="1">
      <c r="A38" s="80" t="s">
        <v>207</v>
      </c>
      <c r="B38" s="81" t="s">
        <v>208</v>
      </c>
      <c r="C38" s="202">
        <v>47042.641430000003</v>
      </c>
      <c r="D38" s="202">
        <v>23801.260689999999</v>
      </c>
      <c r="E38" s="203">
        <f t="shared" si="5"/>
        <v>50.595077075798457</v>
      </c>
      <c r="F38" s="195">
        <f>район!C114</f>
        <v>47042.641430000003</v>
      </c>
      <c r="G38" s="203">
        <f>район!D114</f>
        <v>23801.260689999999</v>
      </c>
      <c r="H38" s="204">
        <f t="shared" si="3"/>
        <v>50.595077075798457</v>
      </c>
      <c r="I38" s="204">
        <f>Справка!EN31</f>
        <v>0</v>
      </c>
      <c r="J38" s="204">
        <f>Справка!EO31</f>
        <v>0</v>
      </c>
      <c r="K38" s="204"/>
    </row>
    <row r="39" spans="1:12" ht="30" customHeight="1">
      <c r="A39" s="80" t="s">
        <v>209</v>
      </c>
      <c r="B39" s="81" t="s">
        <v>92</v>
      </c>
      <c r="C39" s="202">
        <v>6987.9120000000003</v>
      </c>
      <c r="D39" s="202">
        <v>2391.306</v>
      </c>
      <c r="E39" s="203">
        <f t="shared" si="5"/>
        <v>34.220608387741578</v>
      </c>
      <c r="F39" s="195">
        <f>район!C119</f>
        <v>6712.9120000000003</v>
      </c>
      <c r="G39" s="203">
        <f>район!D119</f>
        <v>2291.0909999999999</v>
      </c>
      <c r="H39" s="204">
        <f t="shared" si="3"/>
        <v>34.129614688826543</v>
      </c>
      <c r="I39" s="204">
        <f>Справка!EQ31</f>
        <v>275</v>
      </c>
      <c r="J39" s="204">
        <f>Справка!ER31</f>
        <v>100.21499999999999</v>
      </c>
      <c r="K39" s="204">
        <f t="shared" si="8"/>
        <v>36.441818181818178</v>
      </c>
    </row>
    <row r="40" spans="1:12" ht="30" customHeight="1">
      <c r="A40" s="80" t="s">
        <v>210</v>
      </c>
      <c r="B40" s="81" t="s">
        <v>104</v>
      </c>
      <c r="C40" s="195">
        <f>F40</f>
        <v>45</v>
      </c>
      <c r="D40" s="205">
        <f>G40</f>
        <v>0</v>
      </c>
      <c r="E40" s="203">
        <f t="shared" si="5"/>
        <v>0</v>
      </c>
      <c r="F40" s="195">
        <f>район!C125</f>
        <v>45</v>
      </c>
      <c r="G40" s="203">
        <f>район!D125</f>
        <v>0</v>
      </c>
      <c r="H40" s="204">
        <f t="shared" si="3"/>
        <v>0</v>
      </c>
      <c r="I40" s="204"/>
      <c r="J40" s="204"/>
      <c r="K40" s="204">
        <v>0</v>
      </c>
    </row>
    <row r="41" spans="1:12" ht="34.5" customHeight="1">
      <c r="A41" s="80" t="s">
        <v>211</v>
      </c>
      <c r="B41" s="81" t="s">
        <v>108</v>
      </c>
      <c r="C41" s="195">
        <f>F41</f>
        <v>0</v>
      </c>
      <c r="D41" s="205">
        <f>G41</f>
        <v>0</v>
      </c>
      <c r="E41" s="203"/>
      <c r="F41" s="195">
        <f>район!C127</f>
        <v>0</v>
      </c>
      <c r="G41" s="203">
        <f>район!D127</f>
        <v>0</v>
      </c>
      <c r="H41" s="204">
        <v>0</v>
      </c>
      <c r="I41" s="204"/>
      <c r="J41" s="206"/>
      <c r="K41" s="204">
        <v>0</v>
      </c>
    </row>
    <row r="42" spans="1:12" ht="30" customHeight="1">
      <c r="A42" s="80" t="s">
        <v>212</v>
      </c>
      <c r="B42" s="81" t="s">
        <v>213</v>
      </c>
      <c r="C42" s="195">
        <v>0</v>
      </c>
      <c r="D42" s="205"/>
      <c r="E42" s="203">
        <v>0</v>
      </c>
      <c r="F42" s="195">
        <f>район!C129</f>
        <v>60727.955000000002</v>
      </c>
      <c r="G42" s="203">
        <f>район!D129</f>
        <v>13314.276</v>
      </c>
      <c r="H42" s="204">
        <f t="shared" si="3"/>
        <v>21.924459666063182</v>
      </c>
      <c r="I42" s="204">
        <f>Справка!ET31</f>
        <v>0</v>
      </c>
      <c r="J42" s="206">
        <f>Справка!EU31</f>
        <v>0</v>
      </c>
      <c r="K42" s="204"/>
    </row>
    <row r="43" spans="1:12">
      <c r="A43" s="137"/>
      <c r="B43" s="138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2" hidden="1">
      <c r="A44" s="137"/>
      <c r="B44" s="138"/>
      <c r="C44" s="136">
        <f>C28-C29</f>
        <v>-52489.338829999906</v>
      </c>
      <c r="D44" s="136">
        <f>D28-D29</f>
        <v>12219.044160000019</v>
      </c>
      <c r="E44" s="136"/>
      <c r="F44" s="136">
        <f>F28-F29</f>
        <v>-44088.807959999889</v>
      </c>
      <c r="G44" s="136">
        <f>G28-G29</f>
        <v>7289.5042600000161</v>
      </c>
      <c r="H44" s="136"/>
      <c r="I44" s="136">
        <f>I28-I29</f>
        <v>-8400.5308699999878</v>
      </c>
      <c r="J44" s="136">
        <f>J28-J29</f>
        <v>4929.5399000000034</v>
      </c>
      <c r="K44" s="136"/>
    </row>
    <row r="45" spans="1:12" hidden="1">
      <c r="A45" s="137"/>
      <c r="B45" s="138"/>
      <c r="C45" s="136">
        <f>C44-F45</f>
        <v>0</v>
      </c>
      <c r="D45" s="136">
        <f>D44-G45</f>
        <v>0</v>
      </c>
      <c r="E45" s="136"/>
      <c r="F45" s="136">
        <f>F44+I44</f>
        <v>-52489.338829999877</v>
      </c>
      <c r="G45" s="136">
        <f>G44+J44</f>
        <v>12219.044160000019</v>
      </c>
      <c r="H45" s="136"/>
      <c r="I45" s="136"/>
      <c r="J45" s="136"/>
      <c r="K45" s="136"/>
    </row>
    <row r="46" spans="1:12" ht="20.25" hidden="1" customHeight="1">
      <c r="A46" s="137"/>
      <c r="B46" s="138"/>
      <c r="C46" s="139"/>
      <c r="D46" s="139"/>
      <c r="E46" s="140"/>
      <c r="F46" s="140">
        <f>C29+F45-C23-C27</f>
        <v>746127.54237000004</v>
      </c>
      <c r="G46" s="140">
        <f>D29+G45-D23-D27</f>
        <v>157543.77958</v>
      </c>
      <c r="H46" s="134"/>
      <c r="I46" s="134"/>
      <c r="J46" s="134"/>
      <c r="K46" s="136"/>
    </row>
    <row r="47" spans="1:12">
      <c r="A47" s="137"/>
      <c r="B47" s="138"/>
      <c r="C47" s="209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7"/>
      <c r="B48" s="138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7"/>
      <c r="B49" s="138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7" t="s">
        <v>117</v>
      </c>
      <c r="B50" s="138"/>
      <c r="C50" s="139"/>
      <c r="D50" s="139"/>
      <c r="E50" s="140"/>
      <c r="F50" s="140"/>
      <c r="G50" s="140"/>
      <c r="H50" s="134"/>
      <c r="I50" s="134"/>
      <c r="J50" s="134"/>
      <c r="K50" s="134"/>
    </row>
    <row r="51" spans="1:11">
      <c r="A51" s="137" t="s">
        <v>214</v>
      </c>
      <c r="B51" s="138"/>
      <c r="C51" s="141" t="s">
        <v>255</v>
      </c>
      <c r="D51" s="483"/>
      <c r="E51" s="483"/>
      <c r="F51" s="142"/>
      <c r="G51" s="140"/>
      <c r="H51" s="134"/>
      <c r="I51" s="134"/>
      <c r="J51" s="134"/>
      <c r="K51" s="134"/>
    </row>
    <row r="52" spans="1:11">
      <c r="C52" s="85"/>
      <c r="D52" s="85"/>
      <c r="F52" s="82"/>
      <c r="G52" s="82"/>
    </row>
    <row r="53" spans="1:11">
      <c r="C53" s="89"/>
      <c r="D53" s="89"/>
      <c r="F53" s="82"/>
      <c r="G53" s="82"/>
      <c r="I53" s="82"/>
      <c r="J53" s="82"/>
    </row>
    <row r="54" spans="1:11">
      <c r="C54" s="97"/>
      <c r="D54" s="82"/>
      <c r="F54" s="82"/>
      <c r="G54" s="82"/>
    </row>
    <row r="55" spans="1:11">
      <c r="C55" s="97"/>
      <c r="D55" s="82"/>
    </row>
  </sheetData>
  <customSheetViews>
    <customSheetView guid="{E6F84523-F47F-492E-BB0B-0D2156A983B1}" scale="80" showPageBreaks="1" printArea="1" hiddenRows="1" state="hidden" view="pageBreakPreview">
      <selection activeCell="E11" sqref="E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7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61528DAC-5C4C-48F4-ADE2-8A724B05A086}" scale="80" showPageBreaks="1" printArea="1" hiddenRows="1" view="pageBreakPreview">
      <selection activeCell="E11" sqref="E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</customSheetViews>
  <mergeCells count="7">
    <mergeCell ref="C2:E2"/>
    <mergeCell ref="D51:E51"/>
    <mergeCell ref="A2:A3"/>
    <mergeCell ref="B2:B3"/>
    <mergeCell ref="A1:K1"/>
    <mergeCell ref="I2:K2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1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zoomScale="70" zoomScaleNormal="100" zoomScaleSheetLayoutView="70" workbookViewId="0">
      <selection activeCell="D83" sqref="D83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6" t="s">
        <v>423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6.75" customHeight="1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368.73378000000002</v>
      </c>
      <c r="E4" s="5">
        <f>SUM(D4/C4*100)</f>
        <v>16.019227393975203</v>
      </c>
      <c r="F4" s="5">
        <f>SUM(D4-C4)</f>
        <v>-1933.0862199999997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71.091220000000007</v>
      </c>
      <c r="E5" s="5">
        <f t="shared" ref="E5:E51" si="0">SUM(D5/C5*100)</f>
        <v>26.040739926739931</v>
      </c>
      <c r="F5" s="5">
        <f t="shared" ref="F5:F51" si="1">SUM(D5-C5)</f>
        <v>-201.90877999999998</v>
      </c>
    </row>
    <row r="6" spans="1:6">
      <c r="A6" s="7">
        <v>1010200001</v>
      </c>
      <c r="B6" s="8" t="s">
        <v>225</v>
      </c>
      <c r="C6" s="9">
        <v>273</v>
      </c>
      <c r="D6" s="10">
        <v>71.091220000000007</v>
      </c>
      <c r="E6" s="9">
        <f t="shared" ref="E6:E11" si="2">SUM(D6/C6*100)</f>
        <v>26.040739926739931</v>
      </c>
      <c r="F6" s="9">
        <f t="shared" si="1"/>
        <v>-201.90877999999998</v>
      </c>
    </row>
    <row r="7" spans="1:6" ht="31.5">
      <c r="A7" s="3">
        <v>1030000000</v>
      </c>
      <c r="B7" s="13" t="s">
        <v>267</v>
      </c>
      <c r="C7" s="5">
        <f>C8+C10+C9</f>
        <v>550.81999999999994</v>
      </c>
      <c r="D7" s="5">
        <f>D8+D9+D10+D11</f>
        <v>145.54340999999999</v>
      </c>
      <c r="E7" s="9">
        <f t="shared" si="2"/>
        <v>26.423043825569152</v>
      </c>
      <c r="F7" s="9">
        <f t="shared" si="1"/>
        <v>-405.27658999999994</v>
      </c>
    </row>
    <row r="8" spans="1:6">
      <c r="A8" s="7">
        <v>1030223001</v>
      </c>
      <c r="B8" s="8" t="s">
        <v>269</v>
      </c>
      <c r="C8" s="9">
        <v>205.45599999999999</v>
      </c>
      <c r="D8" s="10">
        <v>69.897909999999996</v>
      </c>
      <c r="E8" s="9">
        <f t="shared" si="2"/>
        <v>34.020865781481191</v>
      </c>
      <c r="F8" s="9">
        <f t="shared" si="1"/>
        <v>-135.55808999999999</v>
      </c>
    </row>
    <row r="9" spans="1:6">
      <c r="A9" s="7">
        <v>1030224001</v>
      </c>
      <c r="B9" s="8" t="s">
        <v>275</v>
      </c>
      <c r="C9" s="9">
        <v>2.2029999999999998</v>
      </c>
      <c r="D9" s="10">
        <v>0.44789000000000001</v>
      </c>
      <c r="E9" s="9">
        <f t="shared" si="2"/>
        <v>20.330912392192467</v>
      </c>
      <c r="F9" s="9">
        <f t="shared" si="1"/>
        <v>-1.7551099999999997</v>
      </c>
    </row>
    <row r="10" spans="1:6">
      <c r="A10" s="7">
        <v>1030225001</v>
      </c>
      <c r="B10" s="8" t="s">
        <v>268</v>
      </c>
      <c r="C10" s="9">
        <v>343.161</v>
      </c>
      <c r="D10" s="10">
        <v>84.575320000000005</v>
      </c>
      <c r="E10" s="9">
        <f t="shared" si="2"/>
        <v>24.645959185338661</v>
      </c>
      <c r="F10" s="9">
        <f t="shared" si="1"/>
        <v>-258.58568000000002</v>
      </c>
    </row>
    <row r="11" spans="1:6">
      <c r="A11" s="7">
        <v>1030265001</v>
      </c>
      <c r="B11" s="8" t="s">
        <v>277</v>
      </c>
      <c r="C11" s="9">
        <v>0</v>
      </c>
      <c r="D11" s="10">
        <v>-9.3777100000000004</v>
      </c>
      <c r="E11" s="9" t="e">
        <f t="shared" si="2"/>
        <v>#DIV/0!</v>
      </c>
      <c r="F11" s="9">
        <f t="shared" si="1"/>
        <v>-9.3777100000000004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5.8326000000000002</v>
      </c>
      <c r="E12" s="5">
        <f t="shared" si="0"/>
        <v>58.326000000000001</v>
      </c>
      <c r="F12" s="5">
        <f t="shared" si="1"/>
        <v>-4.1673999999999998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5.8326000000000002</v>
      </c>
      <c r="E13" s="9">
        <f t="shared" si="0"/>
        <v>58.326000000000001</v>
      </c>
      <c r="F13" s="9">
        <f t="shared" si="1"/>
        <v>-4.1673999999999998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1460</v>
      </c>
      <c r="D14" s="5">
        <f>D15+D16</f>
        <v>145.37655000000001</v>
      </c>
      <c r="E14" s="5">
        <f t="shared" si="0"/>
        <v>9.9572979452054806</v>
      </c>
      <c r="F14" s="5">
        <f t="shared" si="1"/>
        <v>-1314.62345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67.744950000000003</v>
      </c>
      <c r="E15" s="9">
        <f t="shared" si="0"/>
        <v>18.818041666666669</v>
      </c>
      <c r="F15" s="9">
        <f>SUM(D15-C15)</f>
        <v>-292.25504999999998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77.631600000000006</v>
      </c>
      <c r="E16" s="9">
        <f t="shared" si="0"/>
        <v>7.0574181818181829</v>
      </c>
      <c r="F16" s="9">
        <f t="shared" si="1"/>
        <v>-1022.3684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0.89</v>
      </c>
      <c r="E17" s="5">
        <f t="shared" si="0"/>
        <v>11.125</v>
      </c>
      <c r="F17" s="5">
        <f t="shared" si="1"/>
        <v>-7.11</v>
      </c>
    </row>
    <row r="18" spans="1:6" ht="18" customHeight="1">
      <c r="A18" s="7">
        <v>1080400001</v>
      </c>
      <c r="B18" s="8" t="s">
        <v>224</v>
      </c>
      <c r="C18" s="9">
        <v>8</v>
      </c>
      <c r="D18" s="9">
        <v>0.89</v>
      </c>
      <c r="E18" s="9">
        <f t="shared" si="0"/>
        <v>11.125</v>
      </c>
      <c r="F18" s="9">
        <f t="shared" si="1"/>
        <v>-7.11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140</v>
      </c>
      <c r="D25" s="5">
        <f>D26+D29+D31+D36+D34</f>
        <v>15.055630000000001</v>
      </c>
      <c r="E25" s="5">
        <f t="shared" si="0"/>
        <v>10.754021428571429</v>
      </c>
      <c r="F25" s="5">
        <f t="shared" si="1"/>
        <v>-124.94436999999999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130</v>
      </c>
      <c r="D26" s="5">
        <f>D27+D28</f>
        <v>14.010630000000001</v>
      </c>
      <c r="E26" s="5">
        <f t="shared" si="0"/>
        <v>10.777407692307692</v>
      </c>
      <c r="F26" s="5">
        <f t="shared" si="1"/>
        <v>-115.98936999999999</v>
      </c>
    </row>
    <row r="27" spans="1:6" ht="15.75" customHeight="1">
      <c r="A27" s="16">
        <v>1110502510</v>
      </c>
      <c r="B27" s="17" t="s">
        <v>222</v>
      </c>
      <c r="C27" s="12">
        <v>100</v>
      </c>
      <c r="D27" s="12">
        <v>0.51063000000000003</v>
      </c>
      <c r="E27" s="9">
        <f t="shared" si="0"/>
        <v>0.51063000000000003</v>
      </c>
      <c r="F27" s="9">
        <f t="shared" si="1"/>
        <v>-99.489369999999994</v>
      </c>
    </row>
    <row r="28" spans="1:6" ht="17.25" customHeight="1">
      <c r="A28" s="7">
        <v>1110503510</v>
      </c>
      <c r="B28" s="11" t="s">
        <v>221</v>
      </c>
      <c r="C28" s="12">
        <v>30</v>
      </c>
      <c r="D28" s="10">
        <v>13.5</v>
      </c>
      <c r="E28" s="9">
        <f t="shared" si="0"/>
        <v>45</v>
      </c>
      <c r="F28" s="9">
        <f t="shared" si="1"/>
        <v>-16.5</v>
      </c>
    </row>
    <row r="29" spans="1:6" s="15" customFormat="1" ht="15" customHeight="1">
      <c r="A29" s="68">
        <v>1130000000</v>
      </c>
      <c r="B29" s="69" t="s">
        <v>128</v>
      </c>
      <c r="C29" s="5">
        <f>C30</f>
        <v>10</v>
      </c>
      <c r="D29" s="5">
        <f>D30</f>
        <v>1.0449999999999999</v>
      </c>
      <c r="E29" s="5">
        <f t="shared" si="0"/>
        <v>10.45</v>
      </c>
      <c r="F29" s="5">
        <f t="shared" si="1"/>
        <v>-8.9550000000000001</v>
      </c>
    </row>
    <row r="30" spans="1:6" ht="15.75" customHeight="1">
      <c r="A30" s="7">
        <v>1130206005</v>
      </c>
      <c r="B30" s="8" t="s">
        <v>220</v>
      </c>
      <c r="C30" s="9">
        <v>10</v>
      </c>
      <c r="D30" s="10">
        <v>1.0449999999999999</v>
      </c>
      <c r="E30" s="9">
        <f t="shared" si="0"/>
        <v>10.45</v>
      </c>
      <c r="F30" s="9">
        <f t="shared" si="1"/>
        <v>-8.9550000000000001</v>
      </c>
    </row>
    <row r="31" spans="1:6" ht="15.7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324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325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.75" customHeight="1">
      <c r="A37" s="7">
        <v>1170105005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8.7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16</v>
      </c>
      <c r="C39" s="255">
        <f>SUM(C4,C25)</f>
        <v>2441.8199999999997</v>
      </c>
      <c r="D39" s="255">
        <f>SUM(D4,D25)</f>
        <v>383.78941000000003</v>
      </c>
      <c r="E39" s="5">
        <f t="shared" si="0"/>
        <v>15.717350582762041</v>
      </c>
      <c r="F39" s="5">
        <f t="shared" si="1"/>
        <v>-2058.0305899999998</v>
      </c>
    </row>
    <row r="40" spans="1:7" s="6" customFormat="1">
      <c r="A40" s="3">
        <v>2000000000</v>
      </c>
      <c r="B40" s="4" t="s">
        <v>17</v>
      </c>
      <c r="C40" s="5">
        <f>C41+C43+C45+C46+C48+C49+C47+C42+C44</f>
        <v>11272.766950000001</v>
      </c>
      <c r="D40" s="250">
        <f>D41+D43+D45+D46+D48+D49+D42+D47</f>
        <v>1086.3029999999999</v>
      </c>
      <c r="E40" s="5">
        <f t="shared" si="0"/>
        <v>9.6365249527313228</v>
      </c>
      <c r="F40" s="5">
        <f t="shared" si="1"/>
        <v>-10186.463950000001</v>
      </c>
      <c r="G40" s="19"/>
    </row>
    <row r="41" spans="1:7">
      <c r="A41" s="16">
        <v>2021000000</v>
      </c>
      <c r="B41" s="17" t="s">
        <v>18</v>
      </c>
      <c r="C41" s="98">
        <v>3478.3</v>
      </c>
      <c r="D41" s="20">
        <v>869.57399999999996</v>
      </c>
      <c r="E41" s="9">
        <f t="shared" si="0"/>
        <v>24.99997125032343</v>
      </c>
      <c r="F41" s="9">
        <f t="shared" si="1"/>
        <v>-2608.7260000000001</v>
      </c>
    </row>
    <row r="42" spans="1:7" ht="17.25" customHeight="1">
      <c r="A42" s="16">
        <v>2021500200</v>
      </c>
      <c r="B42" s="17" t="s">
        <v>228</v>
      </c>
      <c r="C42" s="12"/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19</v>
      </c>
      <c r="C43" s="12">
        <v>5374.4871000000003</v>
      </c>
      <c r="D43" s="10">
        <v>162.29400000000001</v>
      </c>
      <c r="E43" s="9">
        <f t="shared" si="0"/>
        <v>3.0197114065079811</v>
      </c>
      <c r="F43" s="9">
        <f t="shared" si="1"/>
        <v>-5212.1931000000004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20</v>
      </c>
      <c r="C45" s="12">
        <v>235.76400000000001</v>
      </c>
      <c r="D45" s="180">
        <v>54.435000000000002</v>
      </c>
      <c r="E45" s="9">
        <f t="shared" si="0"/>
        <v>23.088766732834529</v>
      </c>
      <c r="F45" s="9">
        <f t="shared" si="1"/>
        <v>-181.32900000000001</v>
      </c>
    </row>
    <row r="46" spans="1:7" ht="19.5" customHeight="1">
      <c r="A46" s="16">
        <v>2020400000</v>
      </c>
      <c r="B46" s="17" t="s">
        <v>21</v>
      </c>
      <c r="C46" s="12">
        <v>1457.5530000000001</v>
      </c>
      <c r="D46" s="181"/>
      <c r="E46" s="9">
        <f t="shared" si="0"/>
        <v>0</v>
      </c>
      <c r="F46" s="9">
        <f t="shared" si="1"/>
        <v>-1457.5530000000001</v>
      </c>
    </row>
    <row r="47" spans="1:7" ht="20.25" customHeight="1">
      <c r="A47" s="7">
        <v>2070500010</v>
      </c>
      <c r="B47" s="18" t="s">
        <v>284</v>
      </c>
      <c r="C47" s="12">
        <v>726.66285000000005</v>
      </c>
      <c r="D47" s="181">
        <v>0</v>
      </c>
      <c r="E47" s="9">
        <f t="shared" si="0"/>
        <v>0</v>
      </c>
      <c r="F47" s="9">
        <f t="shared" si="1"/>
        <v>-726.66285000000005</v>
      </c>
    </row>
    <row r="48" spans="1:7" ht="19.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24</v>
      </c>
      <c r="C50" s="120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25</v>
      </c>
      <c r="C51" s="243">
        <f>C39+C40</f>
        <v>13714.586950000001</v>
      </c>
      <c r="D51" s="244">
        <f>D39+D40</f>
        <v>1470.09241</v>
      </c>
      <c r="E51" s="5">
        <f t="shared" si="0"/>
        <v>10.71918837482743</v>
      </c>
      <c r="F51" s="5">
        <f t="shared" si="1"/>
        <v>-12244.494540000002</v>
      </c>
      <c r="G51" s="193"/>
    </row>
    <row r="52" spans="1:7" s="6" customFormat="1">
      <c r="A52" s="3"/>
      <c r="B52" s="21" t="s">
        <v>307</v>
      </c>
      <c r="C52" s="92">
        <f>C51-C99</f>
        <v>-97.494259999997666</v>
      </c>
      <c r="D52" s="92">
        <f>D51-D99</f>
        <v>367.95956999999999</v>
      </c>
      <c r="E52" s="22"/>
      <c r="F52" s="22"/>
    </row>
    <row r="53" spans="1:7" ht="23.25" customHeight="1">
      <c r="A53" s="23"/>
      <c r="B53" s="24"/>
      <c r="C53" s="173"/>
      <c r="D53" s="173"/>
      <c r="E53" s="130"/>
      <c r="F53" s="91"/>
    </row>
    <row r="54" spans="1:7" ht="65.25" customHeight="1">
      <c r="A54" s="28" t="s">
        <v>0</v>
      </c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7" ht="19.5" customHeight="1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>
      <c r="A56" s="30" t="s">
        <v>27</v>
      </c>
      <c r="B56" s="31" t="s">
        <v>28</v>
      </c>
      <c r="C56" s="32">
        <f>C57+C58+C59+C60+C61+C63+C62</f>
        <v>1684.1020000000001</v>
      </c>
      <c r="D56" s="33">
        <f>D57+D58+D59+D60+D61+D63+D62</f>
        <v>294.03316999999998</v>
      </c>
      <c r="E56" s="34">
        <f>SUM(D56/C56*100)</f>
        <v>17.459344505261555</v>
      </c>
      <c r="F56" s="34">
        <f>SUM(D56-C56)</f>
        <v>-1390.0688300000002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8" customHeight="1">
      <c r="A58" s="35" t="s">
        <v>31</v>
      </c>
      <c r="B58" s="39" t="s">
        <v>32</v>
      </c>
      <c r="C58" s="37">
        <v>1669.2</v>
      </c>
      <c r="D58" s="37">
        <v>289.13117</v>
      </c>
      <c r="E58" s="38">
        <f t="shared" ref="E58:E99" si="3">SUM(D58/C58*100)</f>
        <v>17.321541456985383</v>
      </c>
      <c r="F58" s="38">
        <f t="shared" ref="F58:F99" si="4">SUM(D58-C58)</f>
        <v>-1380.0688300000002</v>
      </c>
    </row>
    <row r="59" spans="1:7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" customHeight="1">
      <c r="A63" s="35" t="s">
        <v>41</v>
      </c>
      <c r="B63" s="39" t="s">
        <v>42</v>
      </c>
      <c r="C63" s="37">
        <v>4.9020000000000001</v>
      </c>
      <c r="D63" s="37">
        <v>4.9020000000000001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235.76400000000001</v>
      </c>
      <c r="D64" s="32">
        <f>D65</f>
        <v>22.085999999999999</v>
      </c>
      <c r="E64" s="34">
        <f t="shared" si="3"/>
        <v>9.3678424186898752</v>
      </c>
      <c r="F64" s="34">
        <f t="shared" si="4"/>
        <v>-213.678</v>
      </c>
    </row>
    <row r="65" spans="1:7">
      <c r="A65" s="43" t="s">
        <v>45</v>
      </c>
      <c r="B65" s="44" t="s">
        <v>46</v>
      </c>
      <c r="C65" s="37">
        <v>235.76400000000001</v>
      </c>
      <c r="D65" s="37">
        <v>22.085999999999999</v>
      </c>
      <c r="E65" s="38">
        <f t="shared" si="3"/>
        <v>9.3678424186898752</v>
      </c>
      <c r="F65" s="38">
        <f t="shared" si="4"/>
        <v>-213.678</v>
      </c>
    </row>
    <row r="66" spans="1:7" s="6" customFormat="1" ht="18.75" customHeight="1">
      <c r="A66" s="30" t="s">
        <v>47</v>
      </c>
      <c r="B66" s="31" t="s">
        <v>48</v>
      </c>
      <c r="C66" s="32">
        <f>C70+C69+C68+C67+C71</f>
        <v>18.5</v>
      </c>
      <c r="D66" s="32">
        <f>SUM(D69+D70+D71)</f>
        <v>3.5</v>
      </c>
      <c r="E66" s="34">
        <f t="shared" si="3"/>
        <v>18.918918918918919</v>
      </c>
      <c r="F66" s="34">
        <f t="shared" si="4"/>
        <v>-15</v>
      </c>
    </row>
    <row r="67" spans="1:7" hidden="1">
      <c r="A67" s="35" t="s">
        <v>49</v>
      </c>
      <c r="B67" s="39" t="s">
        <v>50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53</v>
      </c>
      <c r="B69" s="47" t="s">
        <v>54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13.5</v>
      </c>
      <c r="D70" s="37">
        <v>1.5</v>
      </c>
      <c r="E70" s="38">
        <f>SUM(D70/C70*100)</f>
        <v>11.111111111111111</v>
      </c>
      <c r="F70" s="38">
        <f>SUM(D70-C70)</f>
        <v>-12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8"/>
      <c r="F71" s="38"/>
    </row>
    <row r="72" spans="1:7" s="6" customFormat="1">
      <c r="A72" s="30" t="s">
        <v>55</v>
      </c>
      <c r="B72" s="31" t="s">
        <v>56</v>
      </c>
      <c r="C72" s="48">
        <f>SUM(C73:C76)</f>
        <v>7895.5642099999995</v>
      </c>
      <c r="D72" s="48">
        <f>SUM(D73:D76)</f>
        <v>185.82239999999999</v>
      </c>
      <c r="E72" s="34">
        <f t="shared" si="3"/>
        <v>2.3535037529635896</v>
      </c>
      <c r="F72" s="34">
        <f t="shared" si="4"/>
        <v>-7709.7418099999995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7695.5642099999995</v>
      </c>
      <c r="D75" s="37">
        <v>184.32239999999999</v>
      </c>
      <c r="E75" s="38">
        <f t="shared" si="3"/>
        <v>2.3951772081958889</v>
      </c>
      <c r="F75" s="38">
        <f t="shared" si="4"/>
        <v>-7511.2418099999995</v>
      </c>
    </row>
    <row r="76" spans="1:7">
      <c r="A76" s="35" t="s">
        <v>63</v>
      </c>
      <c r="B76" s="39" t="s">
        <v>64</v>
      </c>
      <c r="C76" s="49">
        <v>200</v>
      </c>
      <c r="D76" s="37">
        <v>1.5</v>
      </c>
      <c r="E76" s="38">
        <f t="shared" si="3"/>
        <v>0.75</v>
      </c>
      <c r="F76" s="38">
        <f t="shared" si="4"/>
        <v>-198.5</v>
      </c>
    </row>
    <row r="77" spans="1:7" s="6" customFormat="1" ht="18" customHeight="1">
      <c r="A77" s="30" t="s">
        <v>65</v>
      </c>
      <c r="B77" s="31" t="s">
        <v>66</v>
      </c>
      <c r="C77" s="32">
        <f>SUM(C78:C81)</f>
        <v>2160.0509999999999</v>
      </c>
      <c r="D77" s="32">
        <f>SUM(D78:D81)</f>
        <v>117.54727</v>
      </c>
      <c r="E77" s="34">
        <f t="shared" si="3"/>
        <v>5.4418747520313175</v>
      </c>
      <c r="F77" s="34">
        <f t="shared" si="4"/>
        <v>-2042.5037299999999</v>
      </c>
    </row>
    <row r="78" spans="1:7" hidden="1">
      <c r="A78" s="35" t="s">
        <v>67</v>
      </c>
      <c r="B78" s="51" t="s">
        <v>68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customHeight="1">
      <c r="A79" s="35" t="s">
        <v>69</v>
      </c>
      <c r="B79" s="51" t="s">
        <v>70</v>
      </c>
      <c r="C79" s="37">
        <v>1119.501</v>
      </c>
      <c r="D79" s="37">
        <v>51.3</v>
      </c>
      <c r="E79" s="38">
        <f t="shared" si="3"/>
        <v>4.5823987651641227</v>
      </c>
      <c r="F79" s="38">
        <f t="shared" si="4"/>
        <v>-1068.201</v>
      </c>
    </row>
    <row r="80" spans="1:7" ht="16.5" customHeight="1">
      <c r="A80" s="35" t="s">
        <v>71</v>
      </c>
      <c r="B80" s="39" t="s">
        <v>72</v>
      </c>
      <c r="C80" s="37">
        <v>1040.55</v>
      </c>
      <c r="D80" s="37">
        <v>66.24727</v>
      </c>
      <c r="E80" s="38">
        <f t="shared" si="3"/>
        <v>6.3665628754024315</v>
      </c>
      <c r="F80" s="38">
        <f t="shared" si="4"/>
        <v>-974.30273</v>
      </c>
    </row>
    <row r="81" spans="1:6" ht="31.5" hidden="1">
      <c r="A81" s="35" t="s">
        <v>252</v>
      </c>
      <c r="B81" s="39" t="s">
        <v>264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83</v>
      </c>
      <c r="B82" s="31" t="s">
        <v>84</v>
      </c>
      <c r="C82" s="32">
        <f>C83</f>
        <v>1784.1</v>
      </c>
      <c r="D82" s="32">
        <f>SUM(D83)</f>
        <v>445.82400000000001</v>
      </c>
      <c r="E82" s="34">
        <f t="shared" si="3"/>
        <v>24.988733815369095</v>
      </c>
      <c r="F82" s="34">
        <f t="shared" si="4"/>
        <v>-1338.2759999999998</v>
      </c>
    </row>
    <row r="83" spans="1:6" ht="16.5" customHeight="1">
      <c r="A83" s="35" t="s">
        <v>85</v>
      </c>
      <c r="B83" s="39" t="s">
        <v>230</v>
      </c>
      <c r="C83" s="37">
        <v>1784.1</v>
      </c>
      <c r="D83" s="37">
        <v>445.82400000000001</v>
      </c>
      <c r="E83" s="38">
        <f t="shared" si="3"/>
        <v>24.988733815369095</v>
      </c>
      <c r="F83" s="38">
        <f t="shared" si="4"/>
        <v>-1338.2759999999998</v>
      </c>
    </row>
    <row r="84" spans="1:6" s="6" customFormat="1" ht="18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87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88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89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92</v>
      </c>
      <c r="B89" s="31" t="s">
        <v>93</v>
      </c>
      <c r="C89" s="32">
        <f>C90+C91+C92+C93+C94</f>
        <v>34</v>
      </c>
      <c r="D89" s="32">
        <f>D90+D91+D92+D93+D94</f>
        <v>33.32</v>
      </c>
      <c r="E89" s="38">
        <f t="shared" si="3"/>
        <v>98</v>
      </c>
      <c r="F89" s="22">
        <f>F90+F91+F92+F93+F94</f>
        <v>-0.67999999999999972</v>
      </c>
    </row>
    <row r="90" spans="1:6" ht="19.5" customHeight="1">
      <c r="A90" s="35" t="s">
        <v>94</v>
      </c>
      <c r="B90" s="39" t="s">
        <v>95</v>
      </c>
      <c r="C90" s="37">
        <v>34</v>
      </c>
      <c r="D90" s="37">
        <v>33.32</v>
      </c>
      <c r="E90" s="38">
        <f t="shared" si="3"/>
        <v>98</v>
      </c>
      <c r="F90" s="38">
        <f>SUM(D90-C90)</f>
        <v>-0.67999999999999972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116</v>
      </c>
      <c r="C99" s="246">
        <f>C56+C64+C66+C72+C77+C82+C84+C89+C95</f>
        <v>13812.081209999998</v>
      </c>
      <c r="D99" s="246">
        <f>D56+D64+D66+D72+D77+D82+D84+D89+D95</f>
        <v>1102.13284</v>
      </c>
      <c r="E99" s="34">
        <f t="shared" si="3"/>
        <v>7.9794842156159032</v>
      </c>
      <c r="F99" s="34">
        <f t="shared" si="4"/>
        <v>-12709.948369999998</v>
      </c>
    </row>
    <row r="100" spans="1:6" ht="20.25" customHeight="1">
      <c r="C100" s="228"/>
      <c r="D100" s="229"/>
    </row>
    <row r="101" spans="1:6" s="65" customFormat="1" ht="13.5" customHeight="1">
      <c r="A101" s="63" t="s">
        <v>117</v>
      </c>
      <c r="B101" s="63"/>
      <c r="C101" s="64"/>
      <c r="D101" s="64"/>
    </row>
    <row r="102" spans="1:6" s="65" customFormat="1" ht="12.75">
      <c r="A102" s="66" t="s">
        <v>118</v>
      </c>
      <c r="B102" s="66"/>
      <c r="C102" s="132" t="s">
        <v>119</v>
      </c>
      <c r="D102" s="132"/>
    </row>
    <row r="103" spans="1:6" ht="5.25" customHeight="1"/>
    <row r="142" hidden="1"/>
  </sheetData>
  <customSheetViews>
    <customSheetView guid="{E6F84523-F47F-492E-BB0B-0D2156A983B1}" scale="70" showPageBreaks="1" hiddenRows="1" state="hidden" view="pageBreakPreview">
      <selection activeCell="D83" sqref="D8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6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7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hiddenRows="1" view="pageBreakPreview" topLeftCell="A28">
      <selection activeCell="D83" sqref="D83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zoomScale="70" zoomScaleNormal="100" zoomScaleSheetLayoutView="70" workbookViewId="0">
      <selection activeCell="C89" sqref="C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6" t="s">
        <v>424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1838.27</v>
      </c>
      <c r="D4" s="5">
        <f>D5+D12+D14+D17+D7+D20</f>
        <v>267.41854000000001</v>
      </c>
      <c r="E4" s="5">
        <f>SUM(D4/C4*100)</f>
        <v>14.547293923090731</v>
      </c>
      <c r="F4" s="5">
        <f>SUM(D4-C4)</f>
        <v>-1570.8514599999999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37.78922</v>
      </c>
      <c r="E5" s="5">
        <f t="shared" ref="E5:E51" si="0">SUM(D5/C5*100)</f>
        <v>23.326679012345679</v>
      </c>
      <c r="F5" s="5">
        <f t="shared" ref="F5:F48" si="1">SUM(D5-C5)</f>
        <v>-124.21078</v>
      </c>
    </row>
    <row r="6" spans="1:6">
      <c r="A6" s="7">
        <v>1010200001</v>
      </c>
      <c r="B6" s="8" t="s">
        <v>225</v>
      </c>
      <c r="C6" s="9">
        <v>162</v>
      </c>
      <c r="D6" s="10">
        <v>37.78922</v>
      </c>
      <c r="E6" s="9">
        <f t="shared" ref="E6:E11" si="2">SUM(D6/C6*100)</f>
        <v>23.326679012345679</v>
      </c>
      <c r="F6" s="9">
        <f t="shared" si="1"/>
        <v>-124.21078</v>
      </c>
    </row>
    <row r="7" spans="1:6" ht="31.5">
      <c r="A7" s="3">
        <v>1030000000</v>
      </c>
      <c r="B7" s="13" t="s">
        <v>267</v>
      </c>
      <c r="C7" s="5">
        <f>C8+C10+C9</f>
        <v>684.27</v>
      </c>
      <c r="D7" s="5">
        <f>D8+D10+D9+D11</f>
        <v>180.80392000000001</v>
      </c>
      <c r="E7" s="9">
        <f t="shared" si="2"/>
        <v>26.422891548657695</v>
      </c>
      <c r="F7" s="9">
        <f t="shared" si="1"/>
        <v>-503.46607999999998</v>
      </c>
    </row>
    <row r="8" spans="1:6">
      <c r="A8" s="7">
        <v>1030223001</v>
      </c>
      <c r="B8" s="8" t="s">
        <v>269</v>
      </c>
      <c r="C8" s="9">
        <v>255.233</v>
      </c>
      <c r="D8" s="10">
        <v>86.831940000000003</v>
      </c>
      <c r="E8" s="9">
        <f t="shared" si="2"/>
        <v>34.020655636222592</v>
      </c>
      <c r="F8" s="9">
        <f t="shared" si="1"/>
        <v>-168.40106</v>
      </c>
    </row>
    <row r="9" spans="1:6">
      <c r="A9" s="7">
        <v>1030224001</v>
      </c>
      <c r="B9" s="8" t="s">
        <v>275</v>
      </c>
      <c r="C9" s="9">
        <v>2.7370000000000001</v>
      </c>
      <c r="D9" s="10">
        <v>0.55640000000000001</v>
      </c>
      <c r="E9" s="9">
        <f t="shared" si="2"/>
        <v>20.328827183047132</v>
      </c>
      <c r="F9" s="9">
        <f t="shared" si="1"/>
        <v>-2.1806000000000001</v>
      </c>
    </row>
    <row r="10" spans="1:6">
      <c r="A10" s="7">
        <v>1030225001</v>
      </c>
      <c r="B10" s="8" t="s">
        <v>268</v>
      </c>
      <c r="C10" s="9">
        <v>426.3</v>
      </c>
      <c r="D10" s="10">
        <v>105.06520999999999</v>
      </c>
      <c r="E10" s="9">
        <f t="shared" si="2"/>
        <v>24.645838611306591</v>
      </c>
      <c r="F10" s="9">
        <f t="shared" si="1"/>
        <v>-321.23479000000003</v>
      </c>
    </row>
    <row r="11" spans="1:6">
      <c r="A11" s="7">
        <v>1030226001</v>
      </c>
      <c r="B11" s="8" t="s">
        <v>277</v>
      </c>
      <c r="C11" s="9">
        <v>0</v>
      </c>
      <c r="D11" s="10">
        <v>-11.64963</v>
      </c>
      <c r="E11" s="9" t="e">
        <f t="shared" si="2"/>
        <v>#DIV/0!</v>
      </c>
      <c r="F11" s="9">
        <f t="shared" si="1"/>
        <v>-11.64963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0.37980000000000003</v>
      </c>
      <c r="E12" s="5">
        <f t="shared" si="0"/>
        <v>1.266</v>
      </c>
      <c r="F12" s="5">
        <f t="shared" si="1"/>
        <v>-29.620200000000001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0.37980000000000003</v>
      </c>
      <c r="E13" s="9">
        <f t="shared" si="0"/>
        <v>1.266</v>
      </c>
      <c r="F13" s="9">
        <f t="shared" si="1"/>
        <v>-29.620200000000001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958</v>
      </c>
      <c r="D14" s="5">
        <f>D15+D16</f>
        <v>46.095600000000005</v>
      </c>
      <c r="E14" s="5">
        <f t="shared" si="0"/>
        <v>4.8116492693110651</v>
      </c>
      <c r="F14" s="5">
        <f t="shared" si="1"/>
        <v>-911.90440000000001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7.05105</v>
      </c>
      <c r="E15" s="9">
        <f t="shared" si="0"/>
        <v>3.5611363636363635</v>
      </c>
      <c r="F15" s="9">
        <f>SUM(D15-C15)</f>
        <v>-190.94895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39.044550000000001</v>
      </c>
      <c r="E16" s="9">
        <f t="shared" si="0"/>
        <v>5.1374407894736844</v>
      </c>
      <c r="F16" s="9">
        <f t="shared" si="1"/>
        <v>-720.95545000000004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2.35</v>
      </c>
      <c r="E17" s="5">
        <f t="shared" si="0"/>
        <v>58.75</v>
      </c>
      <c r="F17" s="5">
        <f t="shared" si="1"/>
        <v>-1.65</v>
      </c>
    </row>
    <row r="18" spans="1:6" ht="18" customHeight="1">
      <c r="A18" s="7">
        <v>1080400001</v>
      </c>
      <c r="B18" s="8" t="s">
        <v>224</v>
      </c>
      <c r="C18" s="9">
        <v>4</v>
      </c>
      <c r="D18" s="10">
        <v>2.35</v>
      </c>
      <c r="E18" s="9">
        <f t="shared" si="0"/>
        <v>58.75</v>
      </c>
      <c r="F18" s="9">
        <f t="shared" si="1"/>
        <v>-1.65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125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223.87064000000001</v>
      </c>
      <c r="D25" s="5">
        <f>D26+D29+D31+D36+D34</f>
        <v>50.957840000000004</v>
      </c>
      <c r="E25" s="5">
        <f t="shared" si="0"/>
        <v>22.762180873740302</v>
      </c>
      <c r="F25" s="5">
        <f t="shared" si="1"/>
        <v>-172.9128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213.87064000000001</v>
      </c>
      <c r="D26" s="245">
        <f>D27+D28</f>
        <v>1.6934400000000001</v>
      </c>
      <c r="E26" s="5">
        <f t="shared" si="0"/>
        <v>0.7918057382724436</v>
      </c>
      <c r="F26" s="5">
        <f t="shared" si="1"/>
        <v>-212.1772</v>
      </c>
    </row>
    <row r="27" spans="1:6">
      <c r="A27" s="16">
        <v>1110502510</v>
      </c>
      <c r="B27" s="17" t="s">
        <v>222</v>
      </c>
      <c r="C27" s="12">
        <v>207.87064000000001</v>
      </c>
      <c r="D27" s="10">
        <v>0</v>
      </c>
      <c r="E27" s="9">
        <f t="shared" si="0"/>
        <v>0</v>
      </c>
      <c r="F27" s="9">
        <f t="shared" si="1"/>
        <v>-207.87064000000001</v>
      </c>
    </row>
    <row r="28" spans="1:6" ht="18" customHeight="1">
      <c r="A28" s="7">
        <v>1110503510</v>
      </c>
      <c r="B28" s="11" t="s">
        <v>221</v>
      </c>
      <c r="C28" s="12">
        <v>6</v>
      </c>
      <c r="D28" s="10">
        <v>1.6934400000000001</v>
      </c>
      <c r="E28" s="9">
        <f t="shared" si="0"/>
        <v>28.224</v>
      </c>
      <c r="F28" s="9">
        <f t="shared" si="1"/>
        <v>-4.3065600000000002</v>
      </c>
    </row>
    <row r="29" spans="1:6" s="15" customFormat="1" ht="29.25">
      <c r="A29" s="68">
        <v>1130000000</v>
      </c>
      <c r="B29" s="69" t="s">
        <v>128</v>
      </c>
      <c r="C29" s="5">
        <f>C30</f>
        <v>10</v>
      </c>
      <c r="D29" s="5">
        <f>D30</f>
        <v>0</v>
      </c>
      <c r="E29" s="5">
        <f t="shared" si="0"/>
        <v>0</v>
      </c>
      <c r="F29" s="5">
        <f t="shared" si="1"/>
        <v>-10</v>
      </c>
    </row>
    <row r="30" spans="1:6" ht="17.25" customHeight="1">
      <c r="A30" s="7">
        <v>1130206005</v>
      </c>
      <c r="B30" s="8" t="s">
        <v>220</v>
      </c>
      <c r="C30" s="9">
        <v>10</v>
      </c>
      <c r="D30" s="10">
        <v>0</v>
      </c>
      <c r="E30" s="9">
        <f t="shared" si="0"/>
        <v>0</v>
      </c>
      <c r="F30" s="9">
        <f t="shared" si="1"/>
        <v>-10</v>
      </c>
    </row>
    <row r="31" spans="1:6" ht="23.25" customHeight="1">
      <c r="A31" s="70">
        <v>1140000000</v>
      </c>
      <c r="B31" s="71" t="s">
        <v>129</v>
      </c>
      <c r="C31" s="5">
        <f>C32+C33</f>
        <v>0</v>
      </c>
      <c r="D31" s="5">
        <f>D32+D33</f>
        <v>49.264400000000002</v>
      </c>
      <c r="E31" s="5" t="e">
        <f t="shared" si="0"/>
        <v>#DIV/0!</v>
      </c>
      <c r="F31" s="5">
        <f t="shared" si="1"/>
        <v>49.264400000000002</v>
      </c>
    </row>
    <row r="32" spans="1:6" ht="22.5" customHeight="1">
      <c r="A32" s="16">
        <v>1140200000</v>
      </c>
      <c r="B32" s="18" t="s">
        <v>218</v>
      </c>
      <c r="C32" s="9">
        <v>0</v>
      </c>
      <c r="D32" s="10">
        <v>49.264400000000002</v>
      </c>
      <c r="E32" s="9" t="e">
        <f t="shared" si="0"/>
        <v>#DIV/0!</v>
      </c>
      <c r="F32" s="9">
        <f t="shared" si="1"/>
        <v>49.264400000000002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2062.1406400000001</v>
      </c>
      <c r="D39" s="125">
        <f>SUM(D4,D25)</f>
        <v>318.37638000000004</v>
      </c>
      <c r="E39" s="5">
        <f t="shared" si="0"/>
        <v>15.439120582968583</v>
      </c>
      <c r="F39" s="5">
        <f t="shared" si="1"/>
        <v>-1743.7642599999999</v>
      </c>
    </row>
    <row r="40" spans="1:7" s="6" customFormat="1">
      <c r="A40" s="3">
        <v>2000000000</v>
      </c>
      <c r="B40" s="4" t="s">
        <v>17</v>
      </c>
      <c r="C40" s="227">
        <f>C41+C42+C43+C44+C48+C49</f>
        <v>16896.230919999998</v>
      </c>
      <c r="D40" s="227">
        <f>D41+D42+D43+D44+D48+D49+D50</f>
        <v>1432.645</v>
      </c>
      <c r="E40" s="5">
        <f t="shared" si="0"/>
        <v>8.4790803746898611</v>
      </c>
      <c r="F40" s="5">
        <f t="shared" si="1"/>
        <v>-15463.585919999998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1212.3</v>
      </c>
      <c r="E41" s="9">
        <f t="shared" si="0"/>
        <v>25</v>
      </c>
      <c r="F41" s="9">
        <f t="shared" si="1"/>
        <v>-3636.8999999999996</v>
      </c>
    </row>
    <row r="42" spans="1:7" ht="17.2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165.91</v>
      </c>
      <c r="E43" s="9">
        <f t="shared" si="0"/>
        <v>1.5452696634619314</v>
      </c>
      <c r="F43" s="9">
        <f t="shared" si="1"/>
        <v>-10570.727360000001</v>
      </c>
    </row>
    <row r="44" spans="1:7" ht="18" customHeight="1">
      <c r="A44" s="16">
        <v>2023000000</v>
      </c>
      <c r="B44" s="17" t="s">
        <v>20</v>
      </c>
      <c r="C44" s="12">
        <v>235.76499999999999</v>
      </c>
      <c r="D44" s="180">
        <v>54.435000000000002</v>
      </c>
      <c r="E44" s="9">
        <f t="shared" si="0"/>
        <v>23.088668801560878</v>
      </c>
      <c r="F44" s="9">
        <f t="shared" si="1"/>
        <v>-181.32999999999998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636.84900000000005</v>
      </c>
      <c r="D48" s="10"/>
      <c r="E48" s="9">
        <f t="shared" si="0"/>
        <v>0</v>
      </c>
      <c r="F48" s="9">
        <f t="shared" si="1"/>
        <v>-636.84900000000005</v>
      </c>
    </row>
    <row r="49" spans="1:7" s="6" customFormat="1" ht="18.75" customHeight="1">
      <c r="A49" s="7">
        <v>2070500010</v>
      </c>
      <c r="B49" s="8" t="s">
        <v>335</v>
      </c>
      <c r="C49" s="12">
        <v>437.77956</v>
      </c>
      <c r="D49" s="10"/>
      <c r="E49" s="9">
        <f>SUM(D49/C49*100)</f>
        <v>0</v>
      </c>
      <c r="F49" s="9">
        <f>SUM(D49-C49)</f>
        <v>-437.77956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3">
        <f>C39+C40</f>
        <v>18958.37156</v>
      </c>
      <c r="D51" s="243">
        <f>SUM(D39,D40,)</f>
        <v>1751.0213800000001</v>
      </c>
      <c r="E51" s="5">
        <f t="shared" si="0"/>
        <v>9.2361381063680366</v>
      </c>
      <c r="F51" s="5">
        <f>SUM(D51-C51)</f>
        <v>-17207.350180000001</v>
      </c>
      <c r="G51" s="193"/>
    </row>
    <row r="52" spans="1:7" s="6" customFormat="1">
      <c r="A52" s="3"/>
      <c r="B52" s="21" t="s">
        <v>307</v>
      </c>
      <c r="C52" s="243">
        <f>C51-C98</f>
        <v>-659.32936000000336</v>
      </c>
      <c r="D52" s="243">
        <f>D51-D98</f>
        <v>-211.40231999999969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1562.6039999999998</v>
      </c>
      <c r="D56" s="176">
        <f>D57+D58+D59+D60+D61+D63+D62</f>
        <v>312.95550000000003</v>
      </c>
      <c r="E56" s="34">
        <f>SUM(D56/C56*100)</f>
        <v>20.0278189483708</v>
      </c>
      <c r="F56" s="34">
        <f>SUM(D56-C56)</f>
        <v>-1249.6484999999998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1547.1</v>
      </c>
      <c r="D58" s="37">
        <v>307.45150000000001</v>
      </c>
      <c r="E58" s="38">
        <f t="shared" ref="E58:E98" si="3">SUM(D58/C58*100)</f>
        <v>19.87276194169737</v>
      </c>
      <c r="F58" s="38">
        <f t="shared" ref="F58:F98" si="4">SUM(D58-C58)</f>
        <v>-1239.6484999999998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5.5039999999999996</v>
      </c>
      <c r="D63" s="37">
        <v>5.5039999999999996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235.76499999999999</v>
      </c>
      <c r="D64" s="32">
        <f>D65</f>
        <v>41.669580000000003</v>
      </c>
      <c r="E64" s="34">
        <f>SUM(D64/C64*100)</f>
        <v>17.67420100523827</v>
      </c>
      <c r="F64" s="34">
        <f t="shared" si="4"/>
        <v>-194.09541999999999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41.669580000000003</v>
      </c>
      <c r="E65" s="261">
        <f>SUM(D65/C65*100)</f>
        <v>17.67420100523827</v>
      </c>
      <c r="F65" s="38">
        <f t="shared" si="4"/>
        <v>-194.09541999999999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15</v>
      </c>
      <c r="D66" s="32">
        <f>D69+D70+D71</f>
        <v>2</v>
      </c>
      <c r="E66" s="34">
        <f t="shared" si="3"/>
        <v>13.333333333333334</v>
      </c>
      <c r="F66" s="34">
        <f t="shared" si="4"/>
        <v>-13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6532.0859200000004</v>
      </c>
      <c r="D72" s="48">
        <f>SUM(D73:D76)</f>
        <v>251.42751000000001</v>
      </c>
      <c r="E72" s="34">
        <f t="shared" si="3"/>
        <v>3.8491151690178622</v>
      </c>
      <c r="F72" s="34">
        <f t="shared" si="4"/>
        <v>-6280.65841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5732.0859200000004</v>
      </c>
      <c r="D75" s="37">
        <v>188.42751000000001</v>
      </c>
      <c r="E75" s="38">
        <f t="shared" si="3"/>
        <v>3.2872415492334417</v>
      </c>
      <c r="F75" s="38">
        <f t="shared" si="4"/>
        <v>-5543.65841</v>
      </c>
    </row>
    <row r="76" spans="1:7">
      <c r="A76" s="35" t="s">
        <v>63</v>
      </c>
      <c r="B76" s="39" t="s">
        <v>64</v>
      </c>
      <c r="C76" s="49">
        <v>800</v>
      </c>
      <c r="D76" s="37">
        <v>63</v>
      </c>
      <c r="E76" s="38">
        <f t="shared" si="3"/>
        <v>7.875</v>
      </c>
      <c r="F76" s="38">
        <f t="shared" si="4"/>
        <v>-737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1072.646</v>
      </c>
      <c r="D77" s="32">
        <f>SUM(D78:D80)</f>
        <v>427.62520000000001</v>
      </c>
      <c r="E77" s="34">
        <f t="shared" si="3"/>
        <v>39.866386487247425</v>
      </c>
      <c r="F77" s="34">
        <f t="shared" si="4"/>
        <v>-645.02080000000001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85</v>
      </c>
      <c r="D79" s="37">
        <v>38.863</v>
      </c>
      <c r="E79" s="34">
        <f t="shared" si="3"/>
        <v>45.72117647058824</v>
      </c>
      <c r="F79" s="34">
        <f t="shared" si="4"/>
        <v>-46.137</v>
      </c>
    </row>
    <row r="80" spans="1:7">
      <c r="A80" s="35" t="s">
        <v>71</v>
      </c>
      <c r="B80" s="39" t="s">
        <v>72</v>
      </c>
      <c r="C80" s="37">
        <v>987.64599999999996</v>
      </c>
      <c r="D80" s="37">
        <v>388.76220000000001</v>
      </c>
      <c r="E80" s="38">
        <f t="shared" si="3"/>
        <v>39.362504379099391</v>
      </c>
      <c r="F80" s="38">
        <f t="shared" si="4"/>
        <v>-598.88379999999995</v>
      </c>
    </row>
    <row r="81" spans="1:6" s="6" customFormat="1">
      <c r="A81" s="30" t="s">
        <v>83</v>
      </c>
      <c r="B81" s="31" t="s">
        <v>84</v>
      </c>
      <c r="C81" s="32">
        <f>C82</f>
        <v>10189.6</v>
      </c>
      <c r="D81" s="32">
        <f>D82</f>
        <v>926.74590999999998</v>
      </c>
      <c r="E81" s="34">
        <f>SUM(D81/C81*100)</f>
        <v>9.0950175669309878</v>
      </c>
      <c r="F81" s="34">
        <f t="shared" si="4"/>
        <v>-9262.8540900000007</v>
      </c>
    </row>
    <row r="82" spans="1:6" ht="15.75" customHeight="1">
      <c r="A82" s="35" t="s">
        <v>85</v>
      </c>
      <c r="B82" s="39" t="s">
        <v>230</v>
      </c>
      <c r="C82" s="37">
        <v>10189.6</v>
      </c>
      <c r="D82" s="37">
        <v>926.74590999999998</v>
      </c>
      <c r="E82" s="38">
        <f>SUM(D82/C82*100)</f>
        <v>9.0950175669309878</v>
      </c>
      <c r="F82" s="38">
        <f t="shared" si="4"/>
        <v>-9262.8540900000007</v>
      </c>
    </row>
    <row r="83" spans="1:6" s="6" customFormat="1" ht="1.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92</v>
      </c>
      <c r="B88" s="31" t="s">
        <v>93</v>
      </c>
      <c r="C88" s="32">
        <f>C89+C90+C91+C92+C93</f>
        <v>10</v>
      </c>
      <c r="D88" s="32">
        <f>D89+D90+D91+D92+D93</f>
        <v>0</v>
      </c>
      <c r="E88" s="38">
        <f t="shared" si="3"/>
        <v>0</v>
      </c>
      <c r="F88" s="22">
        <f>F89+F90+F91+F92+F93</f>
        <v>-10</v>
      </c>
    </row>
    <row r="89" spans="1:6" ht="18.75" customHeight="1">
      <c r="A89" s="35" t="s">
        <v>94</v>
      </c>
      <c r="B89" s="39" t="s">
        <v>95</v>
      </c>
      <c r="C89" s="37">
        <v>10</v>
      </c>
      <c r="D89" s="37">
        <v>0</v>
      </c>
      <c r="E89" s="38">
        <f t="shared" si="3"/>
        <v>0</v>
      </c>
      <c r="F89" s="38">
        <f>SUM(D89-C89)</f>
        <v>-10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116</v>
      </c>
      <c r="C98" s="246">
        <f>C56+C64+C66+C72+C77+C81+C83+C88+C94</f>
        <v>19617.700920000003</v>
      </c>
      <c r="D98" s="246">
        <f>D56+D64+D66+D72+D77+D81+D83+D88+D94</f>
        <v>1962.4236999999998</v>
      </c>
      <c r="E98" s="34">
        <f t="shared" si="3"/>
        <v>10.00333172578512</v>
      </c>
      <c r="F98" s="34">
        <f t="shared" si="4"/>
        <v>-17655.277220000004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117</v>
      </c>
      <c r="B100" s="63"/>
      <c r="C100" s="178"/>
      <c r="D100" s="178"/>
    </row>
    <row r="101" spans="1:7" s="65" customFormat="1" ht="20.25" customHeight="1">
      <c r="A101" s="66" t="s">
        <v>118</v>
      </c>
      <c r="B101" s="66"/>
      <c r="C101" s="65" t="s">
        <v>119</v>
      </c>
    </row>
    <row r="102" spans="1:7" ht="13.5" customHeight="1">
      <c r="C102" s="118"/>
    </row>
    <row r="103" spans="1:7" ht="5.25" customHeight="1"/>
    <row r="143" hidden="1"/>
  </sheetData>
  <customSheetViews>
    <customSheetView guid="{E6F84523-F47F-492E-BB0B-0D2156A983B1}" scale="70" showPageBreaks="1" hiddenRows="1" state="hidden" view="pageBreakPreview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2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4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6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7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9"/>
    </customSheetView>
    <customSheetView guid="{61528DAC-5C4C-48F4-ADE2-8A724B05A086}" scale="70" showPageBreaks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425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1816.1</v>
      </c>
      <c r="D4" s="5">
        <f>D5+D12+D14+D17+D20+D7</f>
        <v>301.18138999999996</v>
      </c>
      <c r="E4" s="5">
        <f>SUM(D4/C4*100)</f>
        <v>16.58396509002808</v>
      </c>
      <c r="F4" s="5">
        <f>SUM(D4-C4)</f>
        <v>-1514.9186099999999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33.426740000000002</v>
      </c>
      <c r="E5" s="5">
        <f t="shared" ref="E5:E51" si="0">SUM(D5/C5*100)</f>
        <v>21.023106918238994</v>
      </c>
      <c r="F5" s="5">
        <f t="shared" ref="F5:F51" si="1">SUM(D5-C5)</f>
        <v>-125.57326</v>
      </c>
    </row>
    <row r="6" spans="1:6">
      <c r="A6" s="7">
        <v>1010200001</v>
      </c>
      <c r="B6" s="8" t="s">
        <v>225</v>
      </c>
      <c r="C6" s="9">
        <v>159</v>
      </c>
      <c r="D6" s="10">
        <v>33.426740000000002</v>
      </c>
      <c r="E6" s="9">
        <f t="shared" ref="E6:E11" si="2">SUM(D6/C6*100)</f>
        <v>21.023106918238994</v>
      </c>
      <c r="F6" s="9">
        <f t="shared" si="1"/>
        <v>-125.57326</v>
      </c>
    </row>
    <row r="7" spans="1:6" ht="31.5">
      <c r="A7" s="3">
        <v>1030000000</v>
      </c>
      <c r="B7" s="13" t="s">
        <v>267</v>
      </c>
      <c r="C7" s="5">
        <f>C8+C10+C9</f>
        <v>917.1</v>
      </c>
      <c r="D7" s="5">
        <f>D8+D10+D9+D11</f>
        <v>242.32227999999998</v>
      </c>
      <c r="E7" s="5">
        <f t="shared" si="2"/>
        <v>26.422667102824114</v>
      </c>
      <c r="F7" s="5">
        <f t="shared" si="1"/>
        <v>-674.77772000000004</v>
      </c>
    </row>
    <row r="8" spans="1:6">
      <c r="A8" s="7">
        <v>1030223001</v>
      </c>
      <c r="B8" s="8" t="s">
        <v>269</v>
      </c>
      <c r="C8" s="9">
        <v>342.07900000000001</v>
      </c>
      <c r="D8" s="10">
        <v>116.37642</v>
      </c>
      <c r="E8" s="9">
        <f t="shared" si="2"/>
        <v>34.020334484139624</v>
      </c>
      <c r="F8" s="9">
        <f t="shared" si="1"/>
        <v>-225.70258000000001</v>
      </c>
    </row>
    <row r="9" spans="1:6">
      <c r="A9" s="7">
        <v>1030224001</v>
      </c>
      <c r="B9" s="8" t="s">
        <v>275</v>
      </c>
      <c r="C9" s="9">
        <v>3.6680000000000001</v>
      </c>
      <c r="D9" s="10">
        <v>0.74570999999999998</v>
      </c>
      <c r="E9" s="9">
        <f>SUM(D9/C9*100)</f>
        <v>20.330152671755723</v>
      </c>
      <c r="F9" s="9">
        <f t="shared" si="1"/>
        <v>-2.9222900000000003</v>
      </c>
    </row>
    <row r="10" spans="1:6">
      <c r="A10" s="7">
        <v>1030225001</v>
      </c>
      <c r="B10" s="8" t="s">
        <v>268</v>
      </c>
      <c r="C10" s="9">
        <v>571.35299999999995</v>
      </c>
      <c r="D10" s="10">
        <v>140.81354999999999</v>
      </c>
      <c r="E10" s="9">
        <f t="shared" si="2"/>
        <v>24.645630634651432</v>
      </c>
      <c r="F10" s="9">
        <f t="shared" si="1"/>
        <v>-430.53944999999999</v>
      </c>
    </row>
    <row r="11" spans="1:6">
      <c r="A11" s="7">
        <v>1030226001</v>
      </c>
      <c r="B11" s="8" t="s">
        <v>277</v>
      </c>
      <c r="C11" s="9">
        <v>0</v>
      </c>
      <c r="D11" s="10">
        <v>-15.6134</v>
      </c>
      <c r="E11" s="9" t="e">
        <f t="shared" si="2"/>
        <v>#DIV/0!</v>
      </c>
      <c r="F11" s="9">
        <f t="shared" si="1"/>
        <v>-15.6134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702</v>
      </c>
      <c r="D14" s="5">
        <f>D15+D16</f>
        <v>23.332369999999997</v>
      </c>
      <c r="E14" s="5">
        <f t="shared" si="0"/>
        <v>3.3236994301994298</v>
      </c>
      <c r="F14" s="5">
        <f t="shared" si="1"/>
        <v>-678.66763000000003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2.4860500000000001</v>
      </c>
      <c r="E15" s="9">
        <f t="shared" si="0"/>
        <v>1.0064979757085022</v>
      </c>
      <c r="F15" s="9">
        <f>SUM(D15-C15)</f>
        <v>-244.51394999999999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20.846319999999999</v>
      </c>
      <c r="E16" s="9">
        <f t="shared" si="0"/>
        <v>4.5816087912087911</v>
      </c>
      <c r="F16" s="9">
        <f t="shared" si="1"/>
        <v>-434.15368000000001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2.1</v>
      </c>
      <c r="E17" s="5">
        <f t="shared" si="0"/>
        <v>26.25</v>
      </c>
      <c r="F17" s="5">
        <f t="shared" si="1"/>
        <v>-5.9</v>
      </c>
    </row>
    <row r="18" spans="1:6" ht="17.25" customHeight="1">
      <c r="A18" s="7">
        <v>1080400001</v>
      </c>
      <c r="B18" s="8" t="s">
        <v>224</v>
      </c>
      <c r="C18" s="9">
        <v>8</v>
      </c>
      <c r="D18" s="10">
        <v>2.1</v>
      </c>
      <c r="E18" s="9">
        <f t="shared" si="0"/>
        <v>26.25</v>
      </c>
      <c r="F18" s="9">
        <f t="shared" si="1"/>
        <v>-5.9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480</v>
      </c>
      <c r="D25" s="5">
        <f>D26+D29+D32+D37+D35</f>
        <v>228.62576999999999</v>
      </c>
      <c r="E25" s="5">
        <f t="shared" si="0"/>
        <v>47.630368749999995</v>
      </c>
      <c r="F25" s="5">
        <f t="shared" si="1"/>
        <v>-251.37423000000001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228.22189999999998</v>
      </c>
      <c r="E26" s="5">
        <f t="shared" si="0"/>
        <v>65.20625714285714</v>
      </c>
      <c r="F26" s="5">
        <f t="shared" si="1"/>
        <v>-121.77810000000002</v>
      </c>
    </row>
    <row r="27" spans="1:6">
      <c r="A27" s="16">
        <v>1110502510</v>
      </c>
      <c r="B27" s="17" t="s">
        <v>222</v>
      </c>
      <c r="C27" s="12">
        <v>320</v>
      </c>
      <c r="D27" s="10">
        <v>220.51938999999999</v>
      </c>
      <c r="E27" s="9">
        <f t="shared" si="0"/>
        <v>68.912309374999992</v>
      </c>
      <c r="F27" s="9">
        <f t="shared" si="1"/>
        <v>-99.480610000000013</v>
      </c>
    </row>
    <row r="28" spans="1:6" ht="18" customHeight="1">
      <c r="A28" s="7">
        <v>1110503505</v>
      </c>
      <c r="B28" s="11" t="s">
        <v>221</v>
      </c>
      <c r="C28" s="12">
        <v>30</v>
      </c>
      <c r="D28" s="10">
        <v>7.7025100000000002</v>
      </c>
      <c r="E28" s="9">
        <f t="shared" si="0"/>
        <v>25.675033333333335</v>
      </c>
      <c r="F28" s="9">
        <f t="shared" si="1"/>
        <v>-22.29749</v>
      </c>
    </row>
    <row r="29" spans="1:6" s="15" customFormat="1" ht="18" customHeight="1">
      <c r="A29" s="68">
        <v>1130000000</v>
      </c>
      <c r="B29" s="69" t="s">
        <v>128</v>
      </c>
      <c r="C29" s="5">
        <f>C30+C31</f>
        <v>130</v>
      </c>
      <c r="D29" s="5">
        <f>D30+D31</f>
        <v>0.40387000000000001</v>
      </c>
      <c r="E29" s="5">
        <f t="shared" si="0"/>
        <v>0.31066923076923075</v>
      </c>
      <c r="F29" s="5">
        <f t="shared" si="1"/>
        <v>-129.59612999999999</v>
      </c>
    </row>
    <row r="30" spans="1:6" ht="15.75" customHeight="1">
      <c r="A30" s="7">
        <v>1130206510</v>
      </c>
      <c r="B30" s="8" t="s">
        <v>322</v>
      </c>
      <c r="C30" s="9">
        <v>130</v>
      </c>
      <c r="D30" s="207">
        <v>0.40387000000000001</v>
      </c>
      <c r="E30" s="9">
        <f t="shared" si="0"/>
        <v>0.31066923076923075</v>
      </c>
      <c r="F30" s="9">
        <f t="shared" si="1"/>
        <v>-129.59612999999999</v>
      </c>
    </row>
    <row r="31" spans="1:6" ht="17.25" customHeight="1">
      <c r="A31" s="7">
        <v>1130299510</v>
      </c>
      <c r="B31" s="8" t="s">
        <v>337</v>
      </c>
      <c r="C31" s="9">
        <v>0</v>
      </c>
      <c r="D31" s="207"/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130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241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17.25" customHeight="1">
      <c r="A36" s="7">
        <v>1163305010</v>
      </c>
      <c r="B36" s="8" t="s">
        <v>256</v>
      </c>
      <c r="C36" s="9"/>
      <c r="D36" s="10"/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2296.1</v>
      </c>
      <c r="D40" s="125">
        <f>D4+D25</f>
        <v>529.80715999999995</v>
      </c>
      <c r="E40" s="5">
        <f t="shared" si="0"/>
        <v>23.074219763947561</v>
      </c>
      <c r="F40" s="5">
        <f t="shared" si="1"/>
        <v>-1766.2928400000001</v>
      </c>
    </row>
    <row r="41" spans="1:7" s="6" customFormat="1">
      <c r="A41" s="3">
        <v>2000000000</v>
      </c>
      <c r="B41" s="4" t="s">
        <v>17</v>
      </c>
      <c r="C41" s="227">
        <f>C42+C43+C44+C45+C46+C48</f>
        <v>8866.2136399999981</v>
      </c>
      <c r="D41" s="227">
        <f>D42+D43+D44+D45+D46+D48+D49</f>
        <v>1146.3869999999999</v>
      </c>
      <c r="E41" s="5">
        <f t="shared" si="0"/>
        <v>12.929837318921184</v>
      </c>
      <c r="F41" s="5">
        <f t="shared" si="1"/>
        <v>-7719.8266399999984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584.67600000000004</v>
      </c>
      <c r="E42" s="9">
        <f t="shared" si="0"/>
        <v>25.000042758797626</v>
      </c>
      <c r="F42" s="9">
        <f t="shared" si="1"/>
        <v>-1754.0239999999999</v>
      </c>
    </row>
    <row r="43" spans="1:7" ht="15.75" hidden="1" customHeight="1">
      <c r="A43" s="16">
        <v>2021500200</v>
      </c>
      <c r="B43" s="17" t="s">
        <v>228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4944.6908299999996</v>
      </c>
      <c r="D44" s="10">
        <v>406.53699999999998</v>
      </c>
      <c r="E44" s="9">
        <f t="shared" si="0"/>
        <v>8.2216869360869627</v>
      </c>
      <c r="F44" s="9">
        <f t="shared" si="1"/>
        <v>-4538.1538299999993</v>
      </c>
    </row>
    <row r="45" spans="1:7" ht="18" customHeight="1">
      <c r="A45" s="16">
        <v>2023000000</v>
      </c>
      <c r="B45" s="17" t="s">
        <v>20</v>
      </c>
      <c r="C45" s="12">
        <v>94.305999999999997</v>
      </c>
      <c r="D45" s="180">
        <v>27.219000000000001</v>
      </c>
      <c r="E45" s="9">
        <f t="shared" si="0"/>
        <v>28.862426568829129</v>
      </c>
      <c r="F45" s="9">
        <f t="shared" si="1"/>
        <v>-67.086999999999989</v>
      </c>
    </row>
    <row r="46" spans="1:7" ht="19.5" customHeight="1">
      <c r="A46" s="16">
        <v>2020400000</v>
      </c>
      <c r="B46" s="17" t="s">
        <v>21</v>
      </c>
      <c r="C46" s="12">
        <v>974.61500000000001</v>
      </c>
      <c r="D46" s="181"/>
      <c r="E46" s="9">
        <f t="shared" si="0"/>
        <v>0</v>
      </c>
      <c r="F46" s="9">
        <f t="shared" si="1"/>
        <v>-974.61500000000001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.75" customHeight="1">
      <c r="A48" s="16">
        <v>2070500010</v>
      </c>
      <c r="B48" s="8" t="s">
        <v>335</v>
      </c>
      <c r="C48" s="12">
        <v>513.90180999999995</v>
      </c>
      <c r="D48" s="181">
        <v>127.955</v>
      </c>
      <c r="E48" s="9">
        <f t="shared" si="0"/>
        <v>24.898725303185838</v>
      </c>
      <c r="F48" s="9">
        <f t="shared" si="1"/>
        <v>-385.94680999999997</v>
      </c>
    </row>
    <row r="49" spans="1:8" ht="21.75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3">
        <f>C40+C41</f>
        <v>11162.313639999998</v>
      </c>
      <c r="D51" s="243">
        <f>D40+D41</f>
        <v>1676.19416</v>
      </c>
      <c r="E51" s="92">
        <f t="shared" si="0"/>
        <v>15.016547770109067</v>
      </c>
      <c r="F51" s="92">
        <f t="shared" si="1"/>
        <v>-9486.1194799999976</v>
      </c>
      <c r="G51" s="193">
        <f>7662.29943-C51</f>
        <v>-3500.0142099999985</v>
      </c>
      <c r="H51" s="193">
        <f>1130.4405-D51</f>
        <v>-545.75366000000008</v>
      </c>
    </row>
    <row r="52" spans="1:8" s="6" customFormat="1">
      <c r="A52" s="3"/>
      <c r="B52" s="21" t="s">
        <v>307</v>
      </c>
      <c r="C52" s="92">
        <f>C51-C98</f>
        <v>-530.02748000000247</v>
      </c>
      <c r="D52" s="92">
        <f>D51-D98</f>
        <v>515.99097000000006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1249.856</v>
      </c>
      <c r="D56" s="33">
        <f>D57+D58+D59+D60+D61+D63+D62</f>
        <v>217.18406999999999</v>
      </c>
      <c r="E56" s="34">
        <f>SUM(D56/C56*100)</f>
        <v>17.376727398996366</v>
      </c>
      <c r="F56" s="34">
        <f>SUM(D56-C56)</f>
        <v>-1032.67193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1235.9000000000001</v>
      </c>
      <c r="D58" s="37">
        <v>213.22807</v>
      </c>
      <c r="E58" s="38">
        <f t="shared" ref="E58:E98" si="3">SUM(D58/C58*100)</f>
        <v>17.252857836394529</v>
      </c>
      <c r="F58" s="38">
        <f t="shared" ref="F58:F98" si="4">SUM(D58-C58)</f>
        <v>-1022.6719300000001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16.46782</v>
      </c>
      <c r="E64" s="34">
        <f t="shared" si="3"/>
        <v>17.4621126969652</v>
      </c>
      <c r="F64" s="34">
        <f t="shared" si="4"/>
        <v>-77.838179999999994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16.46782</v>
      </c>
      <c r="E65" s="38">
        <f t="shared" si="3"/>
        <v>17.4621126969652</v>
      </c>
      <c r="F65" s="38">
        <f t="shared" si="4"/>
        <v>-77.838179999999994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20</v>
      </c>
      <c r="D66" s="254">
        <f>D69+D70</f>
        <v>0</v>
      </c>
      <c r="E66" s="34">
        <f t="shared" si="3"/>
        <v>0</v>
      </c>
      <c r="F66" s="34">
        <f t="shared" si="4"/>
        <v>-20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</v>
      </c>
      <c r="E70" s="34">
        <f t="shared" si="3"/>
        <v>0</v>
      </c>
      <c r="F70" s="34">
        <f t="shared" si="4"/>
        <v>-15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5342.6914800000004</v>
      </c>
      <c r="D72" s="48">
        <f>SUM(D73:D77)</f>
        <v>468.70800000000003</v>
      </c>
      <c r="E72" s="34">
        <f t="shared" si="3"/>
        <v>8.7728816412958963</v>
      </c>
      <c r="F72" s="34">
        <f t="shared" si="4"/>
        <v>-4873.9834800000008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4892.6914800000004</v>
      </c>
      <c r="D76" s="37">
        <v>461.70800000000003</v>
      </c>
      <c r="E76" s="38">
        <f t="shared" si="3"/>
        <v>9.4366873915377134</v>
      </c>
      <c r="F76" s="38">
        <f t="shared" si="4"/>
        <v>-4430.9834800000008</v>
      </c>
    </row>
    <row r="77" spans="1:7">
      <c r="A77" s="35" t="s">
        <v>63</v>
      </c>
      <c r="B77" s="39" t="s">
        <v>64</v>
      </c>
      <c r="C77" s="49">
        <v>450</v>
      </c>
      <c r="D77" s="37">
        <v>7</v>
      </c>
      <c r="E77" s="38">
        <f t="shared" si="3"/>
        <v>1.5555555555555556</v>
      </c>
      <c r="F77" s="38">
        <f t="shared" si="4"/>
        <v>-443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3807.0876400000002</v>
      </c>
      <c r="D78" s="32">
        <f>SUM(D79:D81)</f>
        <v>168.4933</v>
      </c>
      <c r="E78" s="34">
        <f t="shared" si="3"/>
        <v>4.425779386575929</v>
      </c>
      <c r="F78" s="34">
        <f t="shared" si="4"/>
        <v>-3638.5943400000001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2743.1332400000001</v>
      </c>
      <c r="D80" s="37">
        <v>59.700479999999999</v>
      </c>
      <c r="E80" s="38">
        <f t="shared" si="3"/>
        <v>2.1763609266023112</v>
      </c>
      <c r="F80" s="38">
        <f t="shared" si="4"/>
        <v>-2683.4327600000001</v>
      </c>
    </row>
    <row r="81" spans="1:6">
      <c r="A81" s="35" t="s">
        <v>71</v>
      </c>
      <c r="B81" s="39" t="s">
        <v>72</v>
      </c>
      <c r="C81" s="37">
        <v>1063.9544000000001</v>
      </c>
      <c r="D81" s="37">
        <v>108.79282000000001</v>
      </c>
      <c r="E81" s="38">
        <f t="shared" si="3"/>
        <v>10.225327326058336</v>
      </c>
      <c r="F81" s="38">
        <f t="shared" si="4"/>
        <v>-955.16158000000007</v>
      </c>
    </row>
    <row r="82" spans="1:6" s="6" customFormat="1" ht="32.25" customHeight="1">
      <c r="A82" s="30" t="s">
        <v>83</v>
      </c>
      <c r="B82" s="31" t="s">
        <v>84</v>
      </c>
      <c r="C82" s="32">
        <f>C83</f>
        <v>1176.4000000000001</v>
      </c>
      <c r="D82" s="32">
        <f>D83</f>
        <v>289.35000000000002</v>
      </c>
      <c r="E82" s="34">
        <f t="shared" si="3"/>
        <v>24.596225773546411</v>
      </c>
      <c r="F82" s="34">
        <f t="shared" si="4"/>
        <v>-887.05000000000007</v>
      </c>
    </row>
    <row r="83" spans="1:6" ht="14.25" customHeight="1">
      <c r="A83" s="35" t="s">
        <v>85</v>
      </c>
      <c r="B83" s="39" t="s">
        <v>230</v>
      </c>
      <c r="C83" s="37">
        <v>1176.4000000000001</v>
      </c>
      <c r="D83" s="37">
        <v>289.35000000000002</v>
      </c>
      <c r="E83" s="38">
        <f t="shared" si="3"/>
        <v>24.596225773546411</v>
      </c>
      <c r="F83" s="38">
        <f t="shared" si="4"/>
        <v>-887.05000000000007</v>
      </c>
    </row>
    <row r="84" spans="1:6" s="6" customFormat="1" ht="18.75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94</v>
      </c>
      <c r="B89" s="39" t="s">
        <v>95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112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92</v>
      </c>
      <c r="B96" s="31" t="s">
        <v>93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8" ht="18" customHeight="1">
      <c r="A97" s="35" t="s">
        <v>94</v>
      </c>
      <c r="B97" s="39" t="s">
        <v>95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8" s="6" customFormat="1">
      <c r="A98" s="52"/>
      <c r="B98" s="57" t="s">
        <v>116</v>
      </c>
      <c r="C98" s="246">
        <f>C56+C64+C66+C72+C78+C82+C96+C84</f>
        <v>11692.341120000001</v>
      </c>
      <c r="D98" s="246">
        <f>D56+D64+D66+D72+D78+D82+D96+D84</f>
        <v>1160.2031899999999</v>
      </c>
      <c r="E98" s="34">
        <f t="shared" si="3"/>
        <v>9.9227620721349599</v>
      </c>
      <c r="F98" s="34">
        <f t="shared" si="4"/>
        <v>-10532.137930000001</v>
      </c>
      <c r="G98" s="193">
        <f>8096.52307-C98</f>
        <v>-3595.8180500000008</v>
      </c>
      <c r="H98" s="193">
        <f>899.25122-D98</f>
        <v>-260.95196999999996</v>
      </c>
    </row>
    <row r="99" spans="1:8" ht="16.5" customHeight="1">
      <c r="C99" s="124"/>
      <c r="D99" s="100"/>
    </row>
    <row r="100" spans="1:8" s="65" customFormat="1" ht="20.25" customHeight="1">
      <c r="A100" s="63" t="s">
        <v>117</v>
      </c>
      <c r="B100" s="63"/>
      <c r="C100" s="114"/>
      <c r="D100" s="64" t="s">
        <v>261</v>
      </c>
    </row>
    <row r="101" spans="1:8" s="65" customFormat="1" ht="13.5" customHeight="1">
      <c r="A101" s="66" t="s">
        <v>118</v>
      </c>
      <c r="B101" s="66"/>
      <c r="C101" s="65" t="s">
        <v>119</v>
      </c>
    </row>
    <row r="103" spans="1:8" ht="5.25" customHeight="1"/>
    <row r="142" hidden="1"/>
  </sheetData>
  <customSheetViews>
    <customSheetView guid="{E6F84523-F47F-492E-BB0B-0D2156A983B1}" scale="70" showPageBreaks="1" printArea="1" hiddenRows="1" state="hidden" view="pageBreakPreview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6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printArea="1" hiddenRows="1" view="pageBreakPreview" topLeftCell="A31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0"/>
  <sheetViews>
    <sheetView tabSelected="1" view="pageBreakPreview" zoomScale="70" zoomScaleNormal="100" zoomScaleSheetLayoutView="70" workbookViewId="0">
      <selection activeCell="L37" sqref="L37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435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141.12430999999998</v>
      </c>
      <c r="E4" s="5">
        <f>SUM(D4/C4*100)</f>
        <v>12.382258078667753</v>
      </c>
      <c r="F4" s="5">
        <f>SUM(D4-C4)</f>
        <v>-998.6056900000001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5.9066200000000002</v>
      </c>
      <c r="E5" s="5">
        <f t="shared" ref="E5:E47" si="0">SUM(D5/C5*100)</f>
        <v>5.3212792792792794</v>
      </c>
      <c r="F5" s="5">
        <f t="shared" ref="F5:F47" si="1">SUM(D5-C5)</f>
        <v>-105.09338</v>
      </c>
    </row>
    <row r="6" spans="1:6">
      <c r="A6" s="7">
        <v>1010200001</v>
      </c>
      <c r="B6" s="8" t="s">
        <v>225</v>
      </c>
      <c r="C6" s="9">
        <v>111</v>
      </c>
      <c r="D6" s="10">
        <v>5.9066200000000002</v>
      </c>
      <c r="E6" s="9">
        <f t="shared" ref="E6:E11" si="2">SUM(D6/C6*100)</f>
        <v>5.3212792792792794</v>
      </c>
      <c r="F6" s="9">
        <f t="shared" si="1"/>
        <v>-105.09338</v>
      </c>
    </row>
    <row r="7" spans="1:6" ht="31.5">
      <c r="A7" s="3">
        <v>1030000000</v>
      </c>
      <c r="B7" s="13" t="s">
        <v>267</v>
      </c>
      <c r="C7" s="5">
        <f>C8+C10+C9</f>
        <v>428.72999999999996</v>
      </c>
      <c r="D7" s="5">
        <f>D8+D10+D9+D11</f>
        <v>113.28377999999999</v>
      </c>
      <c r="E7" s="5">
        <f t="shared" si="2"/>
        <v>26.423105450983137</v>
      </c>
      <c r="F7" s="5">
        <f t="shared" si="1"/>
        <v>-315.44621999999998</v>
      </c>
    </row>
    <row r="8" spans="1:6">
      <c r="A8" s="7">
        <v>1030223001</v>
      </c>
      <c r="B8" s="8" t="s">
        <v>269</v>
      </c>
      <c r="C8" s="9">
        <v>159.916</v>
      </c>
      <c r="D8" s="10">
        <v>54.405079999999998</v>
      </c>
      <c r="E8" s="9">
        <f t="shared" si="2"/>
        <v>34.021036043923061</v>
      </c>
      <c r="F8" s="9">
        <f t="shared" si="1"/>
        <v>-105.51092</v>
      </c>
    </row>
    <row r="9" spans="1:6">
      <c r="A9" s="7">
        <v>1030224001</v>
      </c>
      <c r="B9" s="8" t="s">
        <v>275</v>
      </c>
      <c r="C9" s="9">
        <v>1.7150000000000001</v>
      </c>
      <c r="D9" s="10">
        <v>0.34860999999999998</v>
      </c>
      <c r="E9" s="9">
        <f t="shared" si="2"/>
        <v>20.327113702623905</v>
      </c>
      <c r="F9" s="9">
        <f t="shared" si="1"/>
        <v>-1.36639</v>
      </c>
    </row>
    <row r="10" spans="1:6">
      <c r="A10" s="7">
        <v>1030225001</v>
      </c>
      <c r="B10" s="8" t="s">
        <v>268</v>
      </c>
      <c r="C10" s="9">
        <v>267.09899999999999</v>
      </c>
      <c r="D10" s="10">
        <v>65.829229999999995</v>
      </c>
      <c r="E10" s="9">
        <f t="shared" si="2"/>
        <v>24.646003916150942</v>
      </c>
      <c r="F10" s="9">
        <f t="shared" si="1"/>
        <v>-201.26976999999999</v>
      </c>
    </row>
    <row r="11" spans="1:6">
      <c r="A11" s="7">
        <v>1030226001</v>
      </c>
      <c r="B11" s="8" t="s">
        <v>277</v>
      </c>
      <c r="C11" s="9">
        <v>0</v>
      </c>
      <c r="D11" s="10">
        <v>-7.2991400000000004</v>
      </c>
      <c r="E11" s="9" t="e">
        <f t="shared" si="2"/>
        <v>#DIV/0!</v>
      </c>
      <c r="F11" s="9">
        <f t="shared" si="1"/>
        <v>-7.2991400000000004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7.4399999999999994E-2</v>
      </c>
      <c r="E12" s="5">
        <f t="shared" si="0"/>
        <v>0.74399999999999999</v>
      </c>
      <c r="F12" s="5">
        <f t="shared" si="1"/>
        <v>-9.9255999999999993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7.4399999999999994E-2</v>
      </c>
      <c r="E13" s="9">
        <f t="shared" si="0"/>
        <v>0.74399999999999999</v>
      </c>
      <c r="F13" s="9">
        <f t="shared" si="1"/>
        <v>-9.9255999999999993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585</v>
      </c>
      <c r="D14" s="5">
        <f>D15+D16</f>
        <v>21.05951</v>
      </c>
      <c r="E14" s="5">
        <f t="shared" si="0"/>
        <v>3.5999162393162392</v>
      </c>
      <c r="F14" s="5">
        <f t="shared" si="1"/>
        <v>-563.94048999999995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1.7322</v>
      </c>
      <c r="E15" s="9">
        <f t="shared" si="0"/>
        <v>0.63918819188191878</v>
      </c>
      <c r="F15" s="9">
        <f>SUM(D15-C15)</f>
        <v>-269.26780000000002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19.327310000000001</v>
      </c>
      <c r="E16" s="9">
        <f t="shared" si="0"/>
        <v>6.1551942675159239</v>
      </c>
      <c r="F16" s="9">
        <f t="shared" si="1"/>
        <v>-294.67268999999999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0.8</v>
      </c>
      <c r="E17" s="5">
        <f t="shared" si="0"/>
        <v>16</v>
      </c>
      <c r="F17" s="5">
        <f t="shared" si="1"/>
        <v>-4.2</v>
      </c>
    </row>
    <row r="18" spans="1:6" ht="18" customHeight="1">
      <c r="A18" s="7">
        <v>1080400001</v>
      </c>
      <c r="B18" s="8" t="s">
        <v>224</v>
      </c>
      <c r="C18" s="9">
        <v>5</v>
      </c>
      <c r="D18" s="10">
        <v>0.8</v>
      </c>
      <c r="E18" s="9">
        <f t="shared" si="0"/>
        <v>16</v>
      </c>
      <c r="F18" s="9">
        <f t="shared" si="1"/>
        <v>-4.2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123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C24+C27+C29+C32</f>
        <v>30</v>
      </c>
      <c r="D23" s="5">
        <f>D25+D27+D32</f>
        <v>0.2833</v>
      </c>
      <c r="E23" s="5">
        <f t="shared" si="0"/>
        <v>0.94433333333333336</v>
      </c>
      <c r="F23" s="5">
        <f t="shared" si="1"/>
        <v>-29.716699999999999</v>
      </c>
    </row>
    <row r="24" spans="1:6" s="6" customFormat="1" ht="30" customHeight="1">
      <c r="A24" s="68">
        <v>1110000000</v>
      </c>
      <c r="B24" s="69" t="s">
        <v>126</v>
      </c>
      <c r="C24" s="5">
        <f>C25+C26</f>
        <v>30</v>
      </c>
      <c r="D24" s="5">
        <f>D25</f>
        <v>8.3299999999999999E-2</v>
      </c>
      <c r="E24" s="5">
        <f t="shared" si="0"/>
        <v>0.27766666666666662</v>
      </c>
      <c r="F24" s="5">
        <f t="shared" si="1"/>
        <v>-29.916699999999999</v>
      </c>
    </row>
    <row r="25" spans="1:6" ht="17.25" customHeight="1">
      <c r="A25" s="16">
        <v>1110502510</v>
      </c>
      <c r="B25" s="17" t="s">
        <v>222</v>
      </c>
      <c r="C25" s="12">
        <v>30</v>
      </c>
      <c r="D25" s="10">
        <v>8.3299999999999999E-2</v>
      </c>
      <c r="E25" s="9">
        <f t="shared" si="0"/>
        <v>0.27766666666666662</v>
      </c>
      <c r="F25" s="9">
        <f t="shared" si="1"/>
        <v>-29.916699999999999</v>
      </c>
    </row>
    <row r="26" spans="1:6" ht="0.75" hidden="1" customHeight="1">
      <c r="A26" s="7">
        <v>1110503505</v>
      </c>
      <c r="B26" s="11" t="s">
        <v>221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29.25" hidden="1">
      <c r="A27" s="68">
        <v>1130000000</v>
      </c>
      <c r="B27" s="69" t="s">
        <v>128</v>
      </c>
      <c r="C27" s="5">
        <f>C28</f>
        <v>0</v>
      </c>
      <c r="D27" s="5">
        <f>D28</f>
        <v>0</v>
      </c>
      <c r="E27" s="5" t="e">
        <f t="shared" si="0"/>
        <v>#DIV/0!</v>
      </c>
      <c r="F27" s="5">
        <f t="shared" si="1"/>
        <v>0</v>
      </c>
    </row>
    <row r="28" spans="1:6" hidden="1">
      <c r="A28" s="7">
        <v>1130305005</v>
      </c>
      <c r="B28" s="8" t="s">
        <v>14</v>
      </c>
      <c r="C28" s="9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6.5" hidden="1" customHeight="1">
      <c r="A29" s="70">
        <v>1140000000</v>
      </c>
      <c r="B29" s="71" t="s">
        <v>129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5.75" hidden="1" customHeight="1">
      <c r="A30" s="16">
        <v>1140200000</v>
      </c>
      <c r="B30" s="18" t="s">
        <v>130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8" hidden="1" customHeight="1">
      <c r="A31" s="7">
        <v>1140600000</v>
      </c>
      <c r="B31" s="8" t="s">
        <v>219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3">
        <v>1170000000</v>
      </c>
      <c r="B32" s="13" t="s">
        <v>132</v>
      </c>
      <c r="C32" s="5">
        <f>C33+C34</f>
        <v>0</v>
      </c>
      <c r="D32" s="5">
        <f>D33+D34</f>
        <v>0.2</v>
      </c>
      <c r="E32" s="5" t="e">
        <f t="shared" si="0"/>
        <v>#DIV/0!</v>
      </c>
      <c r="F32" s="5">
        <f t="shared" si="1"/>
        <v>0.2</v>
      </c>
    </row>
    <row r="33" spans="1:8" ht="19.5" customHeight="1">
      <c r="A33" s="7">
        <v>1170105005</v>
      </c>
      <c r="B33" s="8" t="s">
        <v>15</v>
      </c>
      <c r="C33" s="9">
        <v>0</v>
      </c>
      <c r="D33" s="9">
        <v>0.2</v>
      </c>
      <c r="E33" s="9" t="e">
        <f t="shared" si="0"/>
        <v>#DIV/0!</v>
      </c>
      <c r="F33" s="9">
        <f t="shared" si="1"/>
        <v>0.2</v>
      </c>
    </row>
    <row r="34" spans="1:8" ht="19.5" customHeight="1">
      <c r="A34" s="7">
        <v>1170505005</v>
      </c>
      <c r="B34" s="11" t="s">
        <v>217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8" s="6" customFormat="1" ht="18.75" customHeight="1">
      <c r="A35" s="3">
        <v>1000000000</v>
      </c>
      <c r="B35" s="4" t="s">
        <v>16</v>
      </c>
      <c r="C35" s="125">
        <f>SUM(C4,C23)</f>
        <v>1169.73</v>
      </c>
      <c r="D35" s="125">
        <f>D4+D23</f>
        <v>141.40760999999998</v>
      </c>
      <c r="E35" s="5">
        <f t="shared" si="0"/>
        <v>12.08891026134236</v>
      </c>
      <c r="F35" s="5">
        <f t="shared" si="1"/>
        <v>-1028.32239</v>
      </c>
    </row>
    <row r="36" spans="1:8" s="6" customFormat="1">
      <c r="A36" s="3">
        <v>2000000000</v>
      </c>
      <c r="B36" s="4" t="s">
        <v>17</v>
      </c>
      <c r="C36" s="5">
        <f>C37+C39+C40+C41+C42+C43</f>
        <v>10840.68312</v>
      </c>
      <c r="D36" s="5">
        <f>D37+D39+D40+D41+D43+D42</f>
        <v>694.64300000000003</v>
      </c>
      <c r="E36" s="5">
        <f t="shared" si="0"/>
        <v>6.4077419504906628</v>
      </c>
      <c r="F36" s="5">
        <f t="shared" si="1"/>
        <v>-10146.04012</v>
      </c>
      <c r="G36" s="19"/>
    </row>
    <row r="37" spans="1:8" ht="14.25" customHeight="1">
      <c r="A37" s="16">
        <v>2021000000</v>
      </c>
      <c r="B37" s="17" t="s">
        <v>18</v>
      </c>
      <c r="C37" s="98">
        <v>2095.3000000000002</v>
      </c>
      <c r="D37" s="98">
        <v>523.82399999999996</v>
      </c>
      <c r="E37" s="9">
        <f t="shared" si="0"/>
        <v>24.999952274137353</v>
      </c>
      <c r="F37" s="9">
        <f t="shared" si="1"/>
        <v>-1571.4760000000001</v>
      </c>
    </row>
    <row r="38" spans="1:8" ht="15.75" hidden="1" customHeight="1">
      <c r="A38" s="16">
        <v>2020100310</v>
      </c>
      <c r="B38" s="17" t="s">
        <v>228</v>
      </c>
      <c r="C38" s="98"/>
      <c r="D38" s="20">
        <v>0</v>
      </c>
      <c r="E38" s="9" t="e">
        <f t="shared" si="0"/>
        <v>#DIV/0!</v>
      </c>
      <c r="F38" s="9">
        <f t="shared" si="1"/>
        <v>0</v>
      </c>
    </row>
    <row r="39" spans="1:8" ht="15.75" customHeight="1">
      <c r="A39" s="16">
        <v>2021500200</v>
      </c>
      <c r="B39" s="17" t="s">
        <v>228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>
      <c r="A40" s="16">
        <v>2022000000</v>
      </c>
      <c r="B40" s="17" t="s">
        <v>19</v>
      </c>
      <c r="C40" s="98">
        <v>5392.4809599999999</v>
      </c>
      <c r="D40" s="10">
        <v>143.6</v>
      </c>
      <c r="E40" s="9">
        <f t="shared" si="0"/>
        <v>2.6629672142597607</v>
      </c>
      <c r="F40" s="9">
        <f t="shared" si="1"/>
        <v>-5248.8809599999995</v>
      </c>
    </row>
    <row r="41" spans="1:8" ht="17.25" customHeight="1">
      <c r="A41" s="16">
        <v>2023000000</v>
      </c>
      <c r="B41" s="17" t="s">
        <v>20</v>
      </c>
      <c r="C41" s="12">
        <v>94.305000000000007</v>
      </c>
      <c r="D41" s="180">
        <v>27.219000000000001</v>
      </c>
      <c r="E41" s="9">
        <f t="shared" si="0"/>
        <v>28.862732622872596</v>
      </c>
      <c r="F41" s="9">
        <f t="shared" si="1"/>
        <v>-67.086000000000013</v>
      </c>
    </row>
    <row r="42" spans="1:8" ht="13.5" customHeight="1">
      <c r="A42" s="16">
        <v>2024000000</v>
      </c>
      <c r="B42" s="17" t="s">
        <v>21</v>
      </c>
      <c r="C42" s="12">
        <v>2492.6019999999999</v>
      </c>
      <c r="D42" s="181"/>
      <c r="E42" s="9">
        <f t="shared" si="0"/>
        <v>0</v>
      </c>
      <c r="F42" s="9">
        <f t="shared" si="1"/>
        <v>-2492.6019999999999</v>
      </c>
    </row>
    <row r="43" spans="1:8" ht="14.25" customHeight="1">
      <c r="A43" s="16">
        <v>2070500010</v>
      </c>
      <c r="B43" s="8" t="s">
        <v>335</v>
      </c>
      <c r="C43" s="12">
        <v>765.99516000000006</v>
      </c>
      <c r="D43" s="181">
        <v>0</v>
      </c>
      <c r="E43" s="9">
        <f t="shared" si="0"/>
        <v>0</v>
      </c>
      <c r="F43" s="9">
        <f t="shared" si="1"/>
        <v>-765.99516000000006</v>
      </c>
    </row>
    <row r="44" spans="1:8" ht="14.25" hidden="1" customHeight="1">
      <c r="A44" s="7">
        <v>2190500005</v>
      </c>
      <c r="B44" s="11" t="s">
        <v>23</v>
      </c>
      <c r="C44" s="14"/>
      <c r="D44" s="14"/>
      <c r="E44" s="5"/>
      <c r="F44" s="5">
        <f>SUM(D44-C44)</f>
        <v>0</v>
      </c>
    </row>
    <row r="45" spans="1:8" s="6" customFormat="1" ht="16.5" hidden="1" customHeight="1">
      <c r="A45" s="3">
        <v>3000000000</v>
      </c>
      <c r="B45" s="13" t="s">
        <v>24</v>
      </c>
      <c r="C45" s="184">
        <v>0</v>
      </c>
      <c r="D45" s="14">
        <v>0</v>
      </c>
      <c r="E45" s="5" t="e">
        <f t="shared" si="0"/>
        <v>#DIV/0!</v>
      </c>
      <c r="F45" s="5">
        <f t="shared" si="1"/>
        <v>0</v>
      </c>
    </row>
    <row r="46" spans="1:8" s="6" customFormat="1" ht="21" hidden="1" customHeight="1">
      <c r="A46" s="3">
        <v>2190500010</v>
      </c>
      <c r="B46" s="13" t="s">
        <v>312</v>
      </c>
      <c r="C46" s="184">
        <v>0</v>
      </c>
      <c r="D46" s="14">
        <v>0</v>
      </c>
      <c r="E46" s="5"/>
      <c r="F46" s="5"/>
    </row>
    <row r="47" spans="1:8" s="6" customFormat="1" ht="16.5" customHeight="1">
      <c r="A47" s="3"/>
      <c r="B47" s="4" t="s">
        <v>25</v>
      </c>
      <c r="C47" s="247">
        <f>C35+C36</f>
        <v>12010.413119999999</v>
      </c>
      <c r="D47" s="247">
        <f>D35+D36</f>
        <v>836.05061000000001</v>
      </c>
      <c r="E47" s="5">
        <f t="shared" si="0"/>
        <v>6.9610478977429224</v>
      </c>
      <c r="F47" s="5">
        <f t="shared" si="1"/>
        <v>-11174.362509999999</v>
      </c>
      <c r="G47" s="193"/>
      <c r="H47" s="242"/>
    </row>
    <row r="48" spans="1:8" s="6" customFormat="1" ht="15.75" customHeight="1">
      <c r="A48" s="3"/>
      <c r="B48" s="21" t="s">
        <v>307</v>
      </c>
      <c r="C48" s="187">
        <f>C47-C94</f>
        <v>-1.4421599999986938</v>
      </c>
      <c r="D48" s="187">
        <f>D47-D94</f>
        <v>195.24728000000005</v>
      </c>
      <c r="E48" s="22"/>
      <c r="F48" s="22"/>
    </row>
    <row r="49" spans="1:6">
      <c r="A49" s="23"/>
      <c r="B49" s="24"/>
      <c r="C49" s="113"/>
      <c r="D49" s="25"/>
      <c r="E49" s="26"/>
      <c r="F49" s="27"/>
    </row>
    <row r="50" spans="1:6" ht="32.25" customHeight="1">
      <c r="A50" s="28" t="s">
        <v>0</v>
      </c>
      <c r="B50" s="28" t="s">
        <v>26</v>
      </c>
      <c r="C50" s="72" t="s">
        <v>410</v>
      </c>
      <c r="D50" s="472" t="s">
        <v>415</v>
      </c>
      <c r="E50" s="72" t="s">
        <v>2</v>
      </c>
      <c r="F50" s="73" t="s">
        <v>3</v>
      </c>
    </row>
    <row r="51" spans="1:6">
      <c r="A51" s="29">
        <v>1</v>
      </c>
      <c r="B51" s="28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16.5" customHeight="1">
      <c r="A52" s="30" t="s">
        <v>27</v>
      </c>
      <c r="B52" s="31" t="s">
        <v>28</v>
      </c>
      <c r="C52" s="32">
        <f>C53+C54+C55+C56+C57+C59+C58</f>
        <v>1209.5520000000001</v>
      </c>
      <c r="D52" s="33">
        <f>D54+D59</f>
        <v>255.15233999999998</v>
      </c>
      <c r="E52" s="34">
        <f>SUM(D52/C52*100)</f>
        <v>21.094780546847094</v>
      </c>
      <c r="F52" s="34">
        <f>SUM(D52-C52)</f>
        <v>-954.39966000000015</v>
      </c>
    </row>
    <row r="53" spans="1:6" s="6" customFormat="1" ht="17.25" hidden="1" customHeight="1">
      <c r="A53" s="35" t="s">
        <v>29</v>
      </c>
      <c r="B53" s="36" t="s">
        <v>30</v>
      </c>
      <c r="C53" s="37"/>
      <c r="D53" s="37"/>
      <c r="E53" s="38"/>
      <c r="F53" s="38"/>
    </row>
    <row r="54" spans="1:6" ht="20.25" customHeight="1">
      <c r="A54" s="35" t="s">
        <v>31</v>
      </c>
      <c r="B54" s="39" t="s">
        <v>32</v>
      </c>
      <c r="C54" s="37">
        <v>1196.4000000000001</v>
      </c>
      <c r="D54" s="37">
        <v>252.00033999999999</v>
      </c>
      <c r="E54" s="38">
        <f>SUM(D54/C54*100)</f>
        <v>21.063217987295214</v>
      </c>
      <c r="F54" s="38">
        <f t="shared" ref="F54:F94" si="3">SUM(D54-C54)</f>
        <v>-944.39966000000004</v>
      </c>
    </row>
    <row r="55" spans="1:6" ht="0.75" hidden="1" customHeight="1">
      <c r="A55" s="35" t="s">
        <v>33</v>
      </c>
      <c r="B55" s="39" t="s">
        <v>34</v>
      </c>
      <c r="C55" s="37"/>
      <c r="D55" s="37"/>
      <c r="E55" s="38"/>
      <c r="F55" s="38">
        <f t="shared" si="3"/>
        <v>0</v>
      </c>
    </row>
    <row r="56" spans="1:6" ht="17.25" hidden="1" customHeight="1">
      <c r="A56" s="35" t="s">
        <v>35</v>
      </c>
      <c r="B56" s="39" t="s">
        <v>36</v>
      </c>
      <c r="C56" s="37"/>
      <c r="D56" s="37"/>
      <c r="E56" s="38" t="e">
        <f t="shared" ref="E56:E94" si="4">SUM(D56/C56*100)</f>
        <v>#DIV/0!</v>
      </c>
      <c r="F56" s="38">
        <f t="shared" si="3"/>
        <v>0</v>
      </c>
    </row>
    <row r="57" spans="1:6" ht="17.25" customHeight="1">
      <c r="A57" s="35" t="s">
        <v>37</v>
      </c>
      <c r="B57" s="39" t="s">
        <v>38</v>
      </c>
      <c r="C57" s="37"/>
      <c r="D57" s="37">
        <v>0</v>
      </c>
      <c r="E57" s="38" t="e">
        <f t="shared" si="4"/>
        <v>#DIV/0!</v>
      </c>
      <c r="F57" s="38">
        <f t="shared" si="3"/>
        <v>0</v>
      </c>
    </row>
    <row r="58" spans="1:6" ht="15.75" customHeight="1">
      <c r="A58" s="35" t="s">
        <v>39</v>
      </c>
      <c r="B58" s="39" t="s">
        <v>40</v>
      </c>
      <c r="C58" s="40">
        <v>10</v>
      </c>
      <c r="D58" s="40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37">
        <v>3.1520000000000001</v>
      </c>
      <c r="D59" s="37">
        <v>3.1520000000000001</v>
      </c>
      <c r="E59" s="38">
        <f t="shared" si="4"/>
        <v>100</v>
      </c>
      <c r="F59" s="38">
        <f t="shared" si="3"/>
        <v>0</v>
      </c>
    </row>
    <row r="60" spans="1:6" s="6" customFormat="1" ht="17.850000000000001" customHeight="1">
      <c r="A60" s="41" t="s">
        <v>43</v>
      </c>
      <c r="B60" s="42" t="s">
        <v>44</v>
      </c>
      <c r="C60" s="32">
        <f>C61</f>
        <v>94.305000000000007</v>
      </c>
      <c r="D60" s="32">
        <f>D61</f>
        <v>11.79406</v>
      </c>
      <c r="E60" s="34">
        <f t="shared" si="4"/>
        <v>12.506293409681351</v>
      </c>
      <c r="F60" s="34">
        <f t="shared" si="3"/>
        <v>-82.510940000000005</v>
      </c>
    </row>
    <row r="61" spans="1:6" ht="17.850000000000001" customHeight="1">
      <c r="A61" s="43" t="s">
        <v>45</v>
      </c>
      <c r="B61" s="44" t="s">
        <v>46</v>
      </c>
      <c r="C61" s="37">
        <v>94.305000000000007</v>
      </c>
      <c r="D61" s="37">
        <v>11.79406</v>
      </c>
      <c r="E61" s="38">
        <f t="shared" si="4"/>
        <v>12.506293409681351</v>
      </c>
      <c r="F61" s="38">
        <f t="shared" si="3"/>
        <v>-82.510940000000005</v>
      </c>
    </row>
    <row r="62" spans="1:6" s="6" customFormat="1" ht="17.25" customHeight="1">
      <c r="A62" s="30" t="s">
        <v>47</v>
      </c>
      <c r="B62" s="31" t="s">
        <v>48</v>
      </c>
      <c r="C62" s="32">
        <f>C65+C66+C67</f>
        <v>8</v>
      </c>
      <c r="D62" s="32">
        <f>SUM(D65+D66+D67)</f>
        <v>0</v>
      </c>
      <c r="E62" s="34">
        <f t="shared" si="4"/>
        <v>0</v>
      </c>
      <c r="F62" s="34">
        <f t="shared" si="3"/>
        <v>-8</v>
      </c>
    </row>
    <row r="63" spans="1:6" ht="17.25" hidden="1" customHeight="1">
      <c r="A63" s="35" t="s">
        <v>49</v>
      </c>
      <c r="B63" s="39" t="s">
        <v>50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t="17.25" hidden="1" customHeight="1">
      <c r="A64" s="45" t="s">
        <v>51</v>
      </c>
      <c r="B64" s="39" t="s">
        <v>52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8" customHeight="1">
      <c r="A65" s="46" t="s">
        <v>53</v>
      </c>
      <c r="B65" s="47" t="s">
        <v>54</v>
      </c>
      <c r="C65" s="37">
        <v>3</v>
      </c>
      <c r="D65" s="37">
        <v>0</v>
      </c>
      <c r="E65" s="34">
        <f t="shared" si="4"/>
        <v>0</v>
      </c>
      <c r="F65" s="34">
        <f t="shared" si="3"/>
        <v>-3</v>
      </c>
    </row>
    <row r="66" spans="1:7" ht="18" customHeight="1">
      <c r="A66" s="46" t="s">
        <v>215</v>
      </c>
      <c r="B66" s="47" t="s">
        <v>216</v>
      </c>
      <c r="C66" s="37">
        <v>3</v>
      </c>
      <c r="D66" s="37">
        <v>0</v>
      </c>
      <c r="E66" s="38">
        <f t="shared" si="4"/>
        <v>0</v>
      </c>
      <c r="F66" s="38">
        <f t="shared" si="3"/>
        <v>-3</v>
      </c>
    </row>
    <row r="67" spans="1:7" ht="18" customHeight="1">
      <c r="A67" s="46" t="s">
        <v>340</v>
      </c>
      <c r="B67" s="47" t="s">
        <v>343</v>
      </c>
      <c r="C67" s="37">
        <v>2</v>
      </c>
      <c r="D67" s="37">
        <v>0</v>
      </c>
      <c r="E67" s="38"/>
      <c r="F67" s="38"/>
    </row>
    <row r="68" spans="1:7" s="6" customFormat="1" ht="15.75" customHeight="1">
      <c r="A68" s="30" t="s">
        <v>55</v>
      </c>
      <c r="B68" s="31" t="s">
        <v>56</v>
      </c>
      <c r="C68" s="48">
        <f>SUM(C69:C72)</f>
        <v>1284.1821600000001</v>
      </c>
      <c r="D68" s="48">
        <f>D69+D70+D71+D72</f>
        <v>189.60760999999999</v>
      </c>
      <c r="E68" s="34">
        <f t="shared" si="4"/>
        <v>14.764853142018417</v>
      </c>
      <c r="F68" s="34">
        <f t="shared" si="3"/>
        <v>-1094.57455</v>
      </c>
    </row>
    <row r="69" spans="1:7" ht="16.5" customHeight="1">
      <c r="A69" s="35" t="s">
        <v>57</v>
      </c>
      <c r="B69" s="39" t="s">
        <v>58</v>
      </c>
      <c r="C69" s="49">
        <v>0</v>
      </c>
      <c r="D69" s="37">
        <v>0</v>
      </c>
      <c r="E69" s="38" t="e">
        <f t="shared" si="4"/>
        <v>#DIV/0!</v>
      </c>
      <c r="F69" s="38">
        <f t="shared" si="3"/>
        <v>0</v>
      </c>
    </row>
    <row r="70" spans="1:7" s="6" customFormat="1" ht="19.5" customHeight="1">
      <c r="A70" s="35" t="s">
        <v>59</v>
      </c>
      <c r="B70" s="39" t="s">
        <v>60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7.25" customHeight="1">
      <c r="A71" s="35" t="s">
        <v>61</v>
      </c>
      <c r="B71" s="39" t="s">
        <v>62</v>
      </c>
      <c r="C71" s="49">
        <v>1256.6821600000001</v>
      </c>
      <c r="D71" s="37">
        <v>162.10760999999999</v>
      </c>
      <c r="E71" s="38">
        <f t="shared" si="4"/>
        <v>12.899650775658339</v>
      </c>
      <c r="F71" s="38">
        <f t="shared" si="3"/>
        <v>-1094.57455</v>
      </c>
    </row>
    <row r="72" spans="1:7" ht="15.75" customHeight="1">
      <c r="A72" s="35" t="s">
        <v>63</v>
      </c>
      <c r="B72" s="39" t="s">
        <v>64</v>
      </c>
      <c r="C72" s="49">
        <v>27.5</v>
      </c>
      <c r="D72" s="37">
        <v>27.5</v>
      </c>
      <c r="E72" s="38">
        <f t="shared" si="4"/>
        <v>100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32">
        <f>SUM(C74:C76)</f>
        <v>8545.0161199999984</v>
      </c>
      <c r="D73" s="32">
        <f>D76</f>
        <v>23.98075</v>
      </c>
      <c r="E73" s="34">
        <f t="shared" si="4"/>
        <v>0.28064019614745916</v>
      </c>
      <c r="F73" s="34">
        <f t="shared" si="3"/>
        <v>-8521.0353699999978</v>
      </c>
    </row>
    <row r="74" spans="1:7" ht="15.75" hidden="1" customHeight="1">
      <c r="A74" s="35" t="s">
        <v>67</v>
      </c>
      <c r="B74" s="51" t="s">
        <v>68</v>
      </c>
      <c r="C74" s="37">
        <v>0</v>
      </c>
      <c r="D74" s="37">
        <v>0</v>
      </c>
      <c r="E74" s="38" t="e">
        <f t="shared" si="4"/>
        <v>#DIV/0!</v>
      </c>
      <c r="F74" s="38">
        <f t="shared" si="3"/>
        <v>0</v>
      </c>
    </row>
    <row r="75" spans="1:7" ht="15.75" customHeight="1">
      <c r="A75" s="35" t="s">
        <v>69</v>
      </c>
      <c r="B75" s="51" t="s">
        <v>70</v>
      </c>
      <c r="C75" s="37">
        <v>8379.4661199999991</v>
      </c>
      <c r="D75" s="37"/>
      <c r="E75" s="38">
        <f t="shared" si="4"/>
        <v>0</v>
      </c>
      <c r="F75" s="38">
        <f t="shared" si="3"/>
        <v>-8379.4661199999991</v>
      </c>
    </row>
    <row r="76" spans="1:7" ht="17.850000000000001" customHeight="1">
      <c r="A76" s="35" t="s">
        <v>71</v>
      </c>
      <c r="B76" s="39" t="s">
        <v>72</v>
      </c>
      <c r="C76" s="37">
        <v>165.55</v>
      </c>
      <c r="D76" s="37">
        <v>23.98075</v>
      </c>
      <c r="E76" s="38">
        <f t="shared" si="4"/>
        <v>14.485502869223799</v>
      </c>
      <c r="F76" s="38">
        <f t="shared" si="3"/>
        <v>-141.56925000000001</v>
      </c>
    </row>
    <row r="77" spans="1:7" s="6" customFormat="1" ht="17.850000000000001" customHeight="1">
      <c r="A77" s="30" t="s">
        <v>83</v>
      </c>
      <c r="B77" s="31" t="s">
        <v>84</v>
      </c>
      <c r="C77" s="32">
        <f>C78</f>
        <v>865.8</v>
      </c>
      <c r="D77" s="32">
        <f>D78</f>
        <v>160.26857000000001</v>
      </c>
      <c r="E77" s="34">
        <f t="shared" si="4"/>
        <v>18.511038346038347</v>
      </c>
      <c r="F77" s="34">
        <f t="shared" si="3"/>
        <v>-705.53143</v>
      </c>
    </row>
    <row r="78" spans="1:7" ht="15" customHeight="1">
      <c r="A78" s="35" t="s">
        <v>85</v>
      </c>
      <c r="B78" s="39" t="s">
        <v>230</v>
      </c>
      <c r="C78" s="37">
        <v>865.8</v>
      </c>
      <c r="D78" s="37">
        <v>160.26857000000001</v>
      </c>
      <c r="E78" s="38">
        <f t="shared" si="4"/>
        <v>18.511038346038347</v>
      </c>
      <c r="F78" s="38">
        <f t="shared" si="3"/>
        <v>-705.53143</v>
      </c>
    </row>
    <row r="79" spans="1:7" s="6" customFormat="1" ht="0.75" hidden="1" customHeight="1">
      <c r="A79" s="52">
        <v>1000</v>
      </c>
      <c r="B79" s="31" t="s">
        <v>86</v>
      </c>
      <c r="C79" s="32">
        <f>SUM(C80:C83)</f>
        <v>0</v>
      </c>
      <c r="D79" s="32">
        <f>SUM(D80:D83)</f>
        <v>0</v>
      </c>
      <c r="E79" s="34" t="e">
        <f t="shared" si="4"/>
        <v>#DIV/0!</v>
      </c>
      <c r="F79" s="34">
        <f t="shared" si="3"/>
        <v>0</v>
      </c>
    </row>
    <row r="80" spans="1:7" ht="0.75" hidden="1" customHeight="1">
      <c r="A80" s="53">
        <v>1001</v>
      </c>
      <c r="B80" s="54" t="s">
        <v>87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8" ht="17.25" hidden="1" customHeight="1">
      <c r="A81" s="53">
        <v>1003</v>
      </c>
      <c r="B81" s="54" t="s">
        <v>88</v>
      </c>
      <c r="C81" s="37">
        <v>0</v>
      </c>
      <c r="D81" s="37">
        <v>0</v>
      </c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1004</v>
      </c>
      <c r="B82" s="54" t="s">
        <v>89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35" t="s">
        <v>90</v>
      </c>
      <c r="B83" s="39" t="s">
        <v>91</v>
      </c>
      <c r="C83" s="37">
        <v>0</v>
      </c>
      <c r="D83" s="37">
        <v>0</v>
      </c>
      <c r="E83" s="38"/>
      <c r="F83" s="38">
        <f t="shared" si="3"/>
        <v>0</v>
      </c>
    </row>
    <row r="84" spans="1:8" ht="17.850000000000001" customHeight="1">
      <c r="A84" s="30" t="s">
        <v>92</v>
      </c>
      <c r="B84" s="31" t="s">
        <v>93</v>
      </c>
      <c r="C84" s="32">
        <f>C85+C86+C87+C88+C89</f>
        <v>5</v>
      </c>
      <c r="D84" s="32">
        <f>D85+D86+D87+D88+D89</f>
        <v>0</v>
      </c>
      <c r="E84" s="38">
        <f t="shared" si="4"/>
        <v>0</v>
      </c>
      <c r="F84" s="22">
        <f>F85+F86+F87+F88+F89</f>
        <v>-5</v>
      </c>
    </row>
    <row r="85" spans="1:8" ht="17.25" customHeight="1">
      <c r="A85" s="35" t="s">
        <v>94</v>
      </c>
      <c r="B85" s="39" t="s">
        <v>95</v>
      </c>
      <c r="C85" s="37">
        <v>5</v>
      </c>
      <c r="D85" s="37">
        <v>0</v>
      </c>
      <c r="E85" s="38">
        <f t="shared" si="4"/>
        <v>0</v>
      </c>
      <c r="F85" s="38">
        <f>SUM(D85-C85)</f>
        <v>-5</v>
      </c>
    </row>
    <row r="86" spans="1:8" ht="15.75" hidden="1" customHeight="1">
      <c r="A86" s="35" t="s">
        <v>96</v>
      </c>
      <c r="B86" s="39" t="s">
        <v>97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8" ht="15.75" hidden="1" customHeight="1">
      <c r="A87" s="35" t="s">
        <v>98</v>
      </c>
      <c r="B87" s="39" t="s">
        <v>99</v>
      </c>
      <c r="C87" s="37"/>
      <c r="D87" s="37"/>
      <c r="E87" s="38" t="e">
        <f t="shared" si="4"/>
        <v>#DIV/0!</v>
      </c>
      <c r="F87" s="38"/>
    </row>
    <row r="88" spans="1:8" ht="15.75" hidden="1" customHeight="1">
      <c r="A88" s="35" t="s">
        <v>100</v>
      </c>
      <c r="B88" s="39" t="s">
        <v>101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102</v>
      </c>
      <c r="B89" s="39" t="s">
        <v>103</v>
      </c>
      <c r="C89" s="37"/>
      <c r="D89" s="37"/>
      <c r="E89" s="38" t="e">
        <f t="shared" si="4"/>
        <v>#DIV/0!</v>
      </c>
      <c r="F89" s="38"/>
    </row>
    <row r="90" spans="1:8" s="6" customFormat="1" ht="15.75" hidden="1" customHeight="1">
      <c r="A90" s="52">
        <v>1400</v>
      </c>
      <c r="B90" s="56" t="s">
        <v>112</v>
      </c>
      <c r="C90" s="48">
        <f>C91+C92+C93</f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8" ht="15.75" hidden="1" customHeight="1">
      <c r="A91" s="53">
        <v>1401</v>
      </c>
      <c r="B91" s="54" t="s">
        <v>113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8" ht="18" hidden="1" customHeight="1">
      <c r="A92" s="53">
        <v>1402</v>
      </c>
      <c r="B92" s="54" t="s">
        <v>114</v>
      </c>
      <c r="C92" s="170"/>
      <c r="D92" s="171"/>
      <c r="E92" s="38" t="e">
        <f t="shared" si="4"/>
        <v>#DIV/0!</v>
      </c>
      <c r="F92" s="38">
        <f t="shared" si="3"/>
        <v>0</v>
      </c>
    </row>
    <row r="93" spans="1:8" ht="15.75" hidden="1" customHeight="1">
      <c r="A93" s="53">
        <v>1403</v>
      </c>
      <c r="B93" s="54" t="s">
        <v>115</v>
      </c>
      <c r="C93" s="49">
        <v>0</v>
      </c>
      <c r="D93" s="37">
        <v>0</v>
      </c>
      <c r="E93" s="38" t="e">
        <f t="shared" si="4"/>
        <v>#DIV/0!</v>
      </c>
      <c r="F93" s="38">
        <f t="shared" si="3"/>
        <v>0</v>
      </c>
    </row>
    <row r="94" spans="1:8" s="6" customFormat="1" ht="16.5" customHeight="1">
      <c r="A94" s="52"/>
      <c r="B94" s="57" t="s">
        <v>116</v>
      </c>
      <c r="C94" s="269">
        <f>C52+C60+C62+C68+C73+C77+C79+C84+C90</f>
        <v>12011.855279999998</v>
      </c>
      <c r="D94" s="249">
        <f>D52+D60+D62+D68+D73+D77+D84</f>
        <v>640.80332999999996</v>
      </c>
      <c r="E94" s="34">
        <f t="shared" si="4"/>
        <v>5.3347573298435549</v>
      </c>
      <c r="F94" s="34">
        <f t="shared" si="3"/>
        <v>-11371.051949999997</v>
      </c>
      <c r="G94" s="242"/>
      <c r="H94" s="242"/>
    </row>
    <row r="95" spans="1:8" ht="20.25" customHeight="1">
      <c r="C95" s="124"/>
      <c r="D95" s="100"/>
    </row>
    <row r="96" spans="1:8" s="65" customFormat="1" ht="13.5" customHeight="1">
      <c r="A96" s="63" t="s">
        <v>117</v>
      </c>
      <c r="B96" s="63"/>
      <c r="C96" s="114"/>
      <c r="D96" s="64"/>
    </row>
    <row r="97" spans="1:4" s="65" customFormat="1" ht="12.75">
      <c r="A97" s="66" t="s">
        <v>118</v>
      </c>
      <c r="B97" s="66"/>
      <c r="C97" s="132" t="s">
        <v>119</v>
      </c>
      <c r="D97" s="132"/>
    </row>
    <row r="98" spans="1:4" ht="5.25" customHeight="1">
      <c r="C98" s="118"/>
    </row>
    <row r="140" hidden="1"/>
  </sheetData>
  <customSheetViews>
    <customSheetView guid="{E6F84523-F47F-492E-BB0B-0D2156A983B1}" scale="70" showPageBreaks="1" hiddenRows="1" view="pageBreakPreview">
      <selection activeCell="L37" sqref="L3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2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4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6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7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9"/>
    </customSheetView>
    <customSheetView guid="{61528DAC-5C4C-48F4-ADE2-8A724B05A086}" scale="70" showPageBreaks="1" hiddenRows="1" view="pageBreakPreview" topLeftCell="A19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5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426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1002.556</v>
      </c>
      <c r="D4" s="5">
        <f>D5+D12+D14+D17+D20+D7</f>
        <v>234.62480000000002</v>
      </c>
      <c r="E4" s="5">
        <f>SUM(D4/C4*100)</f>
        <v>23.402662793898795</v>
      </c>
      <c r="F4" s="5">
        <f>SUM(D4-C4)</f>
        <v>-767.93119999999999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18.432780000000001</v>
      </c>
      <c r="E5" s="5">
        <f t="shared" ref="E5:E51" si="0">SUM(D5/C5*100)</f>
        <v>19.820193548387095</v>
      </c>
      <c r="F5" s="5">
        <f t="shared" ref="F5:F51" si="1">SUM(D5-C5)</f>
        <v>-74.567219999999992</v>
      </c>
    </row>
    <row r="6" spans="1:6">
      <c r="A6" s="7">
        <v>1010200001</v>
      </c>
      <c r="B6" s="8" t="s">
        <v>225</v>
      </c>
      <c r="C6" s="9">
        <v>93</v>
      </c>
      <c r="D6" s="10">
        <v>18.432780000000001</v>
      </c>
      <c r="E6" s="9">
        <f t="shared" ref="E6:E11" si="2">SUM(D6/C6*100)</f>
        <v>19.820193548387095</v>
      </c>
      <c r="F6" s="9">
        <f t="shared" si="1"/>
        <v>-74.567219999999992</v>
      </c>
    </row>
    <row r="7" spans="1:6" ht="31.5">
      <c r="A7" s="3">
        <v>1030000000</v>
      </c>
      <c r="B7" s="13" t="s">
        <v>267</v>
      </c>
      <c r="C7" s="5">
        <f>C8+C10+C9</f>
        <v>408.86</v>
      </c>
      <c r="D7" s="5">
        <f>D8+D10+D9+D11</f>
        <v>108.0322</v>
      </c>
      <c r="E7" s="9">
        <f t="shared" si="2"/>
        <v>26.422785305483536</v>
      </c>
      <c r="F7" s="9">
        <f t="shared" si="1"/>
        <v>-300.82780000000002</v>
      </c>
    </row>
    <row r="8" spans="1:6">
      <c r="A8" s="7">
        <v>1030223001</v>
      </c>
      <c r="B8" s="8" t="s">
        <v>269</v>
      </c>
      <c r="C8" s="9">
        <v>152.505</v>
      </c>
      <c r="D8" s="10">
        <v>51.882980000000003</v>
      </c>
      <c r="E8" s="9">
        <f t="shared" si="2"/>
        <v>34.020510802924498</v>
      </c>
      <c r="F8" s="9">
        <f t="shared" si="1"/>
        <v>-100.62201999999999</v>
      </c>
    </row>
    <row r="9" spans="1:6">
      <c r="A9" s="7">
        <v>1030224001</v>
      </c>
      <c r="B9" s="8" t="s">
        <v>275</v>
      </c>
      <c r="C9" s="9">
        <v>1.635</v>
      </c>
      <c r="D9" s="10">
        <v>0.33244000000000001</v>
      </c>
      <c r="E9" s="9">
        <f t="shared" si="2"/>
        <v>20.332721712538227</v>
      </c>
      <c r="F9" s="9">
        <f t="shared" si="1"/>
        <v>-1.3025599999999999</v>
      </c>
    </row>
    <row r="10" spans="1:6">
      <c r="A10" s="7">
        <v>1030225001</v>
      </c>
      <c r="B10" s="8" t="s">
        <v>268</v>
      </c>
      <c r="C10" s="9">
        <v>254.72</v>
      </c>
      <c r="D10" s="10">
        <v>62.777549999999998</v>
      </c>
      <c r="E10" s="9">
        <f t="shared" si="2"/>
        <v>24.645709013819094</v>
      </c>
      <c r="F10" s="9">
        <f t="shared" si="1"/>
        <v>-191.94245000000001</v>
      </c>
    </row>
    <row r="11" spans="1:6">
      <c r="A11" s="7">
        <v>1030226001</v>
      </c>
      <c r="B11" s="8" t="s">
        <v>277</v>
      </c>
      <c r="C11" s="9">
        <v>0</v>
      </c>
      <c r="D11" s="10">
        <v>-6.9607700000000001</v>
      </c>
      <c r="E11" s="9" t="e">
        <f t="shared" si="2"/>
        <v>#DIV/0!</v>
      </c>
      <c r="F11" s="9">
        <f t="shared" si="1"/>
        <v>-6.9607700000000001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87.744879999999995</v>
      </c>
      <c r="E12" s="5">
        <f t="shared" si="0"/>
        <v>219.3622</v>
      </c>
      <c r="F12" s="5">
        <f t="shared" si="1"/>
        <v>47.744879999999995</v>
      </c>
    </row>
    <row r="13" spans="1:6" ht="15.75" customHeight="1">
      <c r="A13" s="7">
        <v>1050300000</v>
      </c>
      <c r="B13" s="11" t="s">
        <v>226</v>
      </c>
      <c r="C13" s="12">
        <v>40</v>
      </c>
      <c r="D13" s="10">
        <v>87.744879999999995</v>
      </c>
      <c r="E13" s="9">
        <f t="shared" si="0"/>
        <v>219.3622</v>
      </c>
      <c r="F13" s="9">
        <f t="shared" si="1"/>
        <v>47.744879999999995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455.69600000000003</v>
      </c>
      <c r="D14" s="5">
        <f>D15+D16</f>
        <v>18.851289999999999</v>
      </c>
      <c r="E14" s="9">
        <f t="shared" si="0"/>
        <v>4.1368126996945334</v>
      </c>
      <c r="F14" s="9">
        <f t="shared" si="1"/>
        <v>-436.84471000000002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5.4635300000000004</v>
      </c>
      <c r="E15" s="9">
        <f>SUM(D15/C15*100)</f>
        <v>5.6911770833333337</v>
      </c>
      <c r="F15" s="9">
        <f>SUM(D15-C14)</f>
        <v>-450.23247000000003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13.38776</v>
      </c>
      <c r="E16" s="9">
        <f t="shared" si="0"/>
        <v>3.7219652150705036</v>
      </c>
      <c r="F16" s="9">
        <f t="shared" si="1"/>
        <v>-346.30824000000001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1.2</v>
      </c>
      <c r="E17" s="5">
        <f t="shared" si="0"/>
        <v>24</v>
      </c>
      <c r="F17" s="5">
        <f t="shared" si="1"/>
        <v>-3.8</v>
      </c>
    </row>
    <row r="18" spans="1:6" ht="18.75" customHeight="1">
      <c r="A18" s="7">
        <v>1080400001</v>
      </c>
      <c r="B18" s="8" t="s">
        <v>224</v>
      </c>
      <c r="C18" s="9">
        <v>5</v>
      </c>
      <c r="D18" s="10">
        <v>1.2</v>
      </c>
      <c r="E18" s="9">
        <f t="shared" si="0"/>
        <v>24</v>
      </c>
      <c r="F18" s="9">
        <f t="shared" si="1"/>
        <v>-3.8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227</v>
      </c>
      <c r="C20" s="5">
        <f>C21+C22+C23+C24</f>
        <v>0</v>
      </c>
      <c r="D20" s="5">
        <f>D22</f>
        <v>0.36364999999999997</v>
      </c>
      <c r="E20" s="5" t="e">
        <f t="shared" si="0"/>
        <v>#DIV/0!</v>
      </c>
      <c r="F20" s="5">
        <f t="shared" si="1"/>
        <v>0.36364999999999997</v>
      </c>
    </row>
    <row r="21" spans="1:6" s="15" customFormat="1" ht="18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229</v>
      </c>
      <c r="C22" s="9">
        <v>0</v>
      </c>
      <c r="D22" s="10">
        <v>0.36364999999999997</v>
      </c>
      <c r="E22" s="9" t="e">
        <f t="shared" si="0"/>
        <v>#DIV/0!</v>
      </c>
      <c r="F22" s="9">
        <f t="shared" si="1"/>
        <v>0.36364999999999997</v>
      </c>
    </row>
    <row r="23" spans="1:6" s="15" customFormat="1" ht="0.75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136.13999999999999</v>
      </c>
      <c r="D25" s="5">
        <f>D26+D29+D31+D37-D34</f>
        <v>122.15880000000001</v>
      </c>
      <c r="E25" s="5">
        <f t="shared" si="0"/>
        <v>89.730277655354797</v>
      </c>
      <c r="F25" s="5">
        <f t="shared" si="1"/>
        <v>-13.981199999999973</v>
      </c>
    </row>
    <row r="26" spans="1:6" s="6" customFormat="1" ht="15.75" customHeight="1">
      <c r="A26" s="68">
        <v>1110000000</v>
      </c>
      <c r="B26" s="69" t="s">
        <v>126</v>
      </c>
      <c r="C26" s="5">
        <f>C27+C28</f>
        <v>86.14</v>
      </c>
      <c r="D26" s="5">
        <f>D27+D28</f>
        <v>43.681800000000003</v>
      </c>
      <c r="E26" s="5">
        <f t="shared" si="0"/>
        <v>50.710239145576978</v>
      </c>
      <c r="F26" s="5">
        <f t="shared" si="1"/>
        <v>-42.458199999999998</v>
      </c>
    </row>
    <row r="27" spans="1:6" ht="15.75" customHeight="1">
      <c r="A27" s="16">
        <v>1110502510</v>
      </c>
      <c r="B27" s="17" t="s">
        <v>222</v>
      </c>
      <c r="C27" s="12">
        <v>86.14</v>
      </c>
      <c r="D27" s="10">
        <v>43.681800000000003</v>
      </c>
      <c r="E27" s="9">
        <f t="shared" si="0"/>
        <v>50.710239145576978</v>
      </c>
      <c r="F27" s="9">
        <f t="shared" si="1"/>
        <v>-42.458199999999998</v>
      </c>
    </row>
    <row r="28" spans="1:6" ht="17.25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128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7.25" customHeight="1">
      <c r="A30" s="7">
        <v>1130206005</v>
      </c>
      <c r="B30" s="8" t="s">
        <v>220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27" customHeight="1">
      <c r="A31" s="70">
        <v>1140000000</v>
      </c>
      <c r="B31" s="71" t="s">
        <v>129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3">
        <v>1160000000</v>
      </c>
      <c r="B34" s="13" t="s">
        <v>241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20.25" customHeight="1">
      <c r="A35" s="7">
        <v>1163305010</v>
      </c>
      <c r="B35" s="8" t="s">
        <v>256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20.25" customHeight="1">
      <c r="A36" s="7">
        <v>1169005010</v>
      </c>
      <c r="B36" s="8" t="s">
        <v>326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1138.6959999999999</v>
      </c>
      <c r="D40" s="125">
        <f>D4+D25</f>
        <v>356.78360000000004</v>
      </c>
      <c r="E40" s="5">
        <f t="shared" si="0"/>
        <v>31.332647168339932</v>
      </c>
      <c r="F40" s="5">
        <f t="shared" si="1"/>
        <v>-781.91239999999993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7458.8153600000005</v>
      </c>
      <c r="D41" s="250">
        <f>D42+D44+D45+D46+D47+D48+D43+D50</f>
        <v>1031.3869999999999</v>
      </c>
      <c r="E41" s="5">
        <f t="shared" si="0"/>
        <v>13.827758835955418</v>
      </c>
      <c r="F41" s="5">
        <f t="shared" si="1"/>
        <v>-6427.4283600000008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848.87400000000002</v>
      </c>
      <c r="E42" s="9">
        <f t="shared" si="0"/>
        <v>24.999970549256371</v>
      </c>
      <c r="F42" s="9">
        <f t="shared" si="1"/>
        <v>-2546.6260000000002</v>
      </c>
    </row>
    <row r="43" spans="1:7" ht="17.25" hidden="1" customHeight="1">
      <c r="A43" s="16">
        <v>2021500200</v>
      </c>
      <c r="B43" s="17" t="s">
        <v>228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3397.261</v>
      </c>
      <c r="D44" s="10">
        <v>155.29400000000001</v>
      </c>
      <c r="E44" s="9">
        <f>SUM(D44/C44*100)</f>
        <v>4.5711530553584199</v>
      </c>
      <c r="F44" s="9">
        <f t="shared" si="1"/>
        <v>-3241.9670000000001</v>
      </c>
    </row>
    <row r="45" spans="1:7" ht="17.25" customHeight="1">
      <c r="A45" s="16">
        <v>2023000000</v>
      </c>
      <c r="B45" s="17" t="s">
        <v>20</v>
      </c>
      <c r="C45" s="12">
        <v>94.305999999999997</v>
      </c>
      <c r="D45" s="180">
        <v>27.219000000000001</v>
      </c>
      <c r="E45" s="9">
        <f t="shared" si="0"/>
        <v>28.862426568829129</v>
      </c>
      <c r="F45" s="9">
        <f t="shared" si="1"/>
        <v>-67.086999999999989</v>
      </c>
    </row>
    <row r="46" spans="1:7" ht="21.75" customHeight="1">
      <c r="A46" s="16">
        <v>2024000000</v>
      </c>
      <c r="B46" s="17" t="s">
        <v>21</v>
      </c>
      <c r="C46" s="12">
        <v>408.63</v>
      </c>
      <c r="D46" s="181">
        <v>0</v>
      </c>
      <c r="E46" s="9">
        <f t="shared" si="0"/>
        <v>0</v>
      </c>
      <c r="F46" s="9">
        <f t="shared" si="1"/>
        <v>-408.63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335</v>
      </c>
      <c r="C50" s="12">
        <v>163.11836</v>
      </c>
      <c r="D50" s="10">
        <v>0</v>
      </c>
      <c r="E50" s="9">
        <f t="shared" si="0"/>
        <v>0</v>
      </c>
      <c r="F50" s="9">
        <f t="shared" si="1"/>
        <v>-163.11836</v>
      </c>
    </row>
    <row r="51" spans="1:8" s="6" customFormat="1" ht="19.5" customHeight="1">
      <c r="A51" s="3"/>
      <c r="B51" s="4" t="s">
        <v>25</v>
      </c>
      <c r="C51" s="243">
        <f>C40+C41</f>
        <v>8597.5113600000004</v>
      </c>
      <c r="D51" s="244">
        <f>D40+D41</f>
        <v>1388.1705999999999</v>
      </c>
      <c r="E51" s="92">
        <f t="shared" si="0"/>
        <v>16.146190936815465</v>
      </c>
      <c r="F51" s="92">
        <f t="shared" si="1"/>
        <v>-7209.340760000001</v>
      </c>
      <c r="G51" s="193"/>
      <c r="H51" s="193"/>
    </row>
    <row r="52" spans="1:8" s="6" customFormat="1">
      <c r="A52" s="3"/>
      <c r="B52" s="21" t="s">
        <v>307</v>
      </c>
      <c r="C52" s="92">
        <f>C51-C98</f>
        <v>-328.1888199999994</v>
      </c>
      <c r="D52" s="92">
        <f>D51-D98</f>
        <v>285.15533000000005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1539.6280000000002</v>
      </c>
      <c r="D56" s="33">
        <f>D57+D58+D59+D60+D61+D63+D62</f>
        <v>310.27668</v>
      </c>
      <c r="E56" s="34">
        <f>SUM(D56/C56*100)</f>
        <v>20.152704419509128</v>
      </c>
      <c r="F56" s="34">
        <f>SUM(D56-C56)</f>
        <v>-1229.3513200000002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1525.7</v>
      </c>
      <c r="D58" s="37">
        <v>309.27668</v>
      </c>
      <c r="E58" s="38">
        <f t="shared" ref="E58:E98" si="3">SUM(D58/C58*100)</f>
        <v>20.271133250311333</v>
      </c>
      <c r="F58" s="38">
        <f t="shared" ref="F58:F98" si="4">SUM(D58-C58)</f>
        <v>-1216.4233200000001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3.9279999999999999</v>
      </c>
      <c r="D63" s="37">
        <v>1</v>
      </c>
      <c r="E63" s="38">
        <f t="shared" si="3"/>
        <v>25.45824847250509</v>
      </c>
      <c r="F63" s="38">
        <f t="shared" si="4"/>
        <v>-2.9279999999999999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16.46782</v>
      </c>
      <c r="E64" s="34">
        <f t="shared" si="3"/>
        <v>17.4621126969652</v>
      </c>
      <c r="F64" s="34">
        <f t="shared" si="4"/>
        <v>-77.838179999999994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16.46782</v>
      </c>
      <c r="E65" s="38">
        <f t="shared" si="3"/>
        <v>17.4621126969652</v>
      </c>
      <c r="F65" s="38">
        <f t="shared" si="4"/>
        <v>-77.838179999999994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20</v>
      </c>
      <c r="D66" s="32">
        <f>SUM(D69+D70+D71)</f>
        <v>0.7</v>
      </c>
      <c r="E66" s="34">
        <f t="shared" si="3"/>
        <v>3.4999999999999996</v>
      </c>
      <c r="F66" s="34">
        <f t="shared" si="4"/>
        <v>-19.3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0.7</v>
      </c>
      <c r="E70" s="38">
        <f t="shared" si="3"/>
        <v>4.6666666666666661</v>
      </c>
      <c r="F70" s="38">
        <f t="shared" si="4"/>
        <v>-14.3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1357.1851799999999</v>
      </c>
      <c r="D72" s="48">
        <f>SUM(D73:D76)</f>
        <v>191.37633</v>
      </c>
      <c r="E72" s="34">
        <f t="shared" si="3"/>
        <v>14.100974046887249</v>
      </c>
      <c r="F72" s="34">
        <f t="shared" si="4"/>
        <v>-1165.8088499999999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1337.1851799999999</v>
      </c>
      <c r="D75" s="37">
        <v>191.37633</v>
      </c>
      <c r="E75" s="38">
        <f t="shared" si="3"/>
        <v>14.311879376347861</v>
      </c>
      <c r="F75" s="38">
        <f t="shared" si="4"/>
        <v>-1145.8088499999999</v>
      </c>
    </row>
    <row r="76" spans="1:7" ht="16.5" customHeight="1">
      <c r="A76" s="35" t="s">
        <v>63</v>
      </c>
      <c r="B76" s="39" t="s">
        <v>64</v>
      </c>
      <c r="C76" s="49">
        <v>20</v>
      </c>
      <c r="D76" s="37">
        <v>0</v>
      </c>
      <c r="E76" s="38">
        <f t="shared" si="3"/>
        <v>0</v>
      </c>
      <c r="F76" s="38">
        <f t="shared" si="4"/>
        <v>-20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4866.1810000000005</v>
      </c>
      <c r="D77" s="32">
        <f>SUM(D78:D80)</f>
        <v>320.76243999999997</v>
      </c>
      <c r="E77" s="34">
        <f t="shared" si="3"/>
        <v>6.5916668533291283</v>
      </c>
      <c r="F77" s="34">
        <f t="shared" si="4"/>
        <v>-4545.4185600000001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2995.672</v>
      </c>
      <c r="D79" s="37">
        <v>292.32105999999999</v>
      </c>
      <c r="E79" s="38">
        <f t="shared" si="3"/>
        <v>9.758113037742449</v>
      </c>
      <c r="F79" s="38">
        <f t="shared" si="4"/>
        <v>-2703.3509400000003</v>
      </c>
    </row>
    <row r="80" spans="1:7">
      <c r="A80" s="35" t="s">
        <v>71</v>
      </c>
      <c r="B80" s="39" t="s">
        <v>72</v>
      </c>
      <c r="C80" s="37">
        <v>1870.509</v>
      </c>
      <c r="D80" s="37">
        <v>28.441379999999999</v>
      </c>
      <c r="E80" s="38">
        <f t="shared" si="3"/>
        <v>1.5205155388185783</v>
      </c>
      <c r="F80" s="38">
        <f t="shared" si="4"/>
        <v>-1842.06762</v>
      </c>
    </row>
    <row r="81" spans="1:7" s="6" customFormat="1">
      <c r="A81" s="30" t="s">
        <v>83</v>
      </c>
      <c r="B81" s="31" t="s">
        <v>84</v>
      </c>
      <c r="C81" s="32">
        <f>C82</f>
        <v>1038.4000000000001</v>
      </c>
      <c r="D81" s="32">
        <f>SUM(D82)</f>
        <v>259.60199999999998</v>
      </c>
      <c r="E81" s="34">
        <f t="shared" si="3"/>
        <v>25.000192604006159</v>
      </c>
      <c r="F81" s="34">
        <f t="shared" si="4"/>
        <v>-778.79800000000012</v>
      </c>
    </row>
    <row r="82" spans="1:7" ht="17.25" customHeight="1">
      <c r="A82" s="35" t="s">
        <v>85</v>
      </c>
      <c r="B82" s="39" t="s">
        <v>230</v>
      </c>
      <c r="C82" s="37">
        <v>1038.4000000000001</v>
      </c>
      <c r="D82" s="37">
        <v>259.60199999999998</v>
      </c>
      <c r="E82" s="38">
        <f t="shared" si="3"/>
        <v>25.000192604006159</v>
      </c>
      <c r="F82" s="38">
        <f t="shared" si="4"/>
        <v>-778.79800000000012</v>
      </c>
    </row>
    <row r="83" spans="1:7" s="6" customFormat="1" ht="21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92</v>
      </c>
      <c r="B88" s="31" t="s">
        <v>93</v>
      </c>
      <c r="C88" s="32">
        <f>C89+C90+C91+C92+C93</f>
        <v>10</v>
      </c>
      <c r="D88" s="32">
        <f>D89</f>
        <v>3.83</v>
      </c>
      <c r="E88" s="38">
        <f t="shared" si="3"/>
        <v>38.299999999999997</v>
      </c>
      <c r="F88" s="22">
        <f>F89+F90+F91+F92+F93</f>
        <v>-6.17</v>
      </c>
    </row>
    <row r="89" spans="1:7" ht="19.5" customHeight="1">
      <c r="A89" s="35" t="s">
        <v>94</v>
      </c>
      <c r="B89" s="39" t="s">
        <v>95</v>
      </c>
      <c r="C89" s="37">
        <v>10</v>
      </c>
      <c r="D89" s="37">
        <v>3.83</v>
      </c>
      <c r="E89" s="38">
        <f t="shared" si="3"/>
        <v>38.299999999999997</v>
      </c>
      <c r="F89" s="38">
        <f>SUM(D89-C89)</f>
        <v>-6.17</v>
      </c>
      <c r="G89" s="240"/>
    </row>
    <row r="90" spans="1:7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98</v>
      </c>
      <c r="B91" s="39" t="s">
        <v>99</v>
      </c>
      <c r="C91" s="37"/>
      <c r="D91" s="37" t="s">
        <v>323</v>
      </c>
      <c r="E91" s="38" t="e">
        <f t="shared" si="3"/>
        <v>#VALUE!</v>
      </c>
      <c r="F91" s="38"/>
    </row>
    <row r="92" spans="1:7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115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116</v>
      </c>
      <c r="C98" s="269">
        <f>C56+C64+C66+C72+C77+C81+C83+C88+C94</f>
        <v>8925.7001799999998</v>
      </c>
      <c r="D98" s="246">
        <f>D56+D64+D66+D72+D77+D81+D83+D88+D94</f>
        <v>1103.0152699999999</v>
      </c>
      <c r="E98" s="34">
        <f t="shared" si="3"/>
        <v>12.357745025668114</v>
      </c>
      <c r="F98" s="34">
        <f t="shared" si="4"/>
        <v>-7822.6849099999999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117</v>
      </c>
      <c r="B100" s="63"/>
      <c r="C100" s="178"/>
      <c r="D100" s="178"/>
      <c r="E100" s="241"/>
    </row>
    <row r="101" spans="1:8" s="65" customFormat="1" ht="20.25" customHeight="1">
      <c r="A101" s="66" t="s">
        <v>118</v>
      </c>
      <c r="B101" s="66"/>
      <c r="C101" s="65" t="s">
        <v>119</v>
      </c>
    </row>
    <row r="102" spans="1:8" ht="13.5" customHeight="1">
      <c r="C102" s="118"/>
    </row>
    <row r="104" spans="1:8" ht="5.25" customHeight="1"/>
    <row r="142" hidden="1"/>
  </sheetData>
  <customSheetViews>
    <customSheetView guid="{E6F84523-F47F-492E-BB0B-0D2156A983B1}" scale="70" showPageBreaks="1" hiddenRows="1" state="hidden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6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2" zoomScale="70" zoomScaleNormal="100" zoomScaleSheetLayoutView="70" workbookViewId="0">
      <selection activeCell="E81" sqref="E81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7" t="s">
        <v>427</v>
      </c>
      <c r="B1" s="527"/>
      <c r="C1" s="527"/>
      <c r="D1" s="527"/>
      <c r="E1" s="527"/>
      <c r="F1" s="527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141.7193</v>
      </c>
      <c r="E4" s="5">
        <f>SUM(D4/C4*100)</f>
        <v>15.919939339474276</v>
      </c>
      <c r="F4" s="5">
        <f>SUM(D4-C4)</f>
        <v>-748.48070000000007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8.7272400000000001</v>
      </c>
      <c r="E5" s="5">
        <f t="shared" ref="E5:E51" si="0">SUM(D5/C5*100)</f>
        <v>14.545400000000001</v>
      </c>
      <c r="F5" s="5">
        <f t="shared" ref="F5:F51" si="1">SUM(D5-C5)</f>
        <v>-51.272759999999998</v>
      </c>
    </row>
    <row r="6" spans="1:6">
      <c r="A6" s="7">
        <v>1010200001</v>
      </c>
      <c r="B6" s="8" t="s">
        <v>225</v>
      </c>
      <c r="C6" s="9">
        <v>60</v>
      </c>
      <c r="D6" s="10">
        <v>8.7272400000000001</v>
      </c>
      <c r="E6" s="9">
        <f t="shared" ref="E6:E11" si="2">SUM(D6/C6*100)</f>
        <v>14.545400000000001</v>
      </c>
      <c r="F6" s="9">
        <f t="shared" si="1"/>
        <v>-51.272759999999998</v>
      </c>
    </row>
    <row r="7" spans="1:6" ht="31.5">
      <c r="A7" s="3">
        <v>1030000000</v>
      </c>
      <c r="B7" s="13" t="s">
        <v>267</v>
      </c>
      <c r="C7" s="5">
        <f>C8+C10+C9</f>
        <v>420.20000000000005</v>
      </c>
      <c r="D7" s="5">
        <f>D8+D10+D9+D11</f>
        <v>111.03312</v>
      </c>
      <c r="E7" s="5">
        <f t="shared" si="2"/>
        <v>26.423874345549734</v>
      </c>
      <c r="F7" s="5">
        <f t="shared" si="1"/>
        <v>-309.16688000000005</v>
      </c>
    </row>
    <row r="8" spans="1:6">
      <c r="A8" s="7">
        <v>1030223001</v>
      </c>
      <c r="B8" s="8" t="s">
        <v>269</v>
      </c>
      <c r="C8" s="9">
        <v>156.73500000000001</v>
      </c>
      <c r="D8" s="10">
        <v>53.324170000000002</v>
      </c>
      <c r="E8" s="9">
        <f t="shared" si="2"/>
        <v>34.02186493125339</v>
      </c>
      <c r="F8" s="9">
        <f t="shared" si="1"/>
        <v>-103.41083</v>
      </c>
    </row>
    <row r="9" spans="1:6">
      <c r="A9" s="7">
        <v>1030224001</v>
      </c>
      <c r="B9" s="8" t="s">
        <v>275</v>
      </c>
      <c r="C9" s="9">
        <v>1.68</v>
      </c>
      <c r="D9" s="10">
        <v>0.34168999999999999</v>
      </c>
      <c r="E9" s="9">
        <f t="shared" si="2"/>
        <v>20.338690476190475</v>
      </c>
      <c r="F9" s="9">
        <f t="shared" si="1"/>
        <v>-1.3383099999999999</v>
      </c>
    </row>
    <row r="10" spans="1:6">
      <c r="A10" s="7">
        <v>1030225001</v>
      </c>
      <c r="B10" s="8" t="s">
        <v>268</v>
      </c>
      <c r="C10" s="9">
        <v>261.78500000000003</v>
      </c>
      <c r="D10" s="10">
        <v>64.521379999999994</v>
      </c>
      <c r="E10" s="9">
        <f t="shared" si="2"/>
        <v>24.646706266592812</v>
      </c>
      <c r="F10" s="9">
        <f t="shared" si="1"/>
        <v>-197.26362000000003</v>
      </c>
    </row>
    <row r="11" spans="1:6">
      <c r="A11" s="7">
        <v>1030226001</v>
      </c>
      <c r="B11" s="8" t="s">
        <v>277</v>
      </c>
      <c r="C11" s="9">
        <v>0</v>
      </c>
      <c r="D11" s="10">
        <v>-7.1541199999999998</v>
      </c>
      <c r="E11" s="9" t="e">
        <f t="shared" si="2"/>
        <v>#DIV/0!</v>
      </c>
      <c r="F11" s="9">
        <f t="shared" si="1"/>
        <v>-7.1541199999999998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397</v>
      </c>
      <c r="D14" s="5">
        <f>D15+D16</f>
        <v>21.158940000000001</v>
      </c>
      <c r="E14" s="5">
        <f t="shared" si="0"/>
        <v>5.3297078085642315</v>
      </c>
      <c r="F14" s="5">
        <f t="shared" si="1"/>
        <v>-375.84105999999997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0.88360000000000005</v>
      </c>
      <c r="E15" s="9">
        <f t="shared" si="0"/>
        <v>0.98177777777777775</v>
      </c>
      <c r="F15" s="9">
        <f>SUM(D15-C15)</f>
        <v>-89.116399999999999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20.27534</v>
      </c>
      <c r="E16" s="9">
        <f t="shared" si="0"/>
        <v>6.604345276872964</v>
      </c>
      <c r="F16" s="9">
        <f t="shared" si="1"/>
        <v>-286.72465999999997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0.8</v>
      </c>
      <c r="E17" s="5">
        <f t="shared" si="0"/>
        <v>26.666666666666668</v>
      </c>
      <c r="F17" s="5">
        <f t="shared" si="1"/>
        <v>-2.2000000000000002</v>
      </c>
    </row>
    <row r="18" spans="1:6" ht="16.5" customHeight="1">
      <c r="A18" s="7">
        <v>1080400001</v>
      </c>
      <c r="B18" s="8" t="s">
        <v>224</v>
      </c>
      <c r="C18" s="9">
        <v>3</v>
      </c>
      <c r="D18" s="10">
        <v>0.8</v>
      </c>
      <c r="E18" s="9">
        <f t="shared" si="0"/>
        <v>26.666666666666668</v>
      </c>
      <c r="F18" s="9">
        <f t="shared" si="1"/>
        <v>-2.2000000000000002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1524.56</v>
      </c>
      <c r="D25" s="5">
        <f>D26+D29+D31+D37+D34</f>
        <v>1298.8951999999999</v>
      </c>
      <c r="E25" s="5">
        <f t="shared" si="0"/>
        <v>85.198037466547731</v>
      </c>
      <c r="F25" s="5">
        <f t="shared" si="1"/>
        <v>-225.66480000000001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200</v>
      </c>
      <c r="D26" s="5">
        <f>D27+D28</f>
        <v>4.3352000000000004</v>
      </c>
      <c r="E26" s="5">
        <f t="shared" si="0"/>
        <v>2.1676000000000002</v>
      </c>
      <c r="F26" s="5">
        <f t="shared" si="1"/>
        <v>-195.66480000000001</v>
      </c>
    </row>
    <row r="27" spans="1:6">
      <c r="A27" s="16">
        <v>1110502510</v>
      </c>
      <c r="B27" s="17" t="s">
        <v>222</v>
      </c>
      <c r="C27" s="12">
        <v>180</v>
      </c>
      <c r="D27" s="10">
        <v>0</v>
      </c>
      <c r="E27" s="9">
        <f t="shared" si="0"/>
        <v>0</v>
      </c>
      <c r="F27" s="9">
        <f t="shared" si="1"/>
        <v>-180</v>
      </c>
    </row>
    <row r="28" spans="1:6" ht="18.75" customHeight="1">
      <c r="A28" s="7">
        <v>1110503505</v>
      </c>
      <c r="B28" s="11" t="s">
        <v>221</v>
      </c>
      <c r="C28" s="12">
        <v>20</v>
      </c>
      <c r="D28" s="10">
        <v>4.3352000000000004</v>
      </c>
      <c r="E28" s="9">
        <f t="shared" si="0"/>
        <v>21.676000000000002</v>
      </c>
      <c r="F28" s="9">
        <f t="shared" si="1"/>
        <v>-15.6648</v>
      </c>
    </row>
    <row r="29" spans="1:6" s="15" customFormat="1" ht="37.5" customHeight="1">
      <c r="A29" s="68">
        <v>1130000000</v>
      </c>
      <c r="B29" s="69" t="s">
        <v>128</v>
      </c>
      <c r="C29" s="5">
        <f>C30</f>
        <v>30</v>
      </c>
      <c r="D29" s="5">
        <f>D30</f>
        <v>0</v>
      </c>
      <c r="E29" s="5">
        <f t="shared" si="0"/>
        <v>0</v>
      </c>
      <c r="F29" s="5">
        <f t="shared" si="1"/>
        <v>-30</v>
      </c>
    </row>
    <row r="30" spans="1:6" ht="31.5" customHeight="1">
      <c r="A30" s="7">
        <v>1130206005</v>
      </c>
      <c r="B30" s="8" t="s">
        <v>413</v>
      </c>
      <c r="C30" s="9">
        <v>30</v>
      </c>
      <c r="D30" s="10"/>
      <c r="E30" s="9">
        <f t="shared" si="0"/>
        <v>0</v>
      </c>
      <c r="F30" s="9">
        <f t="shared" si="1"/>
        <v>-30</v>
      </c>
    </row>
    <row r="31" spans="1:6" ht="19.5" customHeight="1">
      <c r="A31" s="70">
        <v>1140000000</v>
      </c>
      <c r="B31" s="71" t="s">
        <v>129</v>
      </c>
      <c r="C31" s="5">
        <f>C32+C33</f>
        <v>1294.56</v>
      </c>
      <c r="D31" s="5">
        <f>D32+D33</f>
        <v>1294.56</v>
      </c>
      <c r="E31" s="5">
        <f t="shared" si="0"/>
        <v>100</v>
      </c>
      <c r="F31" s="5">
        <f t="shared" si="1"/>
        <v>0</v>
      </c>
    </row>
    <row r="32" spans="1:6" ht="19.5" customHeight="1">
      <c r="A32" s="16">
        <v>1140200000</v>
      </c>
      <c r="B32" s="18" t="s">
        <v>218</v>
      </c>
      <c r="C32" s="9">
        <v>944.6</v>
      </c>
      <c r="D32" s="10">
        <v>944.6</v>
      </c>
      <c r="E32" s="9">
        <f t="shared" si="0"/>
        <v>100</v>
      </c>
      <c r="F32" s="9">
        <f t="shared" si="1"/>
        <v>0</v>
      </c>
    </row>
    <row r="33" spans="1:7" ht="17.25" customHeight="1">
      <c r="A33" s="7">
        <v>1140600000</v>
      </c>
      <c r="B33" s="8" t="s">
        <v>219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241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327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0.25" customHeight="1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hidden="1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16</v>
      </c>
      <c r="C40" s="125">
        <f>SUM(C4,C25)</f>
        <v>2414.7600000000002</v>
      </c>
      <c r="D40" s="125">
        <f>D4+D25</f>
        <v>1440.6144999999999</v>
      </c>
      <c r="E40" s="5">
        <f t="shared" si="0"/>
        <v>59.65870314234126</v>
      </c>
      <c r="F40" s="5">
        <f t="shared" si="1"/>
        <v>-974.14550000000031</v>
      </c>
    </row>
    <row r="41" spans="1:7" s="6" customFormat="1">
      <c r="A41" s="3">
        <v>2000000000</v>
      </c>
      <c r="B41" s="4" t="s">
        <v>17</v>
      </c>
      <c r="C41" s="5">
        <f>C42+C43+C44+C45+C46+C47+C50</f>
        <v>5369.0755600000002</v>
      </c>
      <c r="D41" s="5">
        <f>D42+D43+D44+D45+D46+D47+D50</f>
        <v>653.58900000000006</v>
      </c>
      <c r="E41" s="5">
        <f t="shared" si="0"/>
        <v>12.173212924572811</v>
      </c>
      <c r="F41" s="5">
        <f t="shared" si="1"/>
        <v>-4715.4865600000003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474.45</v>
      </c>
      <c r="E42" s="9">
        <f t="shared" si="0"/>
        <v>25</v>
      </c>
      <c r="F42" s="9">
        <f t="shared" si="1"/>
        <v>-1423.35</v>
      </c>
    </row>
    <row r="43" spans="1:7" ht="15.75" customHeight="1">
      <c r="A43" s="16">
        <v>2021500200</v>
      </c>
      <c r="B43" s="17" t="s">
        <v>228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2679.3413599999999</v>
      </c>
      <c r="D44" s="10">
        <v>151.91999999999999</v>
      </c>
      <c r="E44" s="9">
        <f t="shared" si="0"/>
        <v>5.6700501947239745</v>
      </c>
      <c r="F44" s="9">
        <f t="shared" si="1"/>
        <v>-2527.4213599999998</v>
      </c>
    </row>
    <row r="45" spans="1:7" ht="15.75" customHeight="1">
      <c r="A45" s="16">
        <v>2023000000</v>
      </c>
      <c r="B45" s="17" t="s">
        <v>20</v>
      </c>
      <c r="C45" s="12">
        <v>101.45229999999999</v>
      </c>
      <c r="D45" s="180">
        <v>27.219000000000001</v>
      </c>
      <c r="E45" s="9">
        <f t="shared" si="0"/>
        <v>26.82935724473472</v>
      </c>
      <c r="F45" s="9">
        <f t="shared" si="1"/>
        <v>-74.233299999999986</v>
      </c>
    </row>
    <row r="46" spans="1:7" ht="15" customHeight="1">
      <c r="A46" s="16">
        <v>2024000000</v>
      </c>
      <c r="B46" s="17" t="s">
        <v>21</v>
      </c>
      <c r="C46" s="12">
        <v>353.97500000000002</v>
      </c>
      <c r="D46" s="181"/>
      <c r="E46" s="9">
        <f t="shared" si="0"/>
        <v>0</v>
      </c>
      <c r="F46" s="9">
        <f t="shared" si="1"/>
        <v>-353.97500000000002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1.5" hidden="1" customHeight="1">
      <c r="A48" s="16">
        <v>2080500010</v>
      </c>
      <c r="B48" s="18" t="s">
        <v>245</v>
      </c>
      <c r="C48" s="12"/>
      <c r="D48" s="181"/>
      <c r="E48" s="9"/>
      <c r="F48" s="9"/>
    </row>
    <row r="49" spans="1:8" s="6" customFormat="1" ht="21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335</v>
      </c>
      <c r="C50" s="12">
        <v>336.50689999999997</v>
      </c>
      <c r="D50" s="10"/>
      <c r="E50" s="9">
        <f t="shared" si="0"/>
        <v>0</v>
      </c>
      <c r="F50" s="9">
        <f t="shared" si="1"/>
        <v>-336.50689999999997</v>
      </c>
    </row>
    <row r="51" spans="1:8" s="6" customFormat="1" ht="17.25" customHeight="1">
      <c r="A51" s="7"/>
      <c r="B51" s="4" t="s">
        <v>25</v>
      </c>
      <c r="C51" s="247">
        <f>C40+C41</f>
        <v>7783.8355600000004</v>
      </c>
      <c r="D51" s="248">
        <f>D40+D41</f>
        <v>2094.2035000000001</v>
      </c>
      <c r="E51" s="92">
        <f t="shared" si="0"/>
        <v>26.904518779428066</v>
      </c>
      <c r="F51" s="92">
        <f t="shared" si="1"/>
        <v>-5689.6320599999999</v>
      </c>
      <c r="G51" s="93"/>
      <c r="H51" s="242"/>
    </row>
    <row r="52" spans="1:8" s="6" customFormat="1" ht="16.5" customHeight="1">
      <c r="A52" s="7"/>
      <c r="B52" s="21" t="s">
        <v>308</v>
      </c>
      <c r="C52" s="247">
        <f>C51-C98</f>
        <v>-327.20115999999962</v>
      </c>
      <c r="D52" s="247">
        <f>D51-D98</f>
        <v>1263.9024600000002</v>
      </c>
      <c r="E52" s="188"/>
      <c r="F52" s="188"/>
    </row>
    <row r="53" spans="1:8">
      <c r="A53" s="3"/>
      <c r="B53" s="24"/>
      <c r="C53" s="211"/>
      <c r="D53" s="211"/>
      <c r="E53" s="26"/>
      <c r="F53" s="27"/>
    </row>
    <row r="54" spans="1:8" ht="32.25" customHeight="1">
      <c r="A54" s="23"/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458">
        <f>C57+C58+C59+C60+C61+C63+C62</f>
        <v>1407.076</v>
      </c>
      <c r="D56" s="33">
        <f>D57+D58+D59+D60+D61+D63+D62</f>
        <v>306.93821000000003</v>
      </c>
      <c r="E56" s="34">
        <f>SUM(D56/C56*100)</f>
        <v>21.813904153009506</v>
      </c>
      <c r="F56" s="34">
        <f>SUM(D56-C56)</f>
        <v>-1100.13779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1379.1</v>
      </c>
      <c r="D58" s="189">
        <v>283.96221000000003</v>
      </c>
      <c r="E58" s="38">
        <f t="shared" ref="E58:E98" si="3">SUM(D58/C58*100)</f>
        <v>20.590400261039811</v>
      </c>
      <c r="F58" s="38">
        <f t="shared" ref="F58:F98" si="4">SUM(D58-C58)</f>
        <v>-1095.1377899999998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94.305999999999997</v>
      </c>
      <c r="D64" s="33">
        <f>D65</f>
        <v>16.469000000000001</v>
      </c>
      <c r="E64" s="34">
        <f t="shared" si="3"/>
        <v>17.463363942909254</v>
      </c>
      <c r="F64" s="34">
        <f t="shared" si="4"/>
        <v>-77.836999999999989</v>
      </c>
    </row>
    <row r="65" spans="1:9">
      <c r="A65" s="433" t="s">
        <v>45</v>
      </c>
      <c r="B65" s="44" t="s">
        <v>46</v>
      </c>
      <c r="C65" s="189">
        <v>94.305999999999997</v>
      </c>
      <c r="D65" s="189">
        <v>16.469000000000001</v>
      </c>
      <c r="E65" s="38">
        <f t="shared" si="3"/>
        <v>17.463363942909254</v>
      </c>
      <c r="F65" s="38">
        <f t="shared" si="4"/>
        <v>-77.836999999999989</v>
      </c>
    </row>
    <row r="66" spans="1:9" s="6" customFormat="1" ht="18" customHeight="1">
      <c r="A66" s="43" t="s">
        <v>47</v>
      </c>
      <c r="B66" s="31" t="s">
        <v>48</v>
      </c>
      <c r="C66" s="33">
        <f>C69+C70+C71</f>
        <v>18.5</v>
      </c>
      <c r="D66" s="33">
        <f>D69+D70+D71</f>
        <v>0</v>
      </c>
      <c r="E66" s="34">
        <f t="shared" si="3"/>
        <v>0</v>
      </c>
      <c r="F66" s="34">
        <f t="shared" si="4"/>
        <v>-18.5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0</v>
      </c>
      <c r="E69" s="34">
        <f t="shared" si="3"/>
        <v>0</v>
      </c>
      <c r="F69" s="34">
        <f t="shared" si="4"/>
        <v>-3</v>
      </c>
    </row>
    <row r="70" spans="1:9">
      <c r="A70" s="46" t="s">
        <v>215</v>
      </c>
      <c r="B70" s="47" t="s">
        <v>216</v>
      </c>
      <c r="C70" s="189">
        <v>13.5</v>
      </c>
      <c r="D70" s="189">
        <v>0</v>
      </c>
      <c r="E70" s="34">
        <f t="shared" si="3"/>
        <v>0</v>
      </c>
      <c r="F70" s="34">
        <f t="shared" si="4"/>
        <v>-13.5</v>
      </c>
    </row>
    <row r="71" spans="1:9">
      <c r="A71" s="46" t="s">
        <v>340</v>
      </c>
      <c r="B71" s="47" t="s">
        <v>395</v>
      </c>
      <c r="C71" s="189">
        <v>2</v>
      </c>
      <c r="D71" s="189">
        <v>0</v>
      </c>
      <c r="E71" s="34">
        <f>SUM(D71/C71*100)</f>
        <v>0</v>
      </c>
      <c r="F71" s="34">
        <f>SUM(D71-C71)</f>
        <v>-2</v>
      </c>
    </row>
    <row r="72" spans="1:9" s="6" customFormat="1" ht="17.25" customHeight="1">
      <c r="A72" s="434" t="s">
        <v>55</v>
      </c>
      <c r="B72" s="31" t="s">
        <v>56</v>
      </c>
      <c r="C72" s="33">
        <f>SUM(C73:C76)</f>
        <v>2865.0158200000001</v>
      </c>
      <c r="D72" s="33">
        <f>SUM(D73:D76)</f>
        <v>209.80812</v>
      </c>
      <c r="E72" s="34">
        <f t="shared" si="3"/>
        <v>7.3231051129064975</v>
      </c>
      <c r="F72" s="34">
        <f t="shared" si="4"/>
        <v>-2655.2076999999999</v>
      </c>
      <c r="I72" s="106"/>
    </row>
    <row r="73" spans="1:9" ht="15.75" customHeight="1">
      <c r="A73" s="35" t="s">
        <v>57</v>
      </c>
      <c r="B73" s="39" t="s">
        <v>58</v>
      </c>
      <c r="C73" s="189">
        <v>7.1463000000000001</v>
      </c>
      <c r="D73" s="189">
        <v>0</v>
      </c>
      <c r="E73" s="38">
        <f t="shared" si="3"/>
        <v>0</v>
      </c>
      <c r="F73" s="38">
        <f t="shared" si="4"/>
        <v>-7.1463000000000001</v>
      </c>
    </row>
    <row r="74" spans="1:9" s="6" customFormat="1" ht="19.5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198.80812</v>
      </c>
      <c r="E75" s="38">
        <f t="shared" si="3"/>
        <v>7.0315577286127073</v>
      </c>
      <c r="F75" s="38">
        <f t="shared" si="4"/>
        <v>-2628.5614</v>
      </c>
    </row>
    <row r="76" spans="1:9">
      <c r="A76" s="35" t="s">
        <v>63</v>
      </c>
      <c r="B76" s="39" t="s">
        <v>64</v>
      </c>
      <c r="C76" s="189">
        <v>30.5</v>
      </c>
      <c r="D76" s="189">
        <v>11</v>
      </c>
      <c r="E76" s="38">
        <f t="shared" si="3"/>
        <v>36.065573770491802</v>
      </c>
      <c r="F76" s="38">
        <f t="shared" si="4"/>
        <v>-19.5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2768.6388999999999</v>
      </c>
      <c r="D77" s="33">
        <f>SUM(D78:D80)</f>
        <v>62.909709999999997</v>
      </c>
      <c r="E77" s="34">
        <f t="shared" si="3"/>
        <v>2.272225171726078</v>
      </c>
      <c r="F77" s="34">
        <f t="shared" si="4"/>
        <v>-2705.72919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15" customHeight="1">
      <c r="A79" s="35" t="s">
        <v>69</v>
      </c>
      <c r="B79" s="51" t="s">
        <v>70</v>
      </c>
      <c r="C79" s="189">
        <v>609.97299999999996</v>
      </c>
      <c r="D79" s="189">
        <v>20</v>
      </c>
      <c r="E79" s="38">
        <f t="shared" si="3"/>
        <v>3.2788336532928506</v>
      </c>
      <c r="F79" s="38">
        <f t="shared" si="4"/>
        <v>-589.97299999999996</v>
      </c>
    </row>
    <row r="80" spans="1:9">
      <c r="A80" s="35" t="s">
        <v>71</v>
      </c>
      <c r="B80" s="39" t="s">
        <v>72</v>
      </c>
      <c r="C80" s="189">
        <v>2158.6659</v>
      </c>
      <c r="D80" s="189">
        <v>42.909709999999997</v>
      </c>
      <c r="E80" s="38">
        <f t="shared" si="3"/>
        <v>1.9877883835567143</v>
      </c>
      <c r="F80" s="38">
        <f t="shared" si="4"/>
        <v>-2115.7561900000001</v>
      </c>
    </row>
    <row r="81" spans="1:12" s="6" customFormat="1">
      <c r="A81" s="30" t="s">
        <v>83</v>
      </c>
      <c r="B81" s="31" t="s">
        <v>84</v>
      </c>
      <c r="C81" s="33">
        <f>C82</f>
        <v>905.5</v>
      </c>
      <c r="D81" s="33">
        <f>SUM(D82)</f>
        <v>211.626</v>
      </c>
      <c r="E81" s="34">
        <f t="shared" si="3"/>
        <v>23.371176145775816</v>
      </c>
      <c r="F81" s="34">
        <f t="shared" si="4"/>
        <v>-693.87400000000002</v>
      </c>
    </row>
    <row r="82" spans="1:12" ht="15.75" customHeight="1">
      <c r="A82" s="35" t="s">
        <v>85</v>
      </c>
      <c r="B82" s="39" t="s">
        <v>230</v>
      </c>
      <c r="C82" s="189">
        <v>905.5</v>
      </c>
      <c r="D82" s="189">
        <v>211.626</v>
      </c>
      <c r="E82" s="38">
        <f t="shared" si="3"/>
        <v>23.371176145775816</v>
      </c>
      <c r="F82" s="38">
        <f t="shared" si="4"/>
        <v>-693.87400000000002</v>
      </c>
      <c r="L82" s="105"/>
    </row>
    <row r="83" spans="1:12" s="6" customFormat="1">
      <c r="A83" s="35" t="s">
        <v>208</v>
      </c>
      <c r="B83" s="31" t="s">
        <v>86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87</v>
      </c>
      <c r="C84" s="189"/>
      <c r="D84" s="189"/>
      <c r="E84" s="237" t="e">
        <f>SUM(D84/C84*100)</f>
        <v>#DIV/0!</v>
      </c>
      <c r="F84" s="237">
        <f>SUM(D84-C84)</f>
        <v>0</v>
      </c>
    </row>
    <row r="85" spans="1:12" hidden="1">
      <c r="A85" s="53">
        <v>1001</v>
      </c>
      <c r="B85" s="54" t="s">
        <v>88</v>
      </c>
      <c r="C85" s="189"/>
      <c r="D85" s="189"/>
      <c r="E85" s="237" t="e">
        <f>SUM(D85/C85*100)</f>
        <v>#DIV/0!</v>
      </c>
      <c r="F85" s="237">
        <f>SUM(D85-C85)</f>
        <v>0</v>
      </c>
    </row>
    <row r="86" spans="1:12" hidden="1">
      <c r="A86" s="53">
        <v>1003</v>
      </c>
      <c r="B86" s="54" t="s">
        <v>89</v>
      </c>
      <c r="C86" s="189"/>
      <c r="D86" s="192"/>
      <c r="E86" s="237" t="e">
        <f>SUM(D86/C86*100)</f>
        <v>#DIV/0!</v>
      </c>
      <c r="F86" s="237">
        <f>SUM(D86-C86)</f>
        <v>0</v>
      </c>
    </row>
    <row r="87" spans="1:12" ht="15" customHeight="1">
      <c r="A87" s="53">
        <v>1004</v>
      </c>
      <c r="B87" s="39" t="s">
        <v>91</v>
      </c>
      <c r="C87" s="189">
        <v>0</v>
      </c>
      <c r="D87" s="189">
        <v>0</v>
      </c>
      <c r="E87" s="237" t="e">
        <f>SUM(D87/C87*100)</f>
        <v>#DIV/0!</v>
      </c>
      <c r="F87" s="237">
        <f>SUM(D87-C87)</f>
        <v>0</v>
      </c>
    </row>
    <row r="88" spans="1:12" ht="19.5" customHeight="1">
      <c r="A88" s="30" t="s">
        <v>92</v>
      </c>
      <c r="B88" s="31" t="s">
        <v>93</v>
      </c>
      <c r="C88" s="33">
        <f>C89+C90+C91+C92+C93</f>
        <v>52</v>
      </c>
      <c r="D88" s="33">
        <f>D89+D90+D91+D92+D93</f>
        <v>22.55</v>
      </c>
      <c r="E88" s="38">
        <f t="shared" si="3"/>
        <v>43.365384615384613</v>
      </c>
      <c r="F88" s="22">
        <f>F89+F90+F91+F92+F93</f>
        <v>-29.45</v>
      </c>
    </row>
    <row r="89" spans="1:12" ht="15.75" customHeight="1">
      <c r="A89" s="35" t="s">
        <v>94</v>
      </c>
      <c r="B89" s="39" t="s">
        <v>95</v>
      </c>
      <c r="C89" s="189">
        <v>52</v>
      </c>
      <c r="D89" s="189">
        <v>22.55</v>
      </c>
      <c r="E89" s="38">
        <f t="shared" si="3"/>
        <v>43.365384615384613</v>
      </c>
      <c r="F89" s="38">
        <f>SUM(D89-C89)</f>
        <v>-29.45</v>
      </c>
    </row>
    <row r="90" spans="1:12" ht="0.75" hidden="1" customHeight="1">
      <c r="A90" s="35" t="s">
        <v>94</v>
      </c>
      <c r="B90" s="39" t="s">
        <v>97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96</v>
      </c>
      <c r="B91" s="39" t="s">
        <v>99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98</v>
      </c>
      <c r="B92" s="39" t="s">
        <v>101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100</v>
      </c>
      <c r="B93" s="39" t="s">
        <v>103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102</v>
      </c>
      <c r="B94" s="56" t="s">
        <v>112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113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114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115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116</v>
      </c>
      <c r="C98" s="249">
        <f>C56+C64+C66+C72+C77+C81+C88+C83</f>
        <v>8111.0367200000001</v>
      </c>
      <c r="D98" s="249">
        <f>D56+D64+D66+D72+D77+D81+D88+D83</f>
        <v>830.30103999999994</v>
      </c>
      <c r="E98" s="34">
        <f t="shared" si="3"/>
        <v>10.236682050183099</v>
      </c>
      <c r="F98" s="34">
        <f t="shared" si="4"/>
        <v>-7280.7356799999998</v>
      </c>
      <c r="G98" s="146"/>
      <c r="H98" s="263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117</v>
      </c>
      <c r="B101" s="66"/>
      <c r="C101" s="132" t="s">
        <v>119</v>
      </c>
      <c r="D101" s="132"/>
    </row>
    <row r="102" spans="1:8">
      <c r="A102" s="66" t="s">
        <v>118</v>
      </c>
      <c r="C102" s="118"/>
    </row>
    <row r="104" spans="1:8" ht="5.25" customHeight="1"/>
    <row r="142" hidden="1"/>
  </sheetData>
  <customSheetViews>
    <customSheetView guid="{E6F84523-F47F-492E-BB0B-0D2156A983B1}" scale="70" showPageBreaks="1" hiddenRows="1" state="hidden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8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31" zoomScale="70" zoomScaleNormal="100" zoomScaleSheetLayoutView="70" workbookViewId="0">
      <selection activeCell="C79" sqref="C79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6" t="s">
        <v>428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43.5" customHeight="1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2252.75</v>
      </c>
      <c r="D4" s="5">
        <f>D5+D12+D14+D17+D7</f>
        <v>375.95425</v>
      </c>
      <c r="E4" s="5">
        <f>SUM(D4/C4*100)</f>
        <v>16.688680501609142</v>
      </c>
      <c r="F4" s="5">
        <f>SUM(D4-C4)</f>
        <v>-1876.79575</v>
      </c>
    </row>
    <row r="5" spans="1:6" s="6" customFormat="1">
      <c r="A5" s="68">
        <v>1010000000</v>
      </c>
      <c r="B5" s="67" t="s">
        <v>5</v>
      </c>
      <c r="C5" s="5">
        <f>C6</f>
        <v>126</v>
      </c>
      <c r="D5" s="5">
        <f>D6</f>
        <v>29.056470000000001</v>
      </c>
      <c r="E5" s="5">
        <f t="shared" ref="E5:E50" si="0">SUM(D5/C5*100)</f>
        <v>23.060690476190477</v>
      </c>
      <c r="F5" s="5">
        <f t="shared" ref="F5:F50" si="1">SUM(D5-C5)</f>
        <v>-96.943529999999996</v>
      </c>
    </row>
    <row r="6" spans="1:6">
      <c r="A6" s="7">
        <v>1010200001</v>
      </c>
      <c r="B6" s="8" t="s">
        <v>225</v>
      </c>
      <c r="C6" s="9">
        <v>126</v>
      </c>
      <c r="D6" s="10">
        <v>29.056470000000001</v>
      </c>
      <c r="E6" s="9">
        <f t="shared" ref="E6:E11" si="2">SUM(D6/C6*100)</f>
        <v>23.060690476190477</v>
      </c>
      <c r="F6" s="9">
        <f t="shared" si="1"/>
        <v>-96.943529999999996</v>
      </c>
    </row>
    <row r="7" spans="1:6" ht="31.5">
      <c r="A7" s="3">
        <v>1030000000</v>
      </c>
      <c r="B7" s="13" t="s">
        <v>267</v>
      </c>
      <c r="C7" s="5">
        <f>C8+C10+C9</f>
        <v>675.75</v>
      </c>
      <c r="D7" s="5">
        <f>D8+D10+D9+D11</f>
        <v>178.55350000000001</v>
      </c>
      <c r="E7" s="5">
        <f t="shared" si="2"/>
        <v>26.423011468738437</v>
      </c>
      <c r="F7" s="5">
        <f t="shared" si="1"/>
        <v>-497.19650000000001</v>
      </c>
    </row>
    <row r="8" spans="1:6">
      <c r="A8" s="7">
        <v>1030223001</v>
      </c>
      <c r="B8" s="8" t="s">
        <v>269</v>
      </c>
      <c r="C8" s="9">
        <v>252.05500000000001</v>
      </c>
      <c r="D8" s="10">
        <v>85.751050000000006</v>
      </c>
      <c r="E8" s="9">
        <f t="shared" si="2"/>
        <v>34.020769276546787</v>
      </c>
      <c r="F8" s="9">
        <f t="shared" si="1"/>
        <v>-166.30394999999999</v>
      </c>
    </row>
    <row r="9" spans="1:6">
      <c r="A9" s="7">
        <v>1030224001</v>
      </c>
      <c r="B9" s="8" t="s">
        <v>275</v>
      </c>
      <c r="C9" s="9">
        <v>2.7029999999999998</v>
      </c>
      <c r="D9" s="10">
        <v>0.54947000000000001</v>
      </c>
      <c r="E9" s="9">
        <f t="shared" si="2"/>
        <v>20.328153903070664</v>
      </c>
      <c r="F9" s="9">
        <f t="shared" si="1"/>
        <v>-2.1535299999999999</v>
      </c>
    </row>
    <row r="10" spans="1:6">
      <c r="A10" s="7">
        <v>1030225001</v>
      </c>
      <c r="B10" s="8" t="s">
        <v>268</v>
      </c>
      <c r="C10" s="9">
        <v>420.99200000000002</v>
      </c>
      <c r="D10" s="10">
        <v>103.75735</v>
      </c>
      <c r="E10" s="9">
        <f t="shared" si="2"/>
        <v>24.645919637427788</v>
      </c>
      <c r="F10" s="9">
        <f t="shared" si="1"/>
        <v>-317.23464999999999</v>
      </c>
    </row>
    <row r="11" spans="1:6">
      <c r="A11" s="7">
        <v>1030226001</v>
      </c>
      <c r="B11" s="8" t="s">
        <v>277</v>
      </c>
      <c r="C11" s="9">
        <v>0</v>
      </c>
      <c r="D11" s="10">
        <v>-11.50437</v>
      </c>
      <c r="E11" s="9" t="e">
        <f t="shared" si="2"/>
        <v>#DIV/0!</v>
      </c>
      <c r="F11" s="9">
        <f t="shared" si="1"/>
        <v>-11.50437</v>
      </c>
    </row>
    <row r="12" spans="1:6" s="6" customFormat="1">
      <c r="A12" s="68">
        <v>1050000000</v>
      </c>
      <c r="B12" s="67" t="s">
        <v>6</v>
      </c>
      <c r="C12" s="5">
        <f>SUM(C13:C13)</f>
        <v>50</v>
      </c>
      <c r="D12" s="5">
        <f>SUM(D13:D13)</f>
        <v>36.882599999999996</v>
      </c>
      <c r="E12" s="5">
        <f t="shared" si="0"/>
        <v>73.765199999999993</v>
      </c>
      <c r="F12" s="5">
        <f t="shared" si="1"/>
        <v>-13.117400000000004</v>
      </c>
    </row>
    <row r="13" spans="1:6" ht="15.75" customHeight="1">
      <c r="A13" s="7">
        <v>1050300000</v>
      </c>
      <c r="B13" s="11" t="s">
        <v>226</v>
      </c>
      <c r="C13" s="12">
        <v>50</v>
      </c>
      <c r="D13" s="10">
        <v>36.882599999999996</v>
      </c>
      <c r="E13" s="9">
        <f t="shared" si="0"/>
        <v>73.765199999999993</v>
      </c>
      <c r="F13" s="9">
        <f t="shared" si="1"/>
        <v>-13.117400000000004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1393</v>
      </c>
      <c r="D14" s="5">
        <f>D15+D16</f>
        <v>131.06168</v>
      </c>
      <c r="E14" s="5">
        <f t="shared" si="0"/>
        <v>9.4085915290739415</v>
      </c>
      <c r="F14" s="5">
        <f t="shared" si="1"/>
        <v>-1261.93832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27.872330000000002</v>
      </c>
      <c r="E15" s="9">
        <f t="shared" si="0"/>
        <v>6.4370277136258665</v>
      </c>
      <c r="F15" s="9">
        <f>SUM(D15-C15)</f>
        <v>-405.12767000000002</v>
      </c>
    </row>
    <row r="16" spans="1:6" ht="15.75" customHeight="1">
      <c r="A16" s="7">
        <v>1060600000</v>
      </c>
      <c r="B16" s="11" t="s">
        <v>7</v>
      </c>
      <c r="C16" s="9">
        <v>960</v>
      </c>
      <c r="D16" s="10">
        <v>103.18935</v>
      </c>
      <c r="E16" s="9">
        <f t="shared" si="0"/>
        <v>10.748890625</v>
      </c>
      <c r="F16" s="9">
        <f t="shared" si="1"/>
        <v>-856.81065000000001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0.4</v>
      </c>
      <c r="E17" s="5">
        <f t="shared" si="0"/>
        <v>5</v>
      </c>
      <c r="F17" s="5">
        <f t="shared" si="1"/>
        <v>-7.6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0.4</v>
      </c>
      <c r="E18" s="9">
        <f t="shared" si="0"/>
        <v>5</v>
      </c>
      <c r="F18" s="9">
        <f t="shared" si="1"/>
        <v>-7.6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370</v>
      </c>
      <c r="D25" s="5">
        <f>D26+D29+D31+D34</f>
        <v>50.058610000000002</v>
      </c>
      <c r="E25" s="5">
        <f t="shared" si="0"/>
        <v>13.529354054054055</v>
      </c>
      <c r="F25" s="5">
        <f t="shared" si="1"/>
        <v>-319.94139000000001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50.058610000000002</v>
      </c>
      <c r="E26" s="5">
        <f t="shared" si="0"/>
        <v>14.30246</v>
      </c>
      <c r="F26" s="5">
        <f t="shared" si="1"/>
        <v>-299.94139000000001</v>
      </c>
    </row>
    <row r="27" spans="1:6">
      <c r="A27" s="16">
        <v>1110502510</v>
      </c>
      <c r="B27" s="17" t="s">
        <v>222</v>
      </c>
      <c r="C27" s="12">
        <v>320</v>
      </c>
      <c r="D27" s="10">
        <v>45.99436</v>
      </c>
      <c r="E27" s="9">
        <f t="shared" si="0"/>
        <v>14.3732375</v>
      </c>
      <c r="F27" s="9">
        <f t="shared" si="1"/>
        <v>-274.00563999999997</v>
      </c>
    </row>
    <row r="28" spans="1:6">
      <c r="A28" s="7">
        <v>1110503510</v>
      </c>
      <c r="B28" s="11" t="s">
        <v>221</v>
      </c>
      <c r="C28" s="12">
        <v>30</v>
      </c>
      <c r="D28" s="10">
        <v>4.0642500000000004</v>
      </c>
      <c r="E28" s="9">
        <f t="shared" si="0"/>
        <v>13.547500000000001</v>
      </c>
      <c r="F28" s="9">
        <f t="shared" si="1"/>
        <v>-25.935749999999999</v>
      </c>
    </row>
    <row r="29" spans="1:6" s="15" customFormat="1" ht="19.5" customHeight="1">
      <c r="A29" s="68">
        <v>1130000000</v>
      </c>
      <c r="B29" s="69" t="s">
        <v>128</v>
      </c>
      <c r="C29" s="5">
        <f>C30</f>
        <v>20</v>
      </c>
      <c r="D29" s="5">
        <f>D30</f>
        <v>0</v>
      </c>
      <c r="E29" s="5">
        <f t="shared" si="0"/>
        <v>0</v>
      </c>
      <c r="F29" s="5">
        <f t="shared" si="1"/>
        <v>-20</v>
      </c>
    </row>
    <row r="30" spans="1:6" ht="36" customHeight="1">
      <c r="A30" s="7">
        <v>1130206510</v>
      </c>
      <c r="B30" s="8" t="s">
        <v>413</v>
      </c>
      <c r="C30" s="9">
        <v>20</v>
      </c>
      <c r="D30" s="10"/>
      <c r="E30" s="9">
        <f t="shared" si="0"/>
        <v>0</v>
      </c>
      <c r="F30" s="9">
        <f t="shared" si="1"/>
        <v>-20</v>
      </c>
    </row>
    <row r="31" spans="1:6" ht="25.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9">
        <f>C35</f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1.5" customHeight="1">
      <c r="A35" s="7">
        <v>1163305010</v>
      </c>
      <c r="B35" s="8" t="s">
        <v>256</v>
      </c>
      <c r="C35" s="9"/>
      <c r="D35" s="10"/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2622.75</v>
      </c>
      <c r="D39" s="125">
        <f>SUM(D4,D25)</f>
        <v>426.01285999999999</v>
      </c>
      <c r="E39" s="5">
        <f t="shared" si="0"/>
        <v>16.24298389095415</v>
      </c>
      <c r="F39" s="5">
        <f t="shared" si="1"/>
        <v>-2196.7371400000002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11376.282999999999</v>
      </c>
      <c r="D40" s="5">
        <f>SUM(D41:D48)</f>
        <v>631.56900000000007</v>
      </c>
      <c r="E40" s="5">
        <f t="shared" si="0"/>
        <v>5.5516287701352018</v>
      </c>
      <c r="F40" s="5">
        <f t="shared" si="1"/>
        <v>-10744.714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6">
        <v>604.35</v>
      </c>
      <c r="E41" s="9">
        <f t="shared" si="0"/>
        <v>25</v>
      </c>
      <c r="F41" s="9">
        <f t="shared" si="1"/>
        <v>-1813.0500000000002</v>
      </c>
    </row>
    <row r="42" spans="1:7" ht="15" hidden="1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6448.2049999999999</v>
      </c>
      <c r="D43" s="10">
        <v>0</v>
      </c>
      <c r="E43" s="9">
        <f t="shared" si="0"/>
        <v>0</v>
      </c>
      <c r="F43" s="9">
        <f t="shared" si="1"/>
        <v>-6448.2049999999999</v>
      </c>
    </row>
    <row r="44" spans="1:7" ht="18.75" customHeight="1">
      <c r="A44" s="16">
        <v>2023000000</v>
      </c>
      <c r="B44" s="17" t="s">
        <v>20</v>
      </c>
      <c r="C44" s="12">
        <v>94.305999999999997</v>
      </c>
      <c r="D44" s="180">
        <v>27.219000000000001</v>
      </c>
      <c r="E44" s="9">
        <f t="shared" si="0"/>
        <v>28.862426568829129</v>
      </c>
      <c r="F44" s="9">
        <f t="shared" si="1"/>
        <v>-67.086999999999989</v>
      </c>
    </row>
    <row r="45" spans="1:7" ht="17.25" customHeight="1">
      <c r="A45" s="16">
        <v>2024000000</v>
      </c>
      <c r="B45" s="17" t="s">
        <v>21</v>
      </c>
      <c r="C45" s="12">
        <v>2416.3719999999998</v>
      </c>
      <c r="D45" s="181"/>
      <c r="E45" s="9">
        <f t="shared" si="0"/>
        <v>0</v>
      </c>
      <c r="F45" s="9">
        <f t="shared" si="1"/>
        <v>-2416.3719999999998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8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289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8">
        <v>2190000010</v>
      </c>
      <c r="B49" s="239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3">
        <f>C39+C40</f>
        <v>13999.032999999999</v>
      </c>
      <c r="D50" s="244">
        <f>D39+D40</f>
        <v>1057.58186</v>
      </c>
      <c r="E50" s="5">
        <f t="shared" si="0"/>
        <v>7.5546779552559107</v>
      </c>
      <c r="F50" s="5">
        <f t="shared" si="1"/>
        <v>-12941.451139999999</v>
      </c>
      <c r="G50" s="93"/>
      <c r="H50" s="262"/>
    </row>
    <row r="51" spans="1:8" s="6" customFormat="1">
      <c r="A51" s="3"/>
      <c r="B51" s="21" t="s">
        <v>307</v>
      </c>
      <c r="C51" s="92">
        <f>C50-C97</f>
        <v>-469.86571000000185</v>
      </c>
      <c r="D51" s="92">
        <f>D50-D97</f>
        <v>9.0921299999999974</v>
      </c>
      <c r="E51" s="22"/>
      <c r="F51" s="22"/>
    </row>
    <row r="52" spans="1:8">
      <c r="A52" s="23"/>
      <c r="B52" s="24"/>
      <c r="C52" s="235"/>
      <c r="D52" s="235" t="s">
        <v>321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410</v>
      </c>
      <c r="D53" s="472" t="s">
        <v>415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1623.0219999999999</v>
      </c>
      <c r="D55" s="32">
        <f>D56+D57+D58+D59+D60+D62+D61</f>
        <v>261.20470999999998</v>
      </c>
      <c r="E55" s="34">
        <f>SUM(D55/C55*100)</f>
        <v>16.093725778208796</v>
      </c>
      <c r="F55" s="34">
        <f>SUM(D55-C55)</f>
        <v>-1361.81729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1558.7</v>
      </c>
      <c r="D57" s="37">
        <v>256.88270999999997</v>
      </c>
      <c r="E57" s="34">
        <f>SUM(D57/C57*100)</f>
        <v>16.480574196445755</v>
      </c>
      <c r="F57" s="38">
        <f t="shared" ref="F57:F97" si="3">SUM(D57-C57)</f>
        <v>-1301.81729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10</v>
      </c>
      <c r="D61" s="40">
        <v>0</v>
      </c>
      <c r="E61" s="38">
        <f t="shared" si="4"/>
        <v>0</v>
      </c>
      <c r="F61" s="38">
        <f t="shared" si="3"/>
        <v>-10</v>
      </c>
    </row>
    <row r="62" spans="1:8" ht="19.5" customHeight="1">
      <c r="A62" s="35" t="s">
        <v>41</v>
      </c>
      <c r="B62" s="39" t="s">
        <v>42</v>
      </c>
      <c r="C62" s="37">
        <v>54.322000000000003</v>
      </c>
      <c r="D62" s="37">
        <v>4.3220000000000001</v>
      </c>
      <c r="E62" s="38">
        <f t="shared" si="4"/>
        <v>7.9562608151393546</v>
      </c>
      <c r="F62" s="38">
        <f t="shared" si="3"/>
        <v>-50</v>
      </c>
    </row>
    <row r="63" spans="1:8" s="6" customFormat="1">
      <c r="A63" s="41" t="s">
        <v>43</v>
      </c>
      <c r="B63" s="42" t="s">
        <v>44</v>
      </c>
      <c r="C63" s="32">
        <f>C64</f>
        <v>94.305999999999997</v>
      </c>
      <c r="D63" s="32">
        <f>D64</f>
        <v>12.52013</v>
      </c>
      <c r="E63" s="34">
        <f t="shared" si="4"/>
        <v>13.276069391130999</v>
      </c>
      <c r="F63" s="34">
        <f t="shared" si="3"/>
        <v>-81.785870000000003</v>
      </c>
    </row>
    <row r="64" spans="1:8">
      <c r="A64" s="43" t="s">
        <v>45</v>
      </c>
      <c r="B64" s="44" t="s">
        <v>46</v>
      </c>
      <c r="C64" s="37">
        <v>94.305999999999997</v>
      </c>
      <c r="D64" s="37">
        <v>12.52013</v>
      </c>
      <c r="E64" s="38">
        <f t="shared" si="4"/>
        <v>13.276069391130999</v>
      </c>
      <c r="F64" s="38">
        <f t="shared" si="3"/>
        <v>-81.785870000000003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332</v>
      </c>
      <c r="D65" s="32">
        <f>SUM(D68+D69+D70)</f>
        <v>45.2</v>
      </c>
      <c r="E65" s="34">
        <f t="shared" si="4"/>
        <v>13.614457831325302</v>
      </c>
      <c r="F65" s="34">
        <f t="shared" si="3"/>
        <v>-286.8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38</v>
      </c>
      <c r="D68" s="37">
        <v>31</v>
      </c>
      <c r="E68" s="34">
        <f t="shared" si="4"/>
        <v>81.578947368421055</v>
      </c>
      <c r="F68" s="34">
        <f t="shared" si="3"/>
        <v>-7</v>
      </c>
    </row>
    <row r="69" spans="1:7">
      <c r="A69" s="46" t="s">
        <v>215</v>
      </c>
      <c r="B69" s="47" t="s">
        <v>216</v>
      </c>
      <c r="C69" s="37">
        <v>292</v>
      </c>
      <c r="D69" s="37">
        <v>14.2</v>
      </c>
      <c r="E69" s="34">
        <f t="shared" si="4"/>
        <v>4.8630136986301364</v>
      </c>
      <c r="F69" s="34">
        <f t="shared" si="3"/>
        <v>-277.8</v>
      </c>
    </row>
    <row r="70" spans="1:7">
      <c r="A70" s="46" t="s">
        <v>340</v>
      </c>
      <c r="B70" s="47" t="s">
        <v>395</v>
      </c>
      <c r="C70" s="37">
        <v>2</v>
      </c>
      <c r="D70" s="37">
        <v>0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2219.8817100000001</v>
      </c>
      <c r="D71" s="48">
        <f>SUM(D72:D75)</f>
        <v>64.144170000000003</v>
      </c>
      <c r="E71" s="34">
        <f t="shared" si="4"/>
        <v>2.8895309921716503</v>
      </c>
      <c r="F71" s="34">
        <f t="shared" si="3"/>
        <v>-2155.7375400000001</v>
      </c>
    </row>
    <row r="72" spans="1:7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34.644170000000003</v>
      </c>
      <c r="E74" s="38">
        <f t="shared" si="4"/>
        <v>1.6342501487972176</v>
      </c>
      <c r="F74" s="38">
        <f t="shared" si="3"/>
        <v>-2085.2375400000001</v>
      </c>
    </row>
    <row r="75" spans="1:7">
      <c r="A75" s="35" t="s">
        <v>63</v>
      </c>
      <c r="B75" s="39" t="s">
        <v>64</v>
      </c>
      <c r="C75" s="49">
        <v>100</v>
      </c>
      <c r="D75" s="37">
        <v>29.5</v>
      </c>
      <c r="E75" s="38">
        <f t="shared" si="4"/>
        <v>29.5</v>
      </c>
      <c r="F75" s="38">
        <f t="shared" si="3"/>
        <v>-70.5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7126.2830000000004</v>
      </c>
      <c r="D76" s="32">
        <f>SUM(D77:D79)</f>
        <v>390.09371999999996</v>
      </c>
      <c r="E76" s="34">
        <f t="shared" si="4"/>
        <v>5.4740138723090279</v>
      </c>
      <c r="F76" s="34">
        <f t="shared" si="3"/>
        <v>-6736.1892800000005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.75" customHeight="1">
      <c r="A78" s="35" t="s">
        <v>69</v>
      </c>
      <c r="B78" s="51" t="s">
        <v>70</v>
      </c>
      <c r="C78" s="37">
        <v>6406.88</v>
      </c>
      <c r="D78" s="37">
        <v>236.648</v>
      </c>
      <c r="E78" s="38">
        <f t="shared" si="4"/>
        <v>3.6936543216042756</v>
      </c>
      <c r="F78" s="38">
        <f t="shared" si="3"/>
        <v>-6170.232</v>
      </c>
    </row>
    <row r="79" spans="1:7">
      <c r="A79" s="35" t="s">
        <v>71</v>
      </c>
      <c r="B79" s="39" t="s">
        <v>72</v>
      </c>
      <c r="C79" s="37">
        <v>719.40300000000002</v>
      </c>
      <c r="D79" s="37">
        <v>153.44571999999999</v>
      </c>
      <c r="E79" s="38">
        <f t="shared" si="4"/>
        <v>21.329591341709722</v>
      </c>
      <c r="F79" s="38">
        <f t="shared" si="3"/>
        <v>-565.95728000000008</v>
      </c>
    </row>
    <row r="80" spans="1:7" s="6" customFormat="1">
      <c r="A80" s="30" t="s">
        <v>83</v>
      </c>
      <c r="B80" s="31" t="s">
        <v>84</v>
      </c>
      <c r="C80" s="32">
        <f>C81</f>
        <v>3063.4059999999999</v>
      </c>
      <c r="D80" s="32">
        <f>SUM(D81)</f>
        <v>270.327</v>
      </c>
      <c r="E80" s="34">
        <f t="shared" si="4"/>
        <v>8.8243935018734057</v>
      </c>
      <c r="F80" s="34">
        <f t="shared" si="3"/>
        <v>-2793.0789999999997</v>
      </c>
    </row>
    <row r="81" spans="1:6" ht="15.75" customHeight="1">
      <c r="A81" s="35" t="s">
        <v>85</v>
      </c>
      <c r="B81" s="39" t="s">
        <v>230</v>
      </c>
      <c r="C81" s="37">
        <v>3063.4059999999999</v>
      </c>
      <c r="D81" s="37">
        <v>270.327</v>
      </c>
      <c r="E81" s="38">
        <f t="shared" si="4"/>
        <v>8.8243935018734057</v>
      </c>
      <c r="F81" s="38">
        <f t="shared" si="3"/>
        <v>-2793.0789999999997</v>
      </c>
    </row>
    <row r="82" spans="1:6" s="6" customFormat="1" ht="0.7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87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89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90</v>
      </c>
      <c r="B86" s="39" t="s">
        <v>91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92</v>
      </c>
      <c r="B87" s="31" t="s">
        <v>93</v>
      </c>
      <c r="C87" s="32">
        <f>C88+C89+C90+C91+C92</f>
        <v>10</v>
      </c>
      <c r="D87" s="32">
        <f>D88+D89+D90+D91+D92</f>
        <v>5</v>
      </c>
      <c r="E87" s="38">
        <f t="shared" si="4"/>
        <v>50</v>
      </c>
      <c r="F87" s="22">
        <f>F88+F89+F90+F91+F92</f>
        <v>-5</v>
      </c>
    </row>
    <row r="88" spans="1:6" ht="17.25" customHeight="1">
      <c r="A88" s="35" t="s">
        <v>94</v>
      </c>
      <c r="B88" s="39" t="s">
        <v>95</v>
      </c>
      <c r="C88" s="37">
        <v>10</v>
      </c>
      <c r="D88" s="37">
        <v>5</v>
      </c>
      <c r="E88" s="38">
        <f t="shared" si="4"/>
        <v>50</v>
      </c>
      <c r="F88" s="38">
        <f>SUM(D88-C88)</f>
        <v>-5</v>
      </c>
    </row>
    <row r="89" spans="1:6" ht="15.75" hidden="1" customHeight="1">
      <c r="A89" s="35" t="s">
        <v>96</v>
      </c>
      <c r="B89" s="39" t="s">
        <v>97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113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114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115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116</v>
      </c>
      <c r="C97" s="246">
        <f>C55+C63+C71+C76+C80+C82+C87+C65+C93</f>
        <v>14468.898710000001</v>
      </c>
      <c r="D97" s="246">
        <f>D55+D63+D71+D76+D80+D82+D87+D65+D93</f>
        <v>1048.48973</v>
      </c>
      <c r="E97" s="34">
        <f t="shared" si="4"/>
        <v>7.246506807566143</v>
      </c>
      <c r="F97" s="34">
        <f t="shared" si="3"/>
        <v>-13420.408980000002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117</v>
      </c>
      <c r="B99" s="63"/>
      <c r="C99" s="178"/>
      <c r="D99" s="178"/>
      <c r="E99" s="64"/>
    </row>
    <row r="100" spans="1:8" s="65" customFormat="1" ht="20.25" customHeight="1">
      <c r="A100" s="66" t="s">
        <v>118</v>
      </c>
      <c r="B100" s="66"/>
      <c r="C100" s="65" t="s">
        <v>119</v>
      </c>
    </row>
    <row r="101" spans="1:8" ht="13.5" customHeight="1">
      <c r="C101" s="118"/>
    </row>
    <row r="103" spans="1:8" ht="5.25" customHeight="1"/>
    <row r="142" hidden="1"/>
  </sheetData>
  <customSheetViews>
    <customSheetView guid="{E6F84523-F47F-492E-BB0B-0D2156A983B1}" scale="70" showPageBreaks="1" printArea="1" hiddenRows="1" state="hidden" view="pageBreakPreview" topLeftCell="A31">
      <selection activeCell="C79" sqref="C7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4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6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7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printArea="1" hiddenRows="1" view="pageBreakPreview" topLeftCell="A31">
      <selection activeCell="C79" sqref="C79"/>
      <pageMargins left="0.70866141732283472" right="0.70866141732283472" top="0.74803149606299213" bottom="0.74803149606299213" header="0.31496062992125984" footer="0.31496062992125984"/>
      <pageSetup paperSize="9" scale="55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1"/>
  <sheetViews>
    <sheetView view="pageBreakPreview" zoomScale="70" zoomScaleNormal="100" zoomScaleSheetLayoutView="70" workbookViewId="0">
      <selection activeCell="D88" sqref="D88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429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230.86880000000002</v>
      </c>
      <c r="E4" s="5">
        <f>SUM(D4/C4*100)</f>
        <v>18.119720907599696</v>
      </c>
      <c r="F4" s="5">
        <f>SUM(D4-C4)</f>
        <v>-1043.2612000000001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41.132100000000001</v>
      </c>
      <c r="E5" s="5">
        <f t="shared" ref="E5:E51" si="0">SUM(D5/C5*100)</f>
        <v>24.053859649122806</v>
      </c>
      <c r="F5" s="5">
        <f t="shared" ref="F5:F51" si="1">SUM(D5-C5)</f>
        <v>-129.86789999999999</v>
      </c>
    </row>
    <row r="6" spans="1:6">
      <c r="A6" s="7">
        <v>1010200001</v>
      </c>
      <c r="B6" s="8" t="s">
        <v>225</v>
      </c>
      <c r="C6" s="9">
        <v>171</v>
      </c>
      <c r="D6" s="10">
        <v>41.132100000000001</v>
      </c>
      <c r="E6" s="9">
        <f t="shared" ref="E6:E11" si="2">SUM(D6/C6*100)</f>
        <v>24.053859649122806</v>
      </c>
      <c r="F6" s="9">
        <f t="shared" si="1"/>
        <v>-129.86789999999999</v>
      </c>
    </row>
    <row r="7" spans="1:6" ht="31.5">
      <c r="A7" s="3">
        <v>1030000000</v>
      </c>
      <c r="B7" s="13" t="s">
        <v>267</v>
      </c>
      <c r="C7" s="5">
        <f>C8+C10+C9</f>
        <v>616.13</v>
      </c>
      <c r="D7" s="227">
        <f>D8+D10+D9+D11</f>
        <v>162.79854</v>
      </c>
      <c r="E7" s="5">
        <f t="shared" si="2"/>
        <v>26.422758184149448</v>
      </c>
      <c r="F7" s="5">
        <f t="shared" si="1"/>
        <v>-453.33145999999999</v>
      </c>
    </row>
    <row r="8" spans="1:6">
      <c r="A8" s="7">
        <v>1030223001</v>
      </c>
      <c r="B8" s="8" t="s">
        <v>269</v>
      </c>
      <c r="C8" s="9">
        <v>229.816</v>
      </c>
      <c r="D8" s="10">
        <v>78.18477</v>
      </c>
      <c r="E8" s="9">
        <f t="shared" si="2"/>
        <v>34.020594736658893</v>
      </c>
      <c r="F8" s="9">
        <f t="shared" si="1"/>
        <v>-151.63123000000002</v>
      </c>
    </row>
    <row r="9" spans="1:6">
      <c r="A9" s="7">
        <v>1030224001</v>
      </c>
      <c r="B9" s="8" t="s">
        <v>275</v>
      </c>
      <c r="C9" s="9">
        <v>2.4649999999999999</v>
      </c>
      <c r="D9" s="10">
        <v>0.50099000000000005</v>
      </c>
      <c r="E9" s="9">
        <f t="shared" si="2"/>
        <v>20.324137931034485</v>
      </c>
      <c r="F9" s="9">
        <f t="shared" si="1"/>
        <v>-1.9640099999999998</v>
      </c>
    </row>
    <row r="10" spans="1:6">
      <c r="A10" s="7">
        <v>1030225001</v>
      </c>
      <c r="B10" s="8" t="s">
        <v>268</v>
      </c>
      <c r="C10" s="9">
        <v>383.84899999999999</v>
      </c>
      <c r="D10" s="10">
        <v>94.602289999999996</v>
      </c>
      <c r="E10" s="9">
        <f t="shared" si="2"/>
        <v>24.645704430648511</v>
      </c>
      <c r="F10" s="9">
        <f t="shared" si="1"/>
        <v>-289.24671000000001</v>
      </c>
    </row>
    <row r="11" spans="1:6">
      <c r="A11" s="7">
        <v>1030226001</v>
      </c>
      <c r="B11" s="8" t="s">
        <v>277</v>
      </c>
      <c r="C11" s="9">
        <v>0</v>
      </c>
      <c r="D11" s="10">
        <v>-10.489509999999999</v>
      </c>
      <c r="E11" s="9" t="e">
        <f t="shared" si="2"/>
        <v>#DIV/0!</v>
      </c>
      <c r="F11" s="9">
        <f t="shared" si="1"/>
        <v>-10.489509999999999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469</v>
      </c>
      <c r="D14" s="5">
        <f>D15+D16</f>
        <v>25.538160000000001</v>
      </c>
      <c r="E14" s="5">
        <f t="shared" si="0"/>
        <v>5.4452366737739881</v>
      </c>
      <c r="F14" s="5">
        <f t="shared" si="1"/>
        <v>-443.46184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7.5239000000000003</v>
      </c>
      <c r="E15" s="9">
        <f t="shared" si="0"/>
        <v>6.0676612903225813</v>
      </c>
      <c r="F15" s="9">
        <f>SUM(D15-C15)</f>
        <v>-116.4761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18.01426</v>
      </c>
      <c r="E16" s="9">
        <f t="shared" si="0"/>
        <v>5.2215246376811599</v>
      </c>
      <c r="F16" s="9">
        <f t="shared" si="1"/>
        <v>-326.98574000000002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1.4</v>
      </c>
      <c r="E17" s="5">
        <f t="shared" si="0"/>
        <v>17.5</v>
      </c>
      <c r="F17" s="5">
        <f t="shared" si="1"/>
        <v>-6.6</v>
      </c>
    </row>
    <row r="18" spans="1:6" ht="17.25" customHeight="1">
      <c r="A18" s="7">
        <v>1080400001</v>
      </c>
      <c r="B18" s="8" t="s">
        <v>258</v>
      </c>
      <c r="C18" s="9">
        <v>8</v>
      </c>
      <c r="D18" s="10">
        <v>1.4</v>
      </c>
      <c r="E18" s="9">
        <f t="shared" si="0"/>
        <v>17.5</v>
      </c>
      <c r="F18" s="9">
        <f t="shared" si="1"/>
        <v>-6.6</v>
      </c>
    </row>
    <row r="19" spans="1:6" ht="49.5" hidden="1" customHeight="1">
      <c r="A19" s="7">
        <v>1080714001</v>
      </c>
      <c r="B19" s="8" t="s">
        <v>223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140</v>
      </c>
      <c r="D25" s="5">
        <f>D26+D29+D31+D34</f>
        <v>82.646000000000001</v>
      </c>
      <c r="E25" s="5">
        <f t="shared" si="0"/>
        <v>59.032857142857139</v>
      </c>
      <c r="F25" s="5">
        <f t="shared" si="1"/>
        <v>-57.353999999999999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40</v>
      </c>
      <c r="D26" s="5">
        <f>D27+D28</f>
        <v>6</v>
      </c>
      <c r="E26" s="5">
        <f t="shared" si="0"/>
        <v>15</v>
      </c>
      <c r="F26" s="5">
        <f t="shared" si="1"/>
        <v>-34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221</v>
      </c>
      <c r="C28" s="12">
        <v>40</v>
      </c>
      <c r="D28" s="10">
        <v>6</v>
      </c>
      <c r="E28" s="9">
        <f t="shared" si="0"/>
        <v>15</v>
      </c>
      <c r="F28" s="9">
        <f t="shared" si="1"/>
        <v>-34</v>
      </c>
    </row>
    <row r="29" spans="1:6" s="15" customFormat="1" ht="27.75" customHeight="1">
      <c r="A29" s="68">
        <v>1130000000</v>
      </c>
      <c r="B29" s="69" t="s">
        <v>128</v>
      </c>
      <c r="C29" s="5">
        <f>C30</f>
        <v>100</v>
      </c>
      <c r="D29" s="5">
        <f>D30</f>
        <v>76.445999999999998</v>
      </c>
      <c r="E29" s="5">
        <f t="shared" si="0"/>
        <v>76.445999999999998</v>
      </c>
      <c r="F29" s="5">
        <f t="shared" si="1"/>
        <v>-23.554000000000002</v>
      </c>
    </row>
    <row r="30" spans="1:6" ht="15.75" customHeight="1">
      <c r="A30" s="7">
        <v>1130206005</v>
      </c>
      <c r="B30" s="8" t="s">
        <v>14</v>
      </c>
      <c r="C30" s="9">
        <v>100</v>
      </c>
      <c r="D30" s="10">
        <v>76.445999999999998</v>
      </c>
      <c r="E30" s="9">
        <f t="shared" si="0"/>
        <v>76.445999999999998</v>
      </c>
      <c r="F30" s="9">
        <f t="shared" si="1"/>
        <v>-23.554000000000002</v>
      </c>
    </row>
    <row r="31" spans="1:6" ht="14.2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130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4.2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132</v>
      </c>
      <c r="C34" s="5">
        <f>C35+C36</f>
        <v>0</v>
      </c>
      <c r="D34" s="5">
        <f>D35+D36</f>
        <v>0.2</v>
      </c>
      <c r="E34" s="5" t="e">
        <f t="shared" si="0"/>
        <v>#DIV/0!</v>
      </c>
      <c r="F34" s="5">
        <f t="shared" si="1"/>
        <v>0.2</v>
      </c>
    </row>
    <row r="35" spans="1:7" ht="19.5" customHeight="1">
      <c r="A35" s="7">
        <v>1170105010</v>
      </c>
      <c r="B35" s="8" t="s">
        <v>15</v>
      </c>
      <c r="C35" s="9">
        <v>0</v>
      </c>
      <c r="D35" s="9">
        <v>0.2</v>
      </c>
      <c r="E35" s="9" t="e">
        <f t="shared" si="0"/>
        <v>#DIV/0!</v>
      </c>
      <c r="F35" s="9">
        <f t="shared" si="1"/>
        <v>0.2</v>
      </c>
    </row>
    <row r="36" spans="1:7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16</v>
      </c>
      <c r="C37" s="125">
        <f>SUM(C4,C25)</f>
        <v>1414.13</v>
      </c>
      <c r="D37" s="125">
        <f>D4+D25</f>
        <v>313.51480000000004</v>
      </c>
      <c r="E37" s="5">
        <f t="shared" si="0"/>
        <v>22.17015408767228</v>
      </c>
      <c r="F37" s="5">
        <f t="shared" si="1"/>
        <v>-1100.6152000000002</v>
      </c>
    </row>
    <row r="38" spans="1:7" s="6" customFormat="1">
      <c r="A38" s="3">
        <v>2000000000</v>
      </c>
      <c r="B38" s="4" t="s">
        <v>17</v>
      </c>
      <c r="C38" s="245">
        <f>C39+C40+C41+C42+C49+C50</f>
        <v>12030.81365</v>
      </c>
      <c r="D38" s="5">
        <f>D39+D40+D41+D42+D49+D50</f>
        <v>1502.31</v>
      </c>
      <c r="E38" s="5">
        <f t="shared" si="0"/>
        <v>12.48718535341955</v>
      </c>
      <c r="F38" s="5">
        <f t="shared" si="1"/>
        <v>-10528.503650000001</v>
      </c>
      <c r="G38" s="19"/>
    </row>
    <row r="39" spans="1:7" ht="16.5" customHeight="1">
      <c r="A39" s="16">
        <v>2021000000</v>
      </c>
      <c r="B39" s="17" t="s">
        <v>18</v>
      </c>
      <c r="C39" s="12">
        <v>4903.5</v>
      </c>
      <c r="D39" s="20">
        <v>1225.875</v>
      </c>
      <c r="E39" s="9">
        <v>0</v>
      </c>
      <c r="F39" s="9">
        <f t="shared" si="1"/>
        <v>-3677.625</v>
      </c>
    </row>
    <row r="40" spans="1:7" ht="17.25" customHeight="1">
      <c r="A40" s="16">
        <v>2021500200</v>
      </c>
      <c r="B40" s="17" t="s">
        <v>228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>
      <c r="A41" s="16">
        <v>2022000000</v>
      </c>
      <c r="B41" s="17" t="s">
        <v>19</v>
      </c>
      <c r="C41" s="12">
        <v>6399.0466500000002</v>
      </c>
      <c r="D41" s="10">
        <v>222</v>
      </c>
      <c r="E41" s="9">
        <f t="shared" si="0"/>
        <v>3.4692667852327657</v>
      </c>
      <c r="F41" s="9">
        <f t="shared" si="1"/>
        <v>-6177.0466500000002</v>
      </c>
    </row>
    <row r="42" spans="1:7" ht="17.25" customHeight="1">
      <c r="A42" s="16">
        <v>2023000000</v>
      </c>
      <c r="B42" s="17" t="s">
        <v>20</v>
      </c>
      <c r="C42" s="12">
        <v>235.76499999999999</v>
      </c>
      <c r="D42" s="180">
        <v>54.435000000000002</v>
      </c>
      <c r="E42" s="9">
        <f t="shared" si="0"/>
        <v>23.088668801560878</v>
      </c>
      <c r="F42" s="9">
        <f t="shared" si="1"/>
        <v>-181.32999999999998</v>
      </c>
    </row>
    <row r="43" spans="1:7" ht="18" hidden="1" customHeight="1">
      <c r="A43" s="16">
        <v>2020400000</v>
      </c>
      <c r="B43" s="17" t="s">
        <v>21</v>
      </c>
      <c r="C43" s="12"/>
      <c r="D43" s="181"/>
      <c r="E43" s="9" t="e">
        <f t="shared" si="0"/>
        <v>#DIV/0!</v>
      </c>
      <c r="F43" s="9">
        <f t="shared" si="1"/>
        <v>0</v>
      </c>
    </row>
    <row r="44" spans="1:7" ht="14.25" hidden="1" customHeight="1">
      <c r="A44" s="16">
        <v>2020900000</v>
      </c>
      <c r="B44" s="18" t="s">
        <v>22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7" ht="16.5" hidden="1" customHeight="1">
      <c r="A45" s="122">
        <v>2180000000</v>
      </c>
      <c r="B45" s="123" t="s">
        <v>288</v>
      </c>
      <c r="C45" s="184">
        <f>C46</f>
        <v>0</v>
      </c>
      <c r="D45" s="236">
        <f>D46</f>
        <v>0</v>
      </c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2180501010</v>
      </c>
      <c r="B46" s="18" t="s">
        <v>287</v>
      </c>
      <c r="C46" s="12">
        <v>0</v>
      </c>
      <c r="D46" s="181">
        <v>0</v>
      </c>
      <c r="E46" s="9" t="e">
        <f t="shared" si="0"/>
        <v>#DIV/0!</v>
      </c>
      <c r="F46" s="9">
        <f t="shared" si="1"/>
        <v>0</v>
      </c>
    </row>
    <row r="47" spans="1:7" ht="19.5" hidden="1" customHeight="1">
      <c r="A47" s="7">
        <v>2190500005</v>
      </c>
      <c r="B47" s="11" t="s">
        <v>23</v>
      </c>
      <c r="C47" s="14"/>
      <c r="D47" s="14"/>
      <c r="E47" s="9" t="e">
        <f t="shared" si="0"/>
        <v>#DIV/0!</v>
      </c>
      <c r="F47" s="9">
        <f t="shared" si="1"/>
        <v>0</v>
      </c>
    </row>
    <row r="48" spans="1:7" s="6" customFormat="1" ht="35.25" hidden="1" customHeight="1">
      <c r="A48" s="3">
        <v>3000000000</v>
      </c>
      <c r="B48" s="13" t="s">
        <v>24</v>
      </c>
      <c r="C48" s="120">
        <v>0</v>
      </c>
      <c r="D48" s="14">
        <v>0</v>
      </c>
      <c r="E48" s="9" t="e">
        <f t="shared" si="0"/>
        <v>#DIV/0!</v>
      </c>
      <c r="F48" s="9">
        <f t="shared" si="1"/>
        <v>0</v>
      </c>
    </row>
    <row r="49" spans="1:8" s="6" customFormat="1" ht="19.5" customHeight="1">
      <c r="A49" s="7">
        <v>2020400000</v>
      </c>
      <c r="B49" s="8" t="s">
        <v>21</v>
      </c>
      <c r="C49" s="12">
        <v>88.9</v>
      </c>
      <c r="D49" s="10"/>
      <c r="E49" s="9">
        <f t="shared" si="0"/>
        <v>0</v>
      </c>
      <c r="F49" s="9">
        <f t="shared" si="1"/>
        <v>-88.9</v>
      </c>
    </row>
    <row r="50" spans="1:8" s="6" customFormat="1" ht="15" customHeight="1">
      <c r="A50" s="7">
        <v>2070500010</v>
      </c>
      <c r="B50" s="11" t="s">
        <v>289</v>
      </c>
      <c r="C50" s="12">
        <v>403.60199999999998</v>
      </c>
      <c r="D50" s="10">
        <v>0</v>
      </c>
      <c r="E50" s="9">
        <v>0</v>
      </c>
      <c r="F50" s="9">
        <f>SUM(D50-C50)</f>
        <v>-403.60199999999998</v>
      </c>
    </row>
    <row r="51" spans="1:8" s="6" customFormat="1" ht="18" customHeight="1">
      <c r="A51" s="3"/>
      <c r="B51" s="4" t="s">
        <v>25</v>
      </c>
      <c r="C51" s="243">
        <f>C37+C38</f>
        <v>13444.943650000001</v>
      </c>
      <c r="D51" s="243">
        <f>D37+D38</f>
        <v>1815.8247999999999</v>
      </c>
      <c r="E51" s="5">
        <f t="shared" si="0"/>
        <v>13.505633398470954</v>
      </c>
      <c r="F51" s="5">
        <f t="shared" si="1"/>
        <v>-11629.118850000001</v>
      </c>
      <c r="G51" s="93"/>
      <c r="H51" s="193"/>
    </row>
    <row r="52" spans="1:8" s="6" customFormat="1">
      <c r="A52" s="3"/>
      <c r="B52" s="21" t="s">
        <v>307</v>
      </c>
      <c r="C52" s="92">
        <f>C51-C98</f>
        <v>-945.14084000000003</v>
      </c>
      <c r="D52" s="92">
        <f>D51-D98</f>
        <v>560.02837999999997</v>
      </c>
      <c r="E52" s="22"/>
      <c r="F52" s="22"/>
    </row>
    <row r="53" spans="1:8">
      <c r="A53" s="23"/>
      <c r="B53" s="24"/>
      <c r="C53" s="113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5" customHeight="1">
      <c r="A56" s="30" t="s">
        <v>27</v>
      </c>
      <c r="B56" s="31" t="s">
        <v>28</v>
      </c>
      <c r="C56" s="32">
        <f>C57+C58+C59+C60+C61+C63+C62</f>
        <v>1590.0640000000001</v>
      </c>
      <c r="D56" s="33">
        <f>D57+D58+D59+D60+D61+D63+D62</f>
        <v>238.37105</v>
      </c>
      <c r="E56" s="34">
        <f>SUM(D56/C56*100)</f>
        <v>14.991286514253513</v>
      </c>
      <c r="F56" s="34">
        <f>SUM(D56-C56)</f>
        <v>-1351.6929500000001</v>
      </c>
    </row>
    <row r="57" spans="1:8" s="6" customFormat="1" ht="16.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8" ht="15" customHeight="1">
      <c r="A58" s="35" t="s">
        <v>31</v>
      </c>
      <c r="B58" s="39" t="s">
        <v>32</v>
      </c>
      <c r="C58" s="37">
        <v>1579.9</v>
      </c>
      <c r="D58" s="37">
        <v>233.20705000000001</v>
      </c>
      <c r="E58" s="38">
        <f t="shared" ref="E58:E98" si="3">SUM(D58/C58*100)</f>
        <v>14.760874105956074</v>
      </c>
      <c r="F58" s="38">
        <f t="shared" ref="F58:F98" si="4">SUM(D58-C58)</f>
        <v>-1346.6929500000001</v>
      </c>
    </row>
    <row r="59" spans="1:8" ht="15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18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39</v>
      </c>
      <c r="B62" s="39" t="s">
        <v>40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41</v>
      </c>
      <c r="B63" s="39" t="s">
        <v>42</v>
      </c>
      <c r="C63" s="37">
        <v>5.1639999999999997</v>
      </c>
      <c r="D63" s="37">
        <v>5.1639999999999997</v>
      </c>
      <c r="E63" s="38">
        <f t="shared" si="3"/>
        <v>100</v>
      </c>
      <c r="F63" s="38">
        <f t="shared" si="4"/>
        <v>0</v>
      </c>
    </row>
    <row r="64" spans="1:8" s="6" customFormat="1" ht="15" customHeight="1">
      <c r="A64" s="41" t="s">
        <v>43</v>
      </c>
      <c r="B64" s="42" t="s">
        <v>44</v>
      </c>
      <c r="C64" s="32">
        <f>C65</f>
        <v>235.76499999999999</v>
      </c>
      <c r="D64" s="32">
        <f>D65</f>
        <v>40.171999999999997</v>
      </c>
      <c r="E64" s="34">
        <f t="shared" si="3"/>
        <v>17.039000699849428</v>
      </c>
      <c r="F64" s="34">
        <f t="shared" si="4"/>
        <v>-195.59299999999999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40.171999999999997</v>
      </c>
      <c r="E65" s="38">
        <f t="shared" si="3"/>
        <v>17.039000699849428</v>
      </c>
      <c r="F65" s="38">
        <f t="shared" si="4"/>
        <v>-195.59299999999999</v>
      </c>
    </row>
    <row r="66" spans="1:7" s="6" customFormat="1" ht="16.5" customHeight="1">
      <c r="A66" s="30" t="s">
        <v>47</v>
      </c>
      <c r="B66" s="31" t="s">
        <v>48</v>
      </c>
      <c r="C66" s="32">
        <f>C69+C70+C71</f>
        <v>315</v>
      </c>
      <c r="D66" s="32">
        <f>SUM(D69+D70+D71)</f>
        <v>1.5</v>
      </c>
      <c r="E66" s="34">
        <f t="shared" si="3"/>
        <v>0.47619047619047622</v>
      </c>
      <c r="F66" s="34">
        <f t="shared" si="4"/>
        <v>-313.5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5.75" customHeight="1">
      <c r="A69" s="46" t="s">
        <v>53</v>
      </c>
      <c r="B69" s="47" t="s">
        <v>54</v>
      </c>
      <c r="C69" s="95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310</v>
      </c>
      <c r="D70" s="37">
        <v>1.5</v>
      </c>
      <c r="E70" s="34">
        <f t="shared" si="3"/>
        <v>0.4838709677419355</v>
      </c>
      <c r="F70" s="34">
        <f t="shared" si="4"/>
        <v>-308.5</v>
      </c>
    </row>
    <row r="71" spans="1:7" ht="15.75" customHeight="1">
      <c r="A71" s="46" t="s">
        <v>340</v>
      </c>
      <c r="B71" s="47" t="s">
        <v>343</v>
      </c>
      <c r="C71" s="37">
        <v>2</v>
      </c>
      <c r="D71" s="37">
        <v>0</v>
      </c>
      <c r="E71" s="34"/>
      <c r="F71" s="34"/>
    </row>
    <row r="72" spans="1:7" s="6" customFormat="1" ht="15" customHeight="1">
      <c r="A72" s="30" t="s">
        <v>55</v>
      </c>
      <c r="B72" s="31" t="s">
        <v>56</v>
      </c>
      <c r="C72" s="48">
        <f>SUM(C73:C76)</f>
        <v>3033.2308400000002</v>
      </c>
      <c r="D72" s="48">
        <f>SUM(D73:D76)</f>
        <v>256.45</v>
      </c>
      <c r="E72" s="34">
        <f t="shared" si="3"/>
        <v>8.4546812797142721</v>
      </c>
      <c r="F72" s="34">
        <f t="shared" si="4"/>
        <v>-2776.7808400000004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2983.2308400000002</v>
      </c>
      <c r="D75" s="37">
        <v>256.45</v>
      </c>
      <c r="E75" s="38">
        <f t="shared" si="3"/>
        <v>8.5963847169131569</v>
      </c>
      <c r="F75" s="38">
        <f t="shared" si="4"/>
        <v>-2726.7808400000004</v>
      </c>
    </row>
    <row r="76" spans="1:7">
      <c r="A76" s="35" t="s">
        <v>63</v>
      </c>
      <c r="B76" s="39" t="s">
        <v>64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7081.3246499999996</v>
      </c>
      <c r="D77" s="32">
        <f>SUM(D78:D80)</f>
        <v>287.61061999999998</v>
      </c>
      <c r="E77" s="34">
        <f t="shared" si="3"/>
        <v>4.0615369894105902</v>
      </c>
      <c r="F77" s="34">
        <f t="shared" si="4"/>
        <v>-6793.7140299999992</v>
      </c>
    </row>
    <row r="78" spans="1:7" ht="14.25" customHeight="1">
      <c r="A78" s="35" t="s">
        <v>67</v>
      </c>
      <c r="B78" s="51" t="s">
        <v>68</v>
      </c>
      <c r="C78" s="37">
        <v>0</v>
      </c>
      <c r="D78" s="37"/>
      <c r="E78" s="38" t="e">
        <f t="shared" si="3"/>
        <v>#DIV/0!</v>
      </c>
      <c r="F78" s="38">
        <f t="shared" si="4"/>
        <v>0</v>
      </c>
    </row>
    <row r="79" spans="1:7" ht="14.25" customHeight="1">
      <c r="A79" s="35" t="s">
        <v>69</v>
      </c>
      <c r="B79" s="51" t="s">
        <v>70</v>
      </c>
      <c r="C79" s="37">
        <v>721.52099999999996</v>
      </c>
      <c r="D79" s="37">
        <v>231</v>
      </c>
      <c r="E79" s="38">
        <f t="shared" si="3"/>
        <v>32.015700166731115</v>
      </c>
      <c r="F79" s="38">
        <f t="shared" si="4"/>
        <v>-490.52099999999996</v>
      </c>
    </row>
    <row r="80" spans="1:7">
      <c r="A80" s="35" t="s">
        <v>71</v>
      </c>
      <c r="B80" s="39" t="s">
        <v>72</v>
      </c>
      <c r="C80" s="37">
        <v>6359.8036499999998</v>
      </c>
      <c r="D80" s="37">
        <v>56.610619999999997</v>
      </c>
      <c r="E80" s="38">
        <f t="shared" si="3"/>
        <v>0.89013156876313304</v>
      </c>
      <c r="F80" s="38">
        <f t="shared" si="4"/>
        <v>-6303.1930299999995</v>
      </c>
    </row>
    <row r="81" spans="1:6" s="6" customFormat="1">
      <c r="A81" s="30" t="s">
        <v>83</v>
      </c>
      <c r="B81" s="31" t="s">
        <v>84</v>
      </c>
      <c r="C81" s="32">
        <f>C82</f>
        <v>2124.6999999999998</v>
      </c>
      <c r="D81" s="32">
        <f>SUM(D82)</f>
        <v>426.70274999999998</v>
      </c>
      <c r="E81" s="34">
        <f t="shared" si="3"/>
        <v>20.082964653833482</v>
      </c>
      <c r="F81" s="34">
        <f t="shared" si="4"/>
        <v>-1697.9972499999999</v>
      </c>
    </row>
    <row r="82" spans="1:6" ht="15" customHeight="1">
      <c r="A82" s="35" t="s">
        <v>85</v>
      </c>
      <c r="B82" s="39" t="s">
        <v>230</v>
      </c>
      <c r="C82" s="37">
        <v>2124.6999999999998</v>
      </c>
      <c r="D82" s="37">
        <v>426.70274999999998</v>
      </c>
      <c r="E82" s="38">
        <f t="shared" si="3"/>
        <v>20.082964653833482</v>
      </c>
      <c r="F82" s="38">
        <f t="shared" si="4"/>
        <v>-1697.9972499999999</v>
      </c>
    </row>
    <row r="83" spans="1:6" s="6" customFormat="1" ht="15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95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92</v>
      </c>
      <c r="B88" s="31" t="s">
        <v>93</v>
      </c>
      <c r="C88" s="32">
        <f>C89</f>
        <v>10</v>
      </c>
      <c r="D88" s="32">
        <f>D89+D90+D91+D92+D93</f>
        <v>4.99</v>
      </c>
      <c r="E88" s="38"/>
      <c r="F88" s="22">
        <f>F89+F90+F91+F92+F93</f>
        <v>-5.01</v>
      </c>
    </row>
    <row r="89" spans="1:6" ht="16.5" customHeight="1">
      <c r="A89" s="35" t="s">
        <v>94</v>
      </c>
      <c r="B89" s="39" t="s">
        <v>95</v>
      </c>
      <c r="C89" s="37">
        <v>10</v>
      </c>
      <c r="D89" s="37">
        <v>4.99</v>
      </c>
      <c r="E89" s="38"/>
      <c r="F89" s="38">
        <f>SUM(D89-C89)</f>
        <v>-5.01</v>
      </c>
    </row>
    <row r="90" spans="1:6" ht="1.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112</v>
      </c>
      <c r="C94" s="48">
        <f>C95+C96+C97</f>
        <v>0</v>
      </c>
      <c r="D94" s="17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116</v>
      </c>
      <c r="C98" s="246">
        <f>C56+C64+C66+C72+C77+C81+C88+C83</f>
        <v>14390.084490000001</v>
      </c>
      <c r="D98" s="246">
        <f>D56+D64+D66+D72+D77+D81+D88+D83</f>
        <v>1255.7964199999999</v>
      </c>
      <c r="E98" s="34">
        <f t="shared" si="3"/>
        <v>8.7268175588036438</v>
      </c>
      <c r="F98" s="34">
        <f t="shared" si="4"/>
        <v>-13134.288070000001</v>
      </c>
    </row>
    <row r="99" spans="1:6">
      <c r="D99" s="175"/>
    </row>
    <row r="100" spans="1:6" s="65" customFormat="1" ht="18" customHeight="1">
      <c r="A100" s="63" t="s">
        <v>117</v>
      </c>
      <c r="B100" s="63"/>
      <c r="C100" s="129"/>
      <c r="D100" s="64"/>
      <c r="E100" s="64"/>
    </row>
    <row r="101" spans="1:6" s="65" customFormat="1" ht="12.75">
      <c r="A101" s="66" t="s">
        <v>118</v>
      </c>
      <c r="B101" s="66"/>
      <c r="C101" s="65" t="s">
        <v>119</v>
      </c>
    </row>
    <row r="102" spans="1:6">
      <c r="C102" s="118"/>
    </row>
    <row r="141" hidden="1"/>
  </sheetData>
  <customSheetViews>
    <customSheetView guid="{E6F84523-F47F-492E-BB0B-0D2156A983B1}" scale="70" showPageBreaks="1" hiddenRows="1" state="hidden" view="pageBreakPreview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6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2" zoomScale="70" zoomScaleNormal="100" zoomScaleSheetLayoutView="70" workbookViewId="0">
      <selection activeCell="C82" sqref="C8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6" t="s">
        <v>430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54.75" customHeight="1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2606</v>
      </c>
      <c r="D4" s="5">
        <f>D5+D12+D14+D17+D7</f>
        <v>432.74072000000001</v>
      </c>
      <c r="E4" s="5">
        <f>SUM(D4/C4*100)</f>
        <v>16.605553338449734</v>
      </c>
      <c r="F4" s="5">
        <f>SUM(D4-C4)</f>
        <v>-2173.2592800000002</v>
      </c>
    </row>
    <row r="5" spans="1:6" s="6" customFormat="1">
      <c r="A5" s="68">
        <v>1010000000</v>
      </c>
      <c r="B5" s="67" t="s">
        <v>5</v>
      </c>
      <c r="C5" s="5">
        <f>C6</f>
        <v>189</v>
      </c>
      <c r="D5" s="5">
        <f>D6</f>
        <v>48.640929999999997</v>
      </c>
      <c r="E5" s="5">
        <f t="shared" ref="E5:E52" si="0">SUM(D5/C5*100)</f>
        <v>25.735941798941798</v>
      </c>
      <c r="F5" s="5">
        <f t="shared" ref="F5:F52" si="1">SUM(D5-C5)</f>
        <v>-140.35907</v>
      </c>
    </row>
    <row r="6" spans="1:6">
      <c r="A6" s="7">
        <v>1010200001</v>
      </c>
      <c r="B6" s="8" t="s">
        <v>225</v>
      </c>
      <c r="C6" s="9">
        <v>189</v>
      </c>
      <c r="D6" s="10">
        <v>48.640929999999997</v>
      </c>
      <c r="E6" s="9">
        <f t="shared" ref="E6:E11" si="2">SUM(D6/C6*100)</f>
        <v>25.735941798941798</v>
      </c>
      <c r="F6" s="9">
        <f t="shared" si="1"/>
        <v>-140.35907</v>
      </c>
    </row>
    <row r="7" spans="1:6" ht="31.5">
      <c r="A7" s="3">
        <v>1030000000</v>
      </c>
      <c r="B7" s="13" t="s">
        <v>267</v>
      </c>
      <c r="C7" s="5">
        <f>C8+C10+C9</f>
        <v>954</v>
      </c>
      <c r="D7" s="5">
        <f>D8+D10+D9+D11</f>
        <v>252.07520000000002</v>
      </c>
      <c r="E7" s="5">
        <f t="shared" si="2"/>
        <v>26.422976939203359</v>
      </c>
      <c r="F7" s="5">
        <f t="shared" si="1"/>
        <v>-701.9248</v>
      </c>
    </row>
    <row r="8" spans="1:6">
      <c r="A8" s="7">
        <v>1030223001</v>
      </c>
      <c r="B8" s="8" t="s">
        <v>269</v>
      </c>
      <c r="C8" s="9">
        <v>355.84199999999998</v>
      </c>
      <c r="D8" s="10">
        <v>121.0603</v>
      </c>
      <c r="E8" s="9">
        <f t="shared" si="2"/>
        <v>34.020801366898795</v>
      </c>
      <c r="F8" s="9">
        <f t="shared" si="1"/>
        <v>-234.7817</v>
      </c>
    </row>
    <row r="9" spans="1:6">
      <c r="A9" s="7">
        <v>1030224001</v>
      </c>
      <c r="B9" s="8" t="s">
        <v>275</v>
      </c>
      <c r="C9" s="9">
        <v>3.8159999999999998</v>
      </c>
      <c r="D9" s="10">
        <v>0.77573000000000003</v>
      </c>
      <c r="E9" s="9">
        <f t="shared" si="2"/>
        <v>20.32835429769392</v>
      </c>
      <c r="F9" s="9">
        <f t="shared" si="1"/>
        <v>-3.0402699999999996</v>
      </c>
    </row>
    <row r="10" spans="1:6">
      <c r="A10" s="7">
        <v>1030225001</v>
      </c>
      <c r="B10" s="8" t="s">
        <v>268</v>
      </c>
      <c r="C10" s="9">
        <v>594.34199999999998</v>
      </c>
      <c r="D10" s="10">
        <v>146.48096000000001</v>
      </c>
      <c r="E10" s="9">
        <f t="shared" si="2"/>
        <v>24.645904210033954</v>
      </c>
      <c r="F10" s="9">
        <f>SUM(D10-C10)</f>
        <v>-447.86104</v>
      </c>
    </row>
    <row r="11" spans="1:6">
      <c r="A11" s="7">
        <v>1030226001</v>
      </c>
      <c r="B11" s="8" t="s">
        <v>277</v>
      </c>
      <c r="C11" s="9">
        <v>0</v>
      </c>
      <c r="D11" s="10">
        <v>-16.241790000000002</v>
      </c>
      <c r="E11" s="9" t="e">
        <f t="shared" si="2"/>
        <v>#DIV/0!</v>
      </c>
      <c r="F11" s="9">
        <f>SUM(D11-C11)</f>
        <v>-16.241790000000002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5.2305000000000001</v>
      </c>
      <c r="E12" s="5">
        <f t="shared" si="0"/>
        <v>26.1525</v>
      </c>
      <c r="F12" s="5">
        <f t="shared" si="1"/>
        <v>-14.769500000000001</v>
      </c>
    </row>
    <row r="13" spans="1:6" ht="15.75" customHeight="1">
      <c r="A13" s="7">
        <v>1050300000</v>
      </c>
      <c r="B13" s="11" t="s">
        <v>226</v>
      </c>
      <c r="C13" s="12">
        <v>20</v>
      </c>
      <c r="D13" s="10">
        <v>5.2305000000000001</v>
      </c>
      <c r="E13" s="9">
        <f t="shared" si="0"/>
        <v>26.1525</v>
      </c>
      <c r="F13" s="9">
        <f t="shared" si="1"/>
        <v>-14.769500000000001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1435</v>
      </c>
      <c r="D14" s="5">
        <f>D15+D16</f>
        <v>125.89409000000001</v>
      </c>
      <c r="E14" s="5">
        <f t="shared" si="0"/>
        <v>8.7731073170731708</v>
      </c>
      <c r="F14" s="5">
        <f t="shared" si="1"/>
        <v>-1309.10591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56.498269999999998</v>
      </c>
      <c r="E15" s="9">
        <f t="shared" si="0"/>
        <v>14.674875324675323</v>
      </c>
      <c r="F15" s="9">
        <f>SUM(D15-C15)</f>
        <v>-328.50173000000001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69.395820000000001</v>
      </c>
      <c r="E16" s="9">
        <f t="shared" si="0"/>
        <v>6.6091257142857147</v>
      </c>
      <c r="F16" s="9">
        <f t="shared" si="1"/>
        <v>-980.60418000000004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0.9</v>
      </c>
      <c r="E17" s="5">
        <f t="shared" si="0"/>
        <v>11.25</v>
      </c>
      <c r="F17" s="5">
        <f t="shared" si="1"/>
        <v>-7.1</v>
      </c>
    </row>
    <row r="18" spans="1:6" ht="18" customHeight="1">
      <c r="A18" s="7">
        <v>1080400001</v>
      </c>
      <c r="B18" s="8" t="s">
        <v>224</v>
      </c>
      <c r="C18" s="9">
        <v>8</v>
      </c>
      <c r="D18" s="10">
        <v>0.9</v>
      </c>
      <c r="E18" s="9">
        <f t="shared" si="0"/>
        <v>11.25</v>
      </c>
      <c r="F18" s="9">
        <f t="shared" si="1"/>
        <v>-7.1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70</v>
      </c>
      <c r="D25" s="5">
        <f>D30+D37+D26+D35</f>
        <v>22.395910000000001</v>
      </c>
      <c r="E25" s="5">
        <f t="shared" si="0"/>
        <v>31.994157142857144</v>
      </c>
      <c r="F25" s="5">
        <f t="shared" si="1"/>
        <v>-47.604089999999999</v>
      </c>
    </row>
    <row r="26" spans="1:6" s="6" customFormat="1" ht="33.75" customHeight="1">
      <c r="A26" s="68">
        <v>1110000000</v>
      </c>
      <c r="B26" s="69" t="s">
        <v>126</v>
      </c>
      <c r="C26" s="5">
        <f>C27+C28</f>
        <v>20</v>
      </c>
      <c r="D26" s="5">
        <f>D27+D28</f>
        <v>10.426259999999999</v>
      </c>
      <c r="E26" s="5">
        <f t="shared" si="0"/>
        <v>52.131299999999989</v>
      </c>
      <c r="F26" s="5">
        <f t="shared" si="1"/>
        <v>-9.5737400000000008</v>
      </c>
    </row>
    <row r="27" spans="1:6" ht="15" customHeight="1">
      <c r="A27" s="16">
        <v>1110502510</v>
      </c>
      <c r="B27" s="17" t="s">
        <v>222</v>
      </c>
      <c r="C27" s="12">
        <v>20</v>
      </c>
      <c r="D27" s="10">
        <v>10.426259999999999</v>
      </c>
      <c r="E27" s="9">
        <f t="shared" si="0"/>
        <v>52.131299999999989</v>
      </c>
      <c r="F27" s="9">
        <f t="shared" si="1"/>
        <v>-9.5737400000000008</v>
      </c>
    </row>
    <row r="28" spans="1:6" ht="15.75" hidden="1" customHeight="1">
      <c r="A28" s="7">
        <v>1110503510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342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128</v>
      </c>
      <c r="C30" s="5">
        <f>C31</f>
        <v>50</v>
      </c>
      <c r="D30" s="5">
        <f>D31</f>
        <v>11.96965</v>
      </c>
      <c r="E30" s="5">
        <f t="shared" si="0"/>
        <v>23.939299999999999</v>
      </c>
      <c r="F30" s="5">
        <f t="shared" si="1"/>
        <v>-38.030349999999999</v>
      </c>
    </row>
    <row r="31" spans="1:6" ht="34.5" customHeight="1">
      <c r="A31" s="7">
        <v>1130206510</v>
      </c>
      <c r="B31" s="8" t="s">
        <v>413</v>
      </c>
      <c r="C31" s="9">
        <v>50</v>
      </c>
      <c r="D31" s="10">
        <v>11.96965</v>
      </c>
      <c r="E31" s="9">
        <f t="shared" si="0"/>
        <v>23.939299999999999</v>
      </c>
      <c r="F31" s="9">
        <f t="shared" si="1"/>
        <v>-38.030349999999999</v>
      </c>
    </row>
    <row r="32" spans="1:6" ht="34.5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34.5" hidden="1" customHeight="1">
      <c r="A33" s="16">
        <v>1140200000</v>
      </c>
      <c r="B33" s="18" t="s">
        <v>218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241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.5" hidden="1" customHeight="1">
      <c r="A36" s="7">
        <v>1163305010</v>
      </c>
      <c r="B36" s="8" t="s">
        <v>256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1170105010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2676</v>
      </c>
      <c r="D40" s="125">
        <f>D4+D25</f>
        <v>455.13663000000003</v>
      </c>
      <c r="E40" s="5">
        <f t="shared" si="0"/>
        <v>17.008095291479822</v>
      </c>
      <c r="F40" s="5">
        <f t="shared" si="1"/>
        <v>-2220.86337</v>
      </c>
    </row>
    <row r="41" spans="1:7" s="6" customFormat="1">
      <c r="A41" s="3">
        <v>2000000000</v>
      </c>
      <c r="B41" s="4" t="s">
        <v>17</v>
      </c>
      <c r="C41" s="5">
        <f>C42+C44+C45+C47+C48+C49+C43+C51+C46</f>
        <v>11950.52252</v>
      </c>
      <c r="D41" s="5">
        <f>D42+D44+D45+D47+D48+D49+D43+D51</f>
        <v>1137.4110000000001</v>
      </c>
      <c r="E41" s="5">
        <f t="shared" si="0"/>
        <v>9.517667517018328</v>
      </c>
      <c r="F41" s="5">
        <f t="shared" si="1"/>
        <v>-10813.11152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6">
        <v>857.976</v>
      </c>
      <c r="E42" s="9">
        <f t="shared" si="0"/>
        <v>25.000029138378153</v>
      </c>
      <c r="F42" s="9">
        <f t="shared" si="1"/>
        <v>-2573.924</v>
      </c>
    </row>
    <row r="43" spans="1:7" ht="1.5" customHeight="1">
      <c r="A43" s="16">
        <v>2021500200</v>
      </c>
      <c r="B43" s="17" t="s">
        <v>228</v>
      </c>
      <c r="C43" s="257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4212.85016</v>
      </c>
      <c r="D44" s="10">
        <v>225</v>
      </c>
      <c r="E44" s="9">
        <f t="shared" si="0"/>
        <v>5.3408023417571542</v>
      </c>
      <c r="F44" s="9">
        <f t="shared" si="1"/>
        <v>-3987.85016</v>
      </c>
    </row>
    <row r="45" spans="1:7" ht="15.75" customHeight="1">
      <c r="A45" s="16">
        <v>2023000000</v>
      </c>
      <c r="B45" s="17" t="s">
        <v>20</v>
      </c>
      <c r="C45" s="12">
        <v>235.76499999999999</v>
      </c>
      <c r="D45" s="180">
        <v>54.435000000000002</v>
      </c>
      <c r="E45" s="9">
        <f t="shared" si="0"/>
        <v>23.088668801560878</v>
      </c>
      <c r="F45" s="9">
        <f t="shared" si="1"/>
        <v>-181.32999999999998</v>
      </c>
    </row>
    <row r="46" spans="1:7" ht="15.75" customHeight="1">
      <c r="A46" s="16">
        <v>2070503010</v>
      </c>
      <c r="B46" s="17" t="s">
        <v>257</v>
      </c>
      <c r="C46" s="12">
        <v>287.08235999999999</v>
      </c>
      <c r="D46" s="180">
        <v>0</v>
      </c>
      <c r="E46" s="9">
        <f t="shared" si="0"/>
        <v>0</v>
      </c>
      <c r="F46" s="9">
        <f t="shared" si="1"/>
        <v>-287.08235999999999</v>
      </c>
    </row>
    <row r="47" spans="1:7" ht="16.5" customHeight="1">
      <c r="A47" s="16">
        <v>2024000000</v>
      </c>
      <c r="B47" s="17" t="s">
        <v>21</v>
      </c>
      <c r="C47" s="12">
        <v>3782.9250000000002</v>
      </c>
      <c r="D47" s="181"/>
      <c r="E47" s="9">
        <f t="shared" si="0"/>
        <v>0</v>
      </c>
      <c r="F47" s="9">
        <f t="shared" si="1"/>
        <v>-3782.9250000000002</v>
      </c>
    </row>
    <row r="48" spans="1:7" ht="27.75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20.2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289</v>
      </c>
      <c r="C51" s="212">
        <v>0</v>
      </c>
      <c r="D51" s="213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3">
        <f>SUM(C40,C41,C50)</f>
        <v>14626.52252</v>
      </c>
      <c r="D52" s="244">
        <f>D40+D41</f>
        <v>1592.54763</v>
      </c>
      <c r="E52" s="5">
        <f t="shared" si="0"/>
        <v>10.888081072055122</v>
      </c>
      <c r="F52" s="5">
        <f t="shared" si="1"/>
        <v>-13033.974890000001</v>
      </c>
      <c r="G52" s="93"/>
      <c r="H52" s="193"/>
    </row>
    <row r="53" spans="1:8" s="6" customFormat="1">
      <c r="A53" s="3"/>
      <c r="B53" s="21" t="s">
        <v>307</v>
      </c>
      <c r="C53" s="268">
        <f>C52-C99</f>
        <v>-455.7468200000003</v>
      </c>
      <c r="D53" s="268">
        <f>D52-D99</f>
        <v>310.82383000000004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410</v>
      </c>
      <c r="D55" s="472" t="s">
        <v>415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1726.4121299999999</v>
      </c>
      <c r="D57" s="33">
        <f>D58+D59+D60+D61+D62+D64+D63</f>
        <v>323.64841999999999</v>
      </c>
      <c r="E57" s="34">
        <f>SUM(D57/C57*100)</f>
        <v>18.7468805609006</v>
      </c>
      <c r="F57" s="34">
        <f>SUM(D57-C57)</f>
        <v>-1402.7637099999999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1648.8</v>
      </c>
      <c r="D59" s="37">
        <v>318.64242000000002</v>
      </c>
      <c r="E59" s="38">
        <f t="shared" ref="E59:E99" si="3">SUM(D59/C59*100)</f>
        <v>19.325716885007278</v>
      </c>
      <c r="F59" s="38">
        <f t="shared" ref="F59:F99" si="4">SUM(D59-C59)</f>
        <v>-1330.1575800000001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8" ht="15" customHeight="1">
      <c r="A64" s="35" t="s">
        <v>41</v>
      </c>
      <c r="B64" s="39" t="s">
        <v>42</v>
      </c>
      <c r="C64" s="37">
        <v>67.612129999999993</v>
      </c>
      <c r="D64" s="37">
        <v>5.0060000000000002</v>
      </c>
      <c r="E64" s="38">
        <f t="shared" si="3"/>
        <v>7.4039968863575236</v>
      </c>
      <c r="F64" s="38">
        <f t="shared" si="4"/>
        <v>-62.606129999999993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41.669559999999997</v>
      </c>
      <c r="E65" s="34">
        <f t="shared" si="3"/>
        <v>17.67419252221492</v>
      </c>
      <c r="F65" s="34">
        <f t="shared" si="4"/>
        <v>-194.09544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41.669559999999997</v>
      </c>
      <c r="E66" s="38">
        <f t="shared" si="3"/>
        <v>17.67419252221492</v>
      </c>
      <c r="F66" s="38">
        <f t="shared" si="4"/>
        <v>-194.09544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25</v>
      </c>
      <c r="D67" s="32">
        <f>D71+D70+D72</f>
        <v>4.5</v>
      </c>
      <c r="E67" s="34">
        <f t="shared" si="3"/>
        <v>18</v>
      </c>
      <c r="F67" s="34">
        <f t="shared" si="4"/>
        <v>-20.5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20</v>
      </c>
      <c r="D71" s="37">
        <v>2.5</v>
      </c>
      <c r="E71" s="34">
        <f t="shared" si="3"/>
        <v>12.5</v>
      </c>
      <c r="F71" s="34">
        <f t="shared" si="4"/>
        <v>-17.5</v>
      </c>
    </row>
    <row r="72" spans="1:7" ht="15.75" customHeight="1">
      <c r="A72" s="46" t="s">
        <v>340</v>
      </c>
      <c r="B72" s="47" t="s">
        <v>343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24" customHeight="1">
      <c r="A73" s="30" t="s">
        <v>55</v>
      </c>
      <c r="B73" s="31" t="s">
        <v>56</v>
      </c>
      <c r="C73" s="48">
        <f>C74+C75+C76+C77</f>
        <v>5647.90834</v>
      </c>
      <c r="D73" s="48">
        <f>SUM(D74:D77)</f>
        <v>250</v>
      </c>
      <c r="E73" s="34">
        <f t="shared" si="3"/>
        <v>4.4264174443029294</v>
      </c>
      <c r="F73" s="34">
        <f t="shared" si="4"/>
        <v>-5397.90834</v>
      </c>
    </row>
    <row r="74" spans="1:7" ht="16.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7.25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5467.90834</v>
      </c>
      <c r="D76" s="37">
        <v>250</v>
      </c>
      <c r="E76" s="38">
        <f t="shared" si="3"/>
        <v>4.5721322387785301</v>
      </c>
      <c r="F76" s="38">
        <f t="shared" si="4"/>
        <v>-5217.90834</v>
      </c>
    </row>
    <row r="77" spans="1:7">
      <c r="A77" s="35" t="s">
        <v>63</v>
      </c>
      <c r="B77" s="39" t="s">
        <v>64</v>
      </c>
      <c r="C77" s="49">
        <v>180</v>
      </c>
      <c r="D77" s="37">
        <v>0</v>
      </c>
      <c r="E77" s="38">
        <f t="shared" si="3"/>
        <v>0</v>
      </c>
      <c r="F77" s="38">
        <f t="shared" si="4"/>
        <v>-180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5211.3968700000005</v>
      </c>
      <c r="D78" s="32">
        <f>SUM(D79:D81)</f>
        <v>307.39451000000003</v>
      </c>
      <c r="E78" s="34">
        <f t="shared" si="3"/>
        <v>5.8985050969645307</v>
      </c>
      <c r="F78" s="34">
        <f t="shared" si="4"/>
        <v>-4904.0023600000004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4.25" customHeight="1">
      <c r="A80" s="35" t="s">
        <v>69</v>
      </c>
      <c r="B80" s="51" t="s">
        <v>70</v>
      </c>
      <c r="C80" s="37">
        <v>3140</v>
      </c>
      <c r="D80" s="37">
        <v>142.80000000000001</v>
      </c>
      <c r="E80" s="38">
        <f t="shared" si="3"/>
        <v>4.547770700636943</v>
      </c>
      <c r="F80" s="38">
        <f t="shared" si="4"/>
        <v>-2997.2</v>
      </c>
    </row>
    <row r="81" spans="1:6">
      <c r="A81" s="35" t="s">
        <v>71</v>
      </c>
      <c r="B81" s="39" t="s">
        <v>72</v>
      </c>
      <c r="C81" s="37">
        <v>2071.39687</v>
      </c>
      <c r="D81" s="37">
        <v>164.59451000000001</v>
      </c>
      <c r="E81" s="38">
        <f>SUM(D81/C81*100)</f>
        <v>7.9460634697203156</v>
      </c>
      <c r="F81" s="38">
        <f t="shared" si="4"/>
        <v>-1906.8023600000001</v>
      </c>
    </row>
    <row r="82" spans="1:6" s="6" customFormat="1">
      <c r="A82" s="30" t="s">
        <v>83</v>
      </c>
      <c r="B82" s="31" t="s">
        <v>84</v>
      </c>
      <c r="C82" s="32">
        <f>C83</f>
        <v>2213.7869999999998</v>
      </c>
      <c r="D82" s="32">
        <f>SUM(D83)</f>
        <v>342.58631000000003</v>
      </c>
      <c r="E82" s="34">
        <f t="shared" si="3"/>
        <v>15.475125204005627</v>
      </c>
      <c r="F82" s="34">
        <f t="shared" si="4"/>
        <v>-1871.2006899999997</v>
      </c>
    </row>
    <row r="83" spans="1:6" ht="18.75" customHeight="1">
      <c r="A83" s="35" t="s">
        <v>85</v>
      </c>
      <c r="B83" s="39" t="s">
        <v>230</v>
      </c>
      <c r="C83" s="37">
        <v>2213.7869999999998</v>
      </c>
      <c r="D83" s="37">
        <v>342.58631000000003</v>
      </c>
      <c r="E83" s="38">
        <f t="shared" si="3"/>
        <v>15.475125204005627</v>
      </c>
      <c r="F83" s="38">
        <f t="shared" si="4"/>
        <v>-1871.2006899999997</v>
      </c>
    </row>
    <row r="84" spans="1:6" s="6" customFormat="1" ht="0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90</v>
      </c>
      <c r="B88" s="39" t="s">
        <v>91</v>
      </c>
      <c r="C88" s="37"/>
      <c r="D88" s="37"/>
      <c r="E88" s="38"/>
      <c r="F88" s="38">
        <f t="shared" si="4"/>
        <v>0</v>
      </c>
    </row>
    <row r="89" spans="1:6">
      <c r="A89" s="30" t="s">
        <v>92</v>
      </c>
      <c r="B89" s="31" t="s">
        <v>93</v>
      </c>
      <c r="C89" s="32">
        <f>C90+C91+C92+C93+C94</f>
        <v>22</v>
      </c>
      <c r="D89" s="32">
        <f>D90+D91+D92+D93+D94</f>
        <v>11.925000000000001</v>
      </c>
      <c r="E89" s="38">
        <f t="shared" si="3"/>
        <v>54.20454545454546</v>
      </c>
      <c r="F89" s="22">
        <f>F90+F91+F92+F93+F94</f>
        <v>-10.074999999999999</v>
      </c>
    </row>
    <row r="90" spans="1:6" ht="17.25" customHeight="1">
      <c r="A90" s="35" t="s">
        <v>94</v>
      </c>
      <c r="B90" s="39" t="s">
        <v>95</v>
      </c>
      <c r="C90" s="37">
        <v>22</v>
      </c>
      <c r="D90" s="37">
        <v>11.925000000000001</v>
      </c>
      <c r="E90" s="38">
        <f t="shared" si="3"/>
        <v>54.20454545454546</v>
      </c>
      <c r="F90" s="38">
        <f>SUM(D90-C90)</f>
        <v>-10.074999999999999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116</v>
      </c>
      <c r="C99" s="249">
        <f>C57+C65+C67+C73+C78+C82+C84+C89+C95</f>
        <v>15082.269340000001</v>
      </c>
      <c r="D99" s="249">
        <f>D57+D65+D67+D73+D78+D82+D84+D89+D95</f>
        <v>1281.7238</v>
      </c>
      <c r="E99" s="34">
        <f t="shared" si="3"/>
        <v>8.4982158261868026</v>
      </c>
      <c r="F99" s="34">
        <f t="shared" si="4"/>
        <v>-13800.545540000001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117</v>
      </c>
      <c r="B101" s="63"/>
      <c r="C101" s="132"/>
      <c r="D101" s="132"/>
    </row>
    <row r="102" spans="1:8" s="65" customFormat="1" ht="12.75">
      <c r="A102" s="66" t="s">
        <v>118</v>
      </c>
      <c r="B102" s="66"/>
      <c r="C102" s="117" t="s">
        <v>119</v>
      </c>
    </row>
    <row r="104" spans="1:8" ht="5.25" customHeight="1"/>
    <row r="143" hidden="1"/>
  </sheetData>
  <customSheetViews>
    <customSheetView guid="{E6F84523-F47F-492E-BB0B-0D2156A983B1}" scale="70" showPageBreaks="1" printArea="1" hiddenRows="1" state="hidden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3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5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topLeftCell="A29" zoomScale="70" zoomScaleNormal="100" zoomScaleSheetLayoutView="70" workbookViewId="0">
      <selection activeCell="D79" sqref="D79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6" t="s">
        <v>431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47.25" customHeight="1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200.70354</v>
      </c>
      <c r="E4" s="5">
        <f>SUM(D4/C4*100)</f>
        <v>13.15243581174065</v>
      </c>
      <c r="F4" s="5">
        <f>SUM(D4-C4)</f>
        <v>-1325.27646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20.907820000000001</v>
      </c>
      <c r="E5" s="5">
        <f t="shared" ref="E5:E48" si="0">SUM(D5/C5*100)</f>
        <v>17.423183333333334</v>
      </c>
      <c r="F5" s="5">
        <f t="shared" ref="F5:F48" si="1">SUM(D5-C5)</f>
        <v>-99.092179999999999</v>
      </c>
    </row>
    <row r="6" spans="1:6">
      <c r="A6" s="7">
        <v>1010200001</v>
      </c>
      <c r="B6" s="8" t="s">
        <v>225</v>
      </c>
      <c r="C6" s="9">
        <v>120</v>
      </c>
      <c r="D6" s="10">
        <v>20.907820000000001</v>
      </c>
      <c r="E6" s="9">
        <f t="shared" ref="E6:E11" si="2">SUM(D6/C6*100)</f>
        <v>17.423183333333334</v>
      </c>
      <c r="F6" s="9">
        <f t="shared" si="1"/>
        <v>-99.092179999999999</v>
      </c>
    </row>
    <row r="7" spans="1:6" ht="31.5">
      <c r="A7" s="3">
        <v>1030000000</v>
      </c>
      <c r="B7" s="13" t="s">
        <v>267</v>
      </c>
      <c r="C7" s="5">
        <f>C8+C10+C9</f>
        <v>547.98</v>
      </c>
      <c r="D7" s="5">
        <f>D8+D10+D9+D11</f>
        <v>144.79320000000001</v>
      </c>
      <c r="E7" s="5">
        <f t="shared" si="2"/>
        <v>26.423081134347971</v>
      </c>
      <c r="F7" s="5">
        <f t="shared" si="1"/>
        <v>-403.18680000000001</v>
      </c>
    </row>
    <row r="8" spans="1:6">
      <c r="A8" s="7">
        <v>1030223001</v>
      </c>
      <c r="B8" s="8" t="s">
        <v>269</v>
      </c>
      <c r="C8" s="9">
        <v>204.39599999999999</v>
      </c>
      <c r="D8" s="10">
        <v>69.537610000000001</v>
      </c>
      <c r="E8" s="9">
        <f t="shared" si="2"/>
        <v>34.021022916299735</v>
      </c>
      <c r="F8" s="9">
        <f t="shared" si="1"/>
        <v>-134.85838999999999</v>
      </c>
    </row>
    <row r="9" spans="1:6">
      <c r="A9" s="7">
        <v>1030224001</v>
      </c>
      <c r="B9" s="8" t="s">
        <v>275</v>
      </c>
      <c r="C9" s="9">
        <v>2.1920000000000002</v>
      </c>
      <c r="D9" s="10">
        <v>0.44558999999999999</v>
      </c>
      <c r="E9" s="9">
        <f t="shared" si="2"/>
        <v>20.328010948905106</v>
      </c>
      <c r="F9" s="9">
        <f t="shared" si="1"/>
        <v>-1.7464100000000002</v>
      </c>
    </row>
    <row r="10" spans="1:6">
      <c r="A10" s="7">
        <v>1030225001</v>
      </c>
      <c r="B10" s="8" t="s">
        <v>268</v>
      </c>
      <c r="C10" s="9">
        <v>341.392</v>
      </c>
      <c r="D10" s="10">
        <v>84.13937</v>
      </c>
      <c r="E10" s="9">
        <f t="shared" si="2"/>
        <v>24.645970028588838</v>
      </c>
      <c r="F10" s="9">
        <f t="shared" si="1"/>
        <v>-257.25263000000001</v>
      </c>
    </row>
    <row r="11" spans="1:6">
      <c r="A11" s="7">
        <v>1030226001</v>
      </c>
      <c r="B11" s="8" t="s">
        <v>277</v>
      </c>
      <c r="C11" s="9">
        <v>0</v>
      </c>
      <c r="D11" s="10">
        <v>-9.3293700000000008</v>
      </c>
      <c r="E11" s="9" t="e">
        <f t="shared" si="2"/>
        <v>#DIV/0!</v>
      </c>
      <c r="F11" s="9">
        <f t="shared" si="1"/>
        <v>-9.3293700000000008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3">
        <v>1060000000</v>
      </c>
      <c r="B14" s="4" t="s">
        <v>133</v>
      </c>
      <c r="C14" s="5">
        <f>C15+C16</f>
        <v>843</v>
      </c>
      <c r="D14" s="5">
        <f>D15+D16</f>
        <v>34.352519999999998</v>
      </c>
      <c r="E14" s="5">
        <f t="shared" si="0"/>
        <v>4.0750320284697512</v>
      </c>
      <c r="F14" s="5">
        <f t="shared" si="1"/>
        <v>-808.64747999999997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1.23664</v>
      </c>
      <c r="E15" s="9">
        <f t="shared" si="0"/>
        <v>0.38286068111455107</v>
      </c>
      <c r="F15" s="9">
        <f>SUM(D15-C15)</f>
        <v>-321.76335999999998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33.115879999999997</v>
      </c>
      <c r="E16" s="9">
        <f t="shared" si="0"/>
        <v>6.3684384615384619</v>
      </c>
      <c r="F16" s="9">
        <f t="shared" si="1"/>
        <v>-486.88412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0.65</v>
      </c>
      <c r="E17" s="5">
        <f t="shared" si="0"/>
        <v>13</v>
      </c>
      <c r="F17" s="5">
        <f t="shared" si="1"/>
        <v>-4.3499999999999996</v>
      </c>
    </row>
    <row r="18" spans="1:6">
      <c r="A18" s="7">
        <v>1080400001</v>
      </c>
      <c r="B18" s="8" t="s">
        <v>224</v>
      </c>
      <c r="C18" s="9">
        <v>5</v>
      </c>
      <c r="D18" s="10">
        <v>0.65</v>
      </c>
      <c r="E18" s="9">
        <f t="shared" si="0"/>
        <v>13</v>
      </c>
      <c r="F18" s="9">
        <f t="shared" si="1"/>
        <v>-4.3499999999999996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320</v>
      </c>
      <c r="D25" s="5">
        <f>D26+D29+D31+D34</f>
        <v>43.420769999999997</v>
      </c>
      <c r="E25" s="5">
        <f t="shared" si="0"/>
        <v>13.568990625</v>
      </c>
      <c r="F25" s="5">
        <f t="shared" si="1"/>
        <v>-276.57923</v>
      </c>
    </row>
    <row r="26" spans="1:6" s="6" customFormat="1" ht="32.25" customHeight="1">
      <c r="A26" s="3">
        <v>1110000000</v>
      </c>
      <c r="B26" s="13" t="s">
        <v>126</v>
      </c>
      <c r="C26" s="5">
        <f>C27+C28</f>
        <v>320</v>
      </c>
      <c r="D26" s="5">
        <f>D27</f>
        <v>43.420769999999997</v>
      </c>
      <c r="E26" s="5">
        <f t="shared" si="0"/>
        <v>13.568990625</v>
      </c>
      <c r="F26" s="5">
        <f t="shared" si="1"/>
        <v>-276.57923</v>
      </c>
    </row>
    <row r="27" spans="1:6" ht="15" customHeight="1">
      <c r="A27" s="16">
        <v>1110502510</v>
      </c>
      <c r="B27" s="17" t="s">
        <v>222</v>
      </c>
      <c r="C27" s="12">
        <v>320</v>
      </c>
      <c r="D27" s="10">
        <v>43.420769999999997</v>
      </c>
      <c r="E27" s="5">
        <f t="shared" si="0"/>
        <v>13.568990625</v>
      </c>
      <c r="F27" s="9">
        <f t="shared" si="1"/>
        <v>-276.57923</v>
      </c>
    </row>
    <row r="28" spans="1:6" ht="19.5" hidden="1" customHeight="1">
      <c r="A28" s="7">
        <v>1110503505</v>
      </c>
      <c r="B28" s="11" t="s">
        <v>221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129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219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241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18.75" customHeight="1">
      <c r="A35" s="7">
        <v>1163305010</v>
      </c>
      <c r="B35" s="8" t="s">
        <v>256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0.7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16</v>
      </c>
      <c r="C37" s="125">
        <f>SUM(C4,C25)</f>
        <v>1845.98</v>
      </c>
      <c r="D37" s="125">
        <f>D4+D25</f>
        <v>244.12431000000001</v>
      </c>
      <c r="E37" s="5">
        <f t="shared" si="0"/>
        <v>13.224645445779478</v>
      </c>
      <c r="F37" s="5">
        <f t="shared" si="1"/>
        <v>-1601.8556900000001</v>
      </c>
    </row>
    <row r="38" spans="1:8" s="6" customFormat="1">
      <c r="A38" s="3">
        <v>2000000000</v>
      </c>
      <c r="B38" s="4" t="s">
        <v>17</v>
      </c>
      <c r="C38" s="5">
        <f>C39+C41+C42+C44+C45+C46+C40</f>
        <v>11141.773439999999</v>
      </c>
      <c r="D38" s="5">
        <f>D39+D41+D42+D44+D45+D46+D40</f>
        <v>559.49400000000003</v>
      </c>
      <c r="E38" s="5">
        <f t="shared" si="0"/>
        <v>5.0215883765089382</v>
      </c>
      <c r="F38" s="5">
        <f t="shared" si="1"/>
        <v>-10582.279439999998</v>
      </c>
      <c r="G38" s="19"/>
    </row>
    <row r="39" spans="1:8" ht="14.25" customHeight="1">
      <c r="A39" s="16">
        <v>2021000000</v>
      </c>
      <c r="B39" s="17" t="s">
        <v>18</v>
      </c>
      <c r="C39" s="12">
        <v>2129.1</v>
      </c>
      <c r="D39" s="256">
        <v>532.27499999999998</v>
      </c>
      <c r="E39" s="9">
        <f t="shared" si="0"/>
        <v>25</v>
      </c>
      <c r="F39" s="9">
        <f t="shared" si="1"/>
        <v>-1596.8249999999998</v>
      </c>
    </row>
    <row r="40" spans="1:8" ht="15.75" hidden="1" customHeight="1">
      <c r="A40" s="16">
        <v>2021500200</v>
      </c>
      <c r="B40" s="17" t="s">
        <v>228</v>
      </c>
      <c r="C40" s="12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12">
        <v>5635.3174399999998</v>
      </c>
      <c r="D41" s="10">
        <v>0</v>
      </c>
      <c r="E41" s="9">
        <f t="shared" si="0"/>
        <v>0</v>
      </c>
      <c r="F41" s="9">
        <f t="shared" si="1"/>
        <v>-5635.3174399999998</v>
      </c>
    </row>
    <row r="42" spans="1:8" ht="13.5" customHeight="1">
      <c r="A42" s="16">
        <v>2023000000</v>
      </c>
      <c r="B42" s="17" t="s">
        <v>20</v>
      </c>
      <c r="C42" s="12">
        <v>94.305999999999997</v>
      </c>
      <c r="D42" s="180">
        <v>27.219000000000001</v>
      </c>
      <c r="E42" s="9">
        <f t="shared" si="0"/>
        <v>28.862426568829129</v>
      </c>
      <c r="F42" s="9">
        <f t="shared" si="1"/>
        <v>-67.086999999999989</v>
      </c>
    </row>
    <row r="43" spans="1:8" hidden="1">
      <c r="A43" s="16">
        <v>2070503010</v>
      </c>
      <c r="B43" s="17" t="s">
        <v>257</v>
      </c>
      <c r="C43" s="12">
        <v>0</v>
      </c>
      <c r="D43" s="180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2024000000</v>
      </c>
      <c r="B44" s="17" t="s">
        <v>21</v>
      </c>
      <c r="C44" s="12">
        <v>2407.203</v>
      </c>
      <c r="D44" s="181">
        <v>0</v>
      </c>
      <c r="E44" s="9">
        <f t="shared" si="0"/>
        <v>0</v>
      </c>
      <c r="F44" s="9">
        <f t="shared" si="1"/>
        <v>-2407.203</v>
      </c>
    </row>
    <row r="45" spans="1:8" ht="18" customHeight="1">
      <c r="A45" s="16">
        <v>2070500000</v>
      </c>
      <c r="B45" s="18" t="s">
        <v>284</v>
      </c>
      <c r="C45" s="12">
        <v>875.84699999999998</v>
      </c>
      <c r="D45" s="181">
        <v>0</v>
      </c>
      <c r="E45" s="9">
        <f>SUM(D45/C45*100)</f>
        <v>0</v>
      </c>
      <c r="F45" s="9">
        <f t="shared" si="1"/>
        <v>-875.84699999999998</v>
      </c>
      <c r="G45" s="240"/>
      <c r="H45" s="240"/>
    </row>
    <row r="46" spans="1:8" ht="15.75" hidden="1" customHeight="1">
      <c r="A46" s="7">
        <v>2190500005</v>
      </c>
      <c r="B46" s="11" t="s">
        <v>23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24</v>
      </c>
      <c r="C47" s="18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25</v>
      </c>
      <c r="C48" s="435">
        <f>SUM(C37,C38,C47)</f>
        <v>12987.753439999999</v>
      </c>
      <c r="D48" s="436">
        <f>D37+D38</f>
        <v>803.61831000000006</v>
      </c>
      <c r="E48" s="5">
        <f t="shared" si="0"/>
        <v>6.1875082069620824</v>
      </c>
      <c r="F48" s="5">
        <f t="shared" si="1"/>
        <v>-12184.135129999999</v>
      </c>
      <c r="G48" s="193"/>
      <c r="H48" s="193"/>
    </row>
    <row r="49" spans="1:6" s="6" customFormat="1">
      <c r="A49" s="3"/>
      <c r="B49" s="21" t="s">
        <v>307</v>
      </c>
      <c r="C49" s="243">
        <f>C48-C95</f>
        <v>-315.5913500000006</v>
      </c>
      <c r="D49" s="243">
        <f>D48-D95</f>
        <v>319.74524000000008</v>
      </c>
      <c r="E49" s="22"/>
      <c r="F49" s="22"/>
    </row>
    <row r="50" spans="1:6" ht="8.25" customHeight="1">
      <c r="A50" s="23"/>
      <c r="B50" s="24"/>
      <c r="C50" s="211"/>
      <c r="D50" s="211"/>
      <c r="E50" s="26"/>
      <c r="F50" s="27"/>
    </row>
    <row r="51" spans="1:6" ht="50.25" customHeight="1">
      <c r="A51" s="28" t="s">
        <v>0</v>
      </c>
      <c r="B51" s="28" t="s">
        <v>26</v>
      </c>
      <c r="C51" s="72" t="s">
        <v>410</v>
      </c>
      <c r="D51" s="472" t="s">
        <v>415</v>
      </c>
      <c r="E51" s="72" t="s">
        <v>2</v>
      </c>
      <c r="F51" s="73" t="s">
        <v>3</v>
      </c>
    </row>
    <row r="52" spans="1:6" ht="18" customHeight="1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>
      <c r="A53" s="30" t="s">
        <v>27</v>
      </c>
      <c r="B53" s="31" t="s">
        <v>28</v>
      </c>
      <c r="C53" s="32">
        <f>C54+C55+C56+C57+C58+C60+C59</f>
        <v>1487.9199999999998</v>
      </c>
      <c r="D53" s="32">
        <f>D54+D55+D56+D57+D58+D60+D59</f>
        <v>199.25842</v>
      </c>
      <c r="E53" s="34">
        <f>SUM(D53/C53*100)</f>
        <v>13.391742835636325</v>
      </c>
      <c r="F53" s="34">
        <f>SUM(D53-C53)</f>
        <v>-1288.66158</v>
      </c>
    </row>
    <row r="54" spans="1:6" s="6" customFormat="1" ht="31.5" hidden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1474.3</v>
      </c>
      <c r="D55" s="37">
        <v>195.63842</v>
      </c>
      <c r="E55" s="38">
        <f t="shared" ref="E55:E95" si="3">SUM(D55/C55*100)</f>
        <v>13.269919283727871</v>
      </c>
      <c r="F55" s="38">
        <f t="shared" ref="F55:F95" si="4">SUM(D55-C55)</f>
        <v>-1278.66158</v>
      </c>
    </row>
    <row r="56" spans="1:6" ht="16.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35</v>
      </c>
      <c r="B57" s="39" t="s">
        <v>36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18.75" customHeight="1">
      <c r="A58" s="35" t="s">
        <v>37</v>
      </c>
      <c r="B58" s="39" t="s">
        <v>38</v>
      </c>
      <c r="C58" s="37"/>
      <c r="D58" s="37">
        <v>0</v>
      </c>
      <c r="E58" s="38" t="e">
        <f t="shared" si="3"/>
        <v>#DIV/0!</v>
      </c>
      <c r="F58" s="38">
        <f t="shared" si="4"/>
        <v>0</v>
      </c>
    </row>
    <row r="59" spans="1:6" ht="13.5" customHeight="1">
      <c r="A59" s="35" t="s">
        <v>39</v>
      </c>
      <c r="B59" s="39" t="s">
        <v>40</v>
      </c>
      <c r="C59" s="40">
        <v>10</v>
      </c>
      <c r="D59" s="40">
        <v>0</v>
      </c>
      <c r="E59" s="38">
        <f t="shared" si="3"/>
        <v>0</v>
      </c>
      <c r="F59" s="38">
        <f t="shared" si="4"/>
        <v>-10</v>
      </c>
    </row>
    <row r="60" spans="1:6" ht="15.75" customHeight="1">
      <c r="A60" s="35" t="s">
        <v>41</v>
      </c>
      <c r="B60" s="39" t="s">
        <v>42</v>
      </c>
      <c r="C60" s="37">
        <v>3.62</v>
      </c>
      <c r="D60" s="37">
        <v>3.62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43</v>
      </c>
      <c r="B61" s="42" t="s">
        <v>44</v>
      </c>
      <c r="C61" s="32">
        <f>C62</f>
        <v>94.305999999999997</v>
      </c>
      <c r="D61" s="32">
        <f>D62</f>
        <v>0</v>
      </c>
      <c r="E61" s="34">
        <f t="shared" si="3"/>
        <v>0</v>
      </c>
      <c r="F61" s="34">
        <f t="shared" si="4"/>
        <v>-94.305999999999997</v>
      </c>
    </row>
    <row r="62" spans="1:6">
      <c r="A62" s="43" t="s">
        <v>45</v>
      </c>
      <c r="B62" s="44" t="s">
        <v>46</v>
      </c>
      <c r="C62" s="37">
        <v>94.305999999999997</v>
      </c>
      <c r="D62" s="37"/>
      <c r="E62" s="38">
        <f t="shared" si="3"/>
        <v>0</v>
      </c>
      <c r="F62" s="38">
        <f t="shared" si="4"/>
        <v>-94.305999999999997</v>
      </c>
    </row>
    <row r="63" spans="1:6" s="6" customFormat="1" ht="16.5" customHeight="1">
      <c r="A63" s="30" t="s">
        <v>47</v>
      </c>
      <c r="B63" s="31" t="s">
        <v>48</v>
      </c>
      <c r="C63" s="32">
        <f>C67+C66+C68</f>
        <v>16.8</v>
      </c>
      <c r="D63" s="32">
        <f>D67+D66+D68</f>
        <v>1.5</v>
      </c>
      <c r="E63" s="34">
        <f t="shared" si="3"/>
        <v>8.9285714285714288</v>
      </c>
      <c r="F63" s="34">
        <f t="shared" si="4"/>
        <v>-15.3</v>
      </c>
    </row>
    <row r="64" spans="1:6" hidden="1">
      <c r="A64" s="35" t="s">
        <v>49</v>
      </c>
      <c r="B64" s="39" t="s">
        <v>50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51</v>
      </c>
      <c r="B65" s="39" t="s">
        <v>52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53</v>
      </c>
      <c r="B66" s="47" t="s">
        <v>54</v>
      </c>
      <c r="C66" s="95">
        <v>2.8</v>
      </c>
      <c r="D66" s="37">
        <v>0</v>
      </c>
      <c r="E66" s="34">
        <f t="shared" si="3"/>
        <v>0</v>
      </c>
      <c r="F66" s="34">
        <f t="shared" si="4"/>
        <v>-2.8</v>
      </c>
    </row>
    <row r="67" spans="1:7" ht="15.75" customHeight="1">
      <c r="A67" s="46" t="s">
        <v>215</v>
      </c>
      <c r="B67" s="47" t="s">
        <v>216</v>
      </c>
      <c r="C67" s="37">
        <v>12</v>
      </c>
      <c r="D67" s="37">
        <v>1.5</v>
      </c>
      <c r="E67" s="34">
        <f t="shared" si="3"/>
        <v>12.5</v>
      </c>
      <c r="F67" s="34">
        <f t="shared" si="4"/>
        <v>-10.5</v>
      </c>
    </row>
    <row r="68" spans="1:7" ht="15.75" customHeight="1">
      <c r="A68" s="46" t="s">
        <v>340</v>
      </c>
      <c r="B68" s="47" t="s">
        <v>341</v>
      </c>
      <c r="C68" s="37">
        <v>2</v>
      </c>
      <c r="D68" s="37">
        <v>0</v>
      </c>
      <c r="E68" s="34"/>
      <c r="F68" s="34"/>
    </row>
    <row r="69" spans="1:7" s="6" customFormat="1">
      <c r="A69" s="30" t="s">
        <v>55</v>
      </c>
      <c r="B69" s="31" t="s">
        <v>56</v>
      </c>
      <c r="C69" s="48">
        <f>SUM(C70:C73)</f>
        <v>1609.6513499999999</v>
      </c>
      <c r="D69" s="48">
        <f>SUM(D70:D73)</f>
        <v>39</v>
      </c>
      <c r="E69" s="34">
        <f t="shared" si="3"/>
        <v>2.4228849309510414</v>
      </c>
      <c r="F69" s="34">
        <f t="shared" si="4"/>
        <v>-1570.6513499999999</v>
      </c>
    </row>
    <row r="70" spans="1:7" ht="15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3"/>
        <v>#DIV/0!</v>
      </c>
      <c r="F70" s="38">
        <f t="shared" si="4"/>
        <v>0</v>
      </c>
    </row>
    <row r="71" spans="1:7" s="6" customFormat="1" ht="18" customHeight="1">
      <c r="A71" s="35" t="s">
        <v>59</v>
      </c>
      <c r="B71" s="39" t="s">
        <v>60</v>
      </c>
      <c r="C71" s="49"/>
      <c r="D71" s="37">
        <v>0</v>
      </c>
      <c r="E71" s="38" t="e">
        <f t="shared" si="3"/>
        <v>#DIV/0!</v>
      </c>
      <c r="F71" s="38">
        <f t="shared" si="4"/>
        <v>0</v>
      </c>
      <c r="G71" s="50"/>
    </row>
    <row r="72" spans="1:7">
      <c r="A72" s="35" t="s">
        <v>61</v>
      </c>
      <c r="B72" s="39" t="s">
        <v>62</v>
      </c>
      <c r="C72" s="49">
        <v>1543.8113499999999</v>
      </c>
      <c r="D72" s="37">
        <v>36.5</v>
      </c>
      <c r="E72" s="38">
        <f t="shared" si="3"/>
        <v>2.3642785111017615</v>
      </c>
      <c r="F72" s="38">
        <f t="shared" si="4"/>
        <v>-1507.3113499999999</v>
      </c>
    </row>
    <row r="73" spans="1:7">
      <c r="A73" s="35" t="s">
        <v>63</v>
      </c>
      <c r="B73" s="39" t="s">
        <v>64</v>
      </c>
      <c r="C73" s="49">
        <v>65.84</v>
      </c>
      <c r="D73" s="37">
        <v>2.5</v>
      </c>
      <c r="E73" s="38">
        <f t="shared" si="3"/>
        <v>3.7970838396111781</v>
      </c>
      <c r="F73" s="38">
        <f t="shared" si="4"/>
        <v>-63.34</v>
      </c>
    </row>
    <row r="74" spans="1:7" s="6" customFormat="1" ht="16.5" customHeight="1">
      <c r="A74" s="30" t="s">
        <v>65</v>
      </c>
      <c r="B74" s="31" t="s">
        <v>66</v>
      </c>
      <c r="C74" s="32">
        <f>SUM(C75:C77)</f>
        <v>8854.7144399999997</v>
      </c>
      <c r="D74" s="32">
        <f>SUM(D76:D77)</f>
        <v>64.53864999999999</v>
      </c>
      <c r="E74" s="34">
        <f t="shared" si="3"/>
        <v>0.72886201398494788</v>
      </c>
      <c r="F74" s="34">
        <f t="shared" si="4"/>
        <v>-8790.1757899999993</v>
      </c>
    </row>
    <row r="75" spans="1:7" hidden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69</v>
      </c>
      <c r="B76" s="51" t="s">
        <v>70</v>
      </c>
      <c r="C76" s="37">
        <v>8558.4644399999997</v>
      </c>
      <c r="D76" s="37">
        <v>2</v>
      </c>
      <c r="E76" s="38">
        <f t="shared" si="3"/>
        <v>2.3368678038229951E-2</v>
      </c>
      <c r="F76" s="38">
        <f t="shared" si="4"/>
        <v>-8556.4644399999997</v>
      </c>
    </row>
    <row r="77" spans="1:7">
      <c r="A77" s="35" t="s">
        <v>71</v>
      </c>
      <c r="B77" s="39" t="s">
        <v>72</v>
      </c>
      <c r="C77" s="37">
        <v>296.25</v>
      </c>
      <c r="D77" s="37">
        <v>62.538649999999997</v>
      </c>
      <c r="E77" s="38">
        <f>SUM(D77/C77*100)</f>
        <v>21.110092827004216</v>
      </c>
      <c r="F77" s="38">
        <f t="shared" si="4"/>
        <v>-233.71135000000001</v>
      </c>
    </row>
    <row r="78" spans="1:7" s="6" customFormat="1">
      <c r="A78" s="30" t="s">
        <v>83</v>
      </c>
      <c r="B78" s="31" t="s">
        <v>84</v>
      </c>
      <c r="C78" s="32">
        <f>C79</f>
        <v>1224.953</v>
      </c>
      <c r="D78" s="32">
        <f>SUM(D79)</f>
        <v>177.02600000000001</v>
      </c>
      <c r="E78" s="34">
        <f t="shared" si="3"/>
        <v>14.451656512535585</v>
      </c>
      <c r="F78" s="34">
        <f t="shared" si="4"/>
        <v>-1047.9269999999999</v>
      </c>
    </row>
    <row r="79" spans="1:7" ht="20.25" customHeight="1">
      <c r="A79" s="35" t="s">
        <v>85</v>
      </c>
      <c r="B79" s="39" t="s">
        <v>230</v>
      </c>
      <c r="C79" s="37">
        <v>1224.953</v>
      </c>
      <c r="D79" s="37">
        <v>177.02600000000001</v>
      </c>
      <c r="E79" s="38">
        <f t="shared" si="3"/>
        <v>14.451656512535585</v>
      </c>
      <c r="F79" s="38">
        <f t="shared" si="4"/>
        <v>-1047.9269999999999</v>
      </c>
    </row>
    <row r="80" spans="1:7" s="6" customFormat="1" ht="0.75" customHeight="1">
      <c r="A80" s="52">
        <v>1000</v>
      </c>
      <c r="B80" s="31" t="s">
        <v>86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87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88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89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90</v>
      </c>
      <c r="B84" s="39" t="s">
        <v>91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92</v>
      </c>
      <c r="B85" s="31" t="s">
        <v>93</v>
      </c>
      <c r="C85" s="32">
        <f>C86+C87+C88+C89+C90</f>
        <v>15</v>
      </c>
      <c r="D85" s="32">
        <f>D86+D87+D88+D89+D90</f>
        <v>2.5499999999999998</v>
      </c>
      <c r="E85" s="38">
        <f t="shared" si="3"/>
        <v>17</v>
      </c>
      <c r="F85" s="22">
        <f>F86+F87+F88+F89+F90</f>
        <v>-12.45</v>
      </c>
    </row>
    <row r="86" spans="1:6" ht="15" customHeight="1">
      <c r="A86" s="35" t="s">
        <v>94</v>
      </c>
      <c r="B86" s="39" t="s">
        <v>95</v>
      </c>
      <c r="C86" s="230">
        <v>15</v>
      </c>
      <c r="D86" s="230">
        <v>2.5499999999999998</v>
      </c>
      <c r="E86" s="38">
        <f t="shared" si="3"/>
        <v>17</v>
      </c>
      <c r="F86" s="38">
        <f>SUM(D86-C86)</f>
        <v>-12.45</v>
      </c>
    </row>
    <row r="87" spans="1:6" ht="15.75" hidden="1" customHeight="1">
      <c r="A87" s="35" t="s">
        <v>96</v>
      </c>
      <c r="B87" s="39" t="s">
        <v>97</v>
      </c>
      <c r="C87" s="230"/>
      <c r="D87" s="230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98</v>
      </c>
      <c r="B88" s="39" t="s">
        <v>99</v>
      </c>
      <c r="C88" s="230"/>
      <c r="D88" s="230"/>
      <c r="E88" s="38" t="e">
        <f t="shared" si="3"/>
        <v>#DIV/0!</v>
      </c>
      <c r="F88" s="38"/>
    </row>
    <row r="89" spans="1:6" ht="15.75" hidden="1" customHeight="1">
      <c r="A89" s="35" t="s">
        <v>100</v>
      </c>
      <c r="B89" s="39" t="s">
        <v>101</v>
      </c>
      <c r="C89" s="230"/>
      <c r="D89" s="230"/>
      <c r="E89" s="38" t="e">
        <f t="shared" si="3"/>
        <v>#DIV/0!</v>
      </c>
      <c r="F89" s="38"/>
    </row>
    <row r="90" spans="1:6" ht="15.75" hidden="1" customHeight="1">
      <c r="A90" s="35" t="s">
        <v>102</v>
      </c>
      <c r="B90" s="39" t="s">
        <v>103</v>
      </c>
      <c r="C90" s="230"/>
      <c r="D90" s="230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112</v>
      </c>
      <c r="C91" s="231">
        <f>C92+C93+C94</f>
        <v>0</v>
      </c>
      <c r="D91" s="231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113</v>
      </c>
      <c r="C92" s="232"/>
      <c r="D92" s="230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114</v>
      </c>
      <c r="C93" s="232"/>
      <c r="D93" s="230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115</v>
      </c>
      <c r="C94" s="233">
        <v>0</v>
      </c>
      <c r="D94" s="234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116</v>
      </c>
      <c r="C95" s="436">
        <f>C53+C61+C63+C69+C74+C78+C85</f>
        <v>13303.344789999999</v>
      </c>
      <c r="D95" s="436">
        <f>D53+D61+D63+D69+D74+D78+D85</f>
        <v>483.87306999999998</v>
      </c>
      <c r="E95" s="34">
        <f t="shared" si="3"/>
        <v>3.6372286642057334</v>
      </c>
      <c r="F95" s="34">
        <f t="shared" si="4"/>
        <v>-12819.47172</v>
      </c>
    </row>
    <row r="96" spans="1:6" ht="16.5" customHeight="1">
      <c r="C96" s="124"/>
      <c r="D96" s="100"/>
    </row>
    <row r="97" spans="1:4" s="111" customFormat="1" ht="20.25" customHeight="1">
      <c r="A97" s="109" t="s">
        <v>117</v>
      </c>
      <c r="B97" s="109"/>
      <c r="C97" s="127"/>
      <c r="D97" s="110"/>
    </row>
    <row r="98" spans="1:4" s="111" customFormat="1" ht="13.5" customHeight="1">
      <c r="A98" s="112" t="s">
        <v>118</v>
      </c>
      <c r="B98" s="112"/>
      <c r="C98" s="116" t="s">
        <v>119</v>
      </c>
    </row>
    <row r="100" spans="1:4" ht="5.25" customHeight="1"/>
  </sheetData>
  <customSheetViews>
    <customSheetView guid="{E6F84523-F47F-492E-BB0B-0D2156A983B1}" scale="70" showPageBreaks="1" hiddenRows="1" state="hidden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2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3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4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6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7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8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9"/>
    </customSheetView>
    <customSheetView guid="{61528DAC-5C4C-48F4-ADE2-8A724B05A086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zoomScale="70" zoomScaleNormal="100" zoomScaleSheetLayoutView="70" workbookViewId="0">
      <selection activeCell="BR33" sqref="BR33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6.5703125" style="149" customWidth="1"/>
    <col min="5" max="5" width="11.42578125" style="148" customWidth="1"/>
    <col min="6" max="6" width="15.42578125" style="148" customWidth="1"/>
    <col min="7" max="7" width="17.140625" style="148" customWidth="1"/>
    <col min="8" max="8" width="11" style="148" customWidth="1"/>
    <col min="9" max="9" width="15.5703125" style="148" customWidth="1"/>
    <col min="10" max="10" width="17" style="148" customWidth="1"/>
    <col min="11" max="11" width="13" style="148" bestFit="1" customWidth="1"/>
    <col min="12" max="12" width="15.140625" style="148" customWidth="1"/>
    <col min="13" max="13" width="15.42578125" style="148" customWidth="1"/>
    <col min="14" max="14" width="13" style="148" bestFit="1" customWidth="1"/>
    <col min="15" max="15" width="14.140625" style="148" customWidth="1"/>
    <col min="16" max="16" width="15.7109375" style="148" customWidth="1"/>
    <col min="17" max="17" width="10.140625" style="148" customWidth="1"/>
    <col min="18" max="18" width="16.7109375" style="148" bestFit="1" customWidth="1"/>
    <col min="19" max="19" width="17.28515625" style="148" bestFit="1" customWidth="1"/>
    <col min="20" max="20" width="10" style="148" customWidth="1"/>
    <col min="21" max="21" width="13.5703125" style="148" customWidth="1"/>
    <col min="22" max="22" width="14.7109375" style="148" customWidth="1"/>
    <col min="23" max="23" width="12.28515625" style="148" customWidth="1"/>
    <col min="24" max="24" width="15.140625" style="148" customWidth="1"/>
    <col min="25" max="25" width="13.42578125" style="148" customWidth="1"/>
    <col min="26" max="26" width="12.5703125" style="148" customWidth="1"/>
    <col min="27" max="28" width="14.85546875" style="148" customWidth="1"/>
    <col min="29" max="29" width="10.7109375" style="148" customWidth="1"/>
    <col min="30" max="30" width="17" style="148" customWidth="1"/>
    <col min="31" max="31" width="15.7109375" style="148" customWidth="1"/>
    <col min="32" max="32" width="10" style="148" customWidth="1"/>
    <col min="33" max="33" width="13.85546875" style="148" customWidth="1"/>
    <col min="34" max="34" width="12.28515625" style="148" customWidth="1"/>
    <col min="35" max="35" width="11.85546875" style="148" customWidth="1"/>
    <col min="36" max="36" width="11" style="148" customWidth="1"/>
    <col min="37" max="37" width="14.5703125" style="148" customWidth="1"/>
    <col min="38" max="38" width="13.7109375" style="148" customWidth="1"/>
    <col min="39" max="39" width="15.42578125" style="148" customWidth="1"/>
    <col min="40" max="40" width="16" style="148" customWidth="1"/>
    <col min="41" max="41" width="16.28515625" style="148" customWidth="1"/>
    <col min="42" max="42" width="14.28515625" style="148" customWidth="1"/>
    <col min="43" max="43" width="13.140625" style="148" customWidth="1"/>
    <col min="44" max="44" width="11" style="148" customWidth="1"/>
    <col min="45" max="45" width="14.42578125" style="148" customWidth="1"/>
    <col min="46" max="46" width="14.7109375" style="148" customWidth="1"/>
    <col min="47" max="47" width="12.42578125" style="148" customWidth="1"/>
    <col min="48" max="48" width="9.42578125" style="148" hidden="1" customWidth="1"/>
    <col min="49" max="49" width="9.7109375" style="148" hidden="1" customWidth="1"/>
    <col min="50" max="50" width="11.85546875" style="148" hidden="1" customWidth="1"/>
    <col min="51" max="51" width="13.85546875" style="148" customWidth="1"/>
    <col min="52" max="52" width="12.85546875" style="148" customWidth="1"/>
    <col min="53" max="53" width="11.7109375" style="148" customWidth="1"/>
    <col min="54" max="56" width="9.85546875" style="148" hidden="1" customWidth="1"/>
    <col min="57" max="57" width="17.42578125" style="148" customWidth="1"/>
    <col min="58" max="58" width="14" style="148" customWidth="1"/>
    <col min="59" max="59" width="16" style="148" customWidth="1"/>
    <col min="60" max="61" width="9.7109375" style="148" hidden="1" customWidth="1"/>
    <col min="62" max="62" width="17.7109375" style="148" hidden="1" customWidth="1"/>
    <col min="63" max="63" width="0.42578125" style="148" customWidth="1"/>
    <col min="64" max="64" width="20.5703125" style="148" hidden="1" customWidth="1"/>
    <col min="65" max="65" width="10.140625" style="148" hidden="1" customWidth="1"/>
    <col min="66" max="66" width="12.7109375" style="148" customWidth="1"/>
    <col min="67" max="67" width="11.5703125" style="148" customWidth="1"/>
    <col min="68" max="68" width="18.5703125" style="148" customWidth="1"/>
    <col min="69" max="69" width="15.28515625" style="148" customWidth="1"/>
    <col min="70" max="70" width="15" style="148" customWidth="1"/>
    <col min="71" max="71" width="12.42578125" style="148" customWidth="1"/>
    <col min="72" max="73" width="9.7109375" style="148" hidden="1" customWidth="1"/>
    <col min="74" max="74" width="9.5703125" style="148" hidden="1" customWidth="1"/>
    <col min="75" max="75" width="9.42578125" style="148" hidden="1" customWidth="1"/>
    <col min="76" max="76" width="9.7109375" style="148" hidden="1" customWidth="1"/>
    <col min="77" max="77" width="10.140625" style="148" hidden="1" customWidth="1"/>
    <col min="78" max="78" width="20" style="148" customWidth="1"/>
    <col min="79" max="79" width="15.28515625" style="148" customWidth="1"/>
    <col min="80" max="80" width="10" style="148" customWidth="1"/>
    <col min="81" max="81" width="16.42578125" style="148" customWidth="1"/>
    <col min="82" max="82" width="15.7109375" style="148" customWidth="1"/>
    <col min="83" max="83" width="12.140625" style="148" customWidth="1"/>
    <col min="84" max="84" width="20.42578125" style="148" customWidth="1"/>
    <col min="85" max="85" width="21.42578125" style="148" customWidth="1"/>
    <col min="86" max="86" width="18.42578125" style="148" customWidth="1"/>
    <col min="87" max="87" width="17.42578125" style="148" customWidth="1"/>
    <col min="88" max="88" width="16.5703125" style="148" customWidth="1"/>
    <col min="89" max="89" width="10" style="148" customWidth="1"/>
    <col min="90" max="90" width="19.85546875" style="148" customWidth="1"/>
    <col min="91" max="91" width="18" style="148" customWidth="1"/>
    <col min="92" max="92" width="13.28515625" style="148" customWidth="1"/>
    <col min="93" max="93" width="19.85546875" style="148" customWidth="1"/>
    <col min="94" max="94" width="22.28515625" style="148" customWidth="1"/>
    <col min="95" max="95" width="14.85546875" style="148" customWidth="1"/>
    <col min="96" max="96" width="16.7109375" style="148" customWidth="1"/>
    <col min="97" max="97" width="16.85546875" style="148" customWidth="1"/>
    <col min="98" max="98" width="14.42578125" style="148" bestFit="1" customWidth="1"/>
    <col min="99" max="99" width="9.85546875" style="148" bestFit="1" customWidth="1"/>
    <col min="100" max="100" width="14.42578125" style="148" customWidth="1"/>
    <col min="101" max="101" width="14.28515625" style="148" customWidth="1"/>
    <col min="102" max="103" width="9.85546875" style="148" hidden="1" customWidth="1"/>
    <col min="104" max="104" width="14.42578125" style="148" hidden="1" customWidth="1"/>
    <col min="105" max="106" width="9.85546875" style="148" hidden="1" customWidth="1"/>
    <col min="107" max="107" width="14.42578125" style="148" hidden="1" customWidth="1"/>
    <col min="108" max="109" width="9.85546875" style="148" hidden="1" customWidth="1"/>
    <col min="110" max="110" width="14.42578125" style="148" hidden="1" customWidth="1"/>
    <col min="111" max="111" width="17.5703125" style="148" customWidth="1"/>
    <col min="112" max="112" width="20.28515625" style="148" customWidth="1"/>
    <col min="113" max="113" width="13" style="148" bestFit="1" customWidth="1"/>
    <col min="114" max="114" width="18" style="148" bestFit="1" customWidth="1"/>
    <col min="115" max="115" width="20.5703125" style="148" customWidth="1"/>
    <col min="116" max="116" width="13.28515625" style="148" customWidth="1"/>
    <col min="117" max="117" width="16.7109375" style="148" customWidth="1"/>
    <col min="118" max="118" width="16.85546875" style="148" customWidth="1"/>
    <col min="119" max="119" width="12.28515625" style="148" customWidth="1"/>
    <col min="120" max="120" width="15.28515625" style="148" customWidth="1"/>
    <col min="121" max="121" width="14.28515625" style="148" customWidth="1"/>
    <col min="122" max="122" width="13.85546875" style="148" customWidth="1"/>
    <col min="123" max="123" width="18.85546875" style="148" customWidth="1"/>
    <col min="124" max="124" width="13.7109375" style="148" customWidth="1"/>
    <col min="125" max="125" width="10.140625" style="148" customWidth="1"/>
    <col min="126" max="126" width="16" style="148" customWidth="1"/>
    <col min="127" max="127" width="14.28515625" style="148" customWidth="1"/>
    <col min="128" max="128" width="10.140625" style="148" customWidth="1"/>
    <col min="129" max="129" width="15.140625" style="148" customWidth="1"/>
    <col min="130" max="130" width="18.5703125" style="148" customWidth="1"/>
    <col min="131" max="131" width="10.140625" style="148" customWidth="1"/>
    <col min="132" max="132" width="15.28515625" style="148" customWidth="1"/>
    <col min="133" max="133" width="12.42578125" style="148" customWidth="1"/>
    <col min="134" max="134" width="10.140625" style="148" customWidth="1"/>
    <col min="135" max="135" width="18" style="148" customWidth="1"/>
    <col min="136" max="136" width="14.85546875" style="148" customWidth="1"/>
    <col min="137" max="137" width="10.5703125" style="148" customWidth="1"/>
    <col min="138" max="138" width="17.28515625" style="148" customWidth="1"/>
    <col min="139" max="139" width="13.5703125" style="148" customWidth="1"/>
    <col min="140" max="140" width="8.7109375" style="148" customWidth="1"/>
    <col min="141" max="141" width="15.5703125" style="148" customWidth="1"/>
    <col min="142" max="142" width="14.7109375" style="148" customWidth="1"/>
    <col min="143" max="144" width="10.140625" style="148" customWidth="1"/>
    <col min="145" max="145" width="10.85546875" style="148" customWidth="1"/>
    <col min="146" max="146" width="11.42578125" style="148" customWidth="1"/>
    <col min="147" max="147" width="12" style="148" customWidth="1"/>
    <col min="148" max="149" width="10" style="148" customWidth="1"/>
    <col min="150" max="150" width="9.85546875" style="148" customWidth="1"/>
    <col min="151" max="151" width="11.42578125" style="148" customWidth="1"/>
    <col min="152" max="152" width="11.28515625" style="148" customWidth="1"/>
    <col min="153" max="153" width="14.140625" style="148" customWidth="1"/>
    <col min="154" max="154" width="15.28515625" style="148" customWidth="1"/>
    <col min="155" max="155" width="12.7109375" style="148" customWidth="1"/>
    <col min="156" max="156" width="14.85546875" style="148" customWidth="1"/>
    <col min="157" max="16384" width="9.140625" style="148"/>
  </cols>
  <sheetData>
    <row r="1" spans="1:159" ht="18" customHeight="1">
      <c r="X1" s="517" t="s">
        <v>134</v>
      </c>
      <c r="Y1" s="517"/>
      <c r="Z1" s="517"/>
      <c r="AA1" s="151"/>
      <c r="AB1" s="151"/>
      <c r="AC1" s="151"/>
      <c r="AD1" s="512"/>
      <c r="AE1" s="512"/>
      <c r="AF1" s="512"/>
      <c r="AG1" s="152"/>
      <c r="AH1" s="152"/>
      <c r="AI1" s="152"/>
      <c r="AJ1" s="152"/>
      <c r="AK1" s="152"/>
      <c r="AL1" s="152"/>
    </row>
    <row r="2" spans="1:159" ht="19.5" customHeight="1">
      <c r="X2" s="152" t="s">
        <v>135</v>
      </c>
      <c r="Y2" s="152"/>
      <c r="Z2" s="152"/>
      <c r="AA2" s="150"/>
      <c r="AB2" s="150"/>
      <c r="AC2" s="150"/>
      <c r="AD2" s="512"/>
      <c r="AE2" s="512"/>
      <c r="AF2" s="512"/>
      <c r="AG2" s="152"/>
      <c r="AH2" s="152"/>
      <c r="AI2" s="152"/>
      <c r="AJ2" s="152"/>
      <c r="AK2" s="152"/>
      <c r="AL2" s="152"/>
    </row>
    <row r="3" spans="1:159" ht="30.75" customHeight="1">
      <c r="A3" s="153"/>
      <c r="B3" s="350"/>
      <c r="C3" s="350"/>
      <c r="D3" s="351"/>
      <c r="E3" s="350"/>
      <c r="F3" s="350"/>
      <c r="G3" s="350"/>
      <c r="H3" s="350"/>
      <c r="I3" s="350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522" t="s">
        <v>136</v>
      </c>
      <c r="Y3" s="522"/>
      <c r="Z3" s="522"/>
      <c r="AA3" s="153"/>
      <c r="AB3" s="153"/>
      <c r="AC3" s="153"/>
      <c r="AD3" s="516"/>
      <c r="AE3" s="516"/>
      <c r="AF3" s="516"/>
      <c r="AG3" s="154"/>
      <c r="AH3" s="154"/>
      <c r="AI3" s="154"/>
      <c r="AJ3" s="154"/>
      <c r="AK3" s="154"/>
      <c r="AL3" s="154"/>
      <c r="AM3" s="153"/>
      <c r="AN3" s="153"/>
      <c r="AO3" s="153"/>
      <c r="AP3" s="153"/>
      <c r="AQ3" s="153"/>
      <c r="AR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</row>
    <row r="4" spans="1:159" ht="24" customHeight="1">
      <c r="B4" s="520" t="s">
        <v>137</v>
      </c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155"/>
      <c r="AB4" s="155"/>
      <c r="AC4" s="155"/>
      <c r="AD4" s="155"/>
      <c r="AE4" s="155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</row>
    <row r="5" spans="1:159" ht="20.25" customHeight="1">
      <c r="B5" s="518" t="s">
        <v>432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Z5" s="518"/>
      <c r="AA5" s="156"/>
      <c r="AB5" s="156"/>
      <c r="AC5" s="156"/>
      <c r="AD5" s="156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</row>
    <row r="6" spans="1:159" ht="15" customHeight="1">
      <c r="A6" s="153"/>
      <c r="B6" s="353"/>
      <c r="C6" s="354"/>
      <c r="D6" s="355"/>
      <c r="E6" s="353"/>
      <c r="F6" s="353"/>
      <c r="G6" s="356"/>
      <c r="H6" s="356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353"/>
      <c r="Z6" s="356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W6" s="153"/>
      <c r="EX6" s="153"/>
      <c r="EY6" s="153"/>
    </row>
    <row r="7" spans="1:159" s="157" customFormat="1" ht="15" customHeight="1">
      <c r="A7" s="497" t="s">
        <v>138</v>
      </c>
      <c r="B7" s="497" t="s">
        <v>139</v>
      </c>
      <c r="C7" s="488" t="s">
        <v>140</v>
      </c>
      <c r="D7" s="489"/>
      <c r="E7" s="490"/>
      <c r="F7" s="277" t="s">
        <v>141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9"/>
      <c r="DD7" s="278"/>
      <c r="DE7" s="278"/>
      <c r="DF7" s="279"/>
      <c r="DG7" s="488" t="s">
        <v>142</v>
      </c>
      <c r="DH7" s="489"/>
      <c r="DI7" s="490"/>
      <c r="DJ7" s="488"/>
      <c r="DK7" s="489"/>
      <c r="DL7" s="489"/>
      <c r="DM7" s="489"/>
      <c r="DN7" s="489"/>
      <c r="DO7" s="489"/>
      <c r="DP7" s="489"/>
      <c r="DQ7" s="489"/>
      <c r="DR7" s="489"/>
      <c r="DS7" s="489"/>
      <c r="DT7" s="489"/>
      <c r="DU7" s="489"/>
      <c r="DV7" s="489"/>
      <c r="DW7" s="489"/>
      <c r="DX7" s="489"/>
      <c r="DY7" s="489"/>
      <c r="DZ7" s="489"/>
      <c r="EA7" s="489"/>
      <c r="EB7" s="489"/>
      <c r="EC7" s="489"/>
      <c r="ED7" s="489"/>
      <c r="EE7" s="489"/>
      <c r="EF7" s="489"/>
      <c r="EG7" s="489"/>
      <c r="EH7" s="489"/>
      <c r="EI7" s="489"/>
      <c r="EJ7" s="489"/>
      <c r="EK7" s="489"/>
      <c r="EL7" s="489"/>
      <c r="EM7" s="489"/>
      <c r="EN7" s="489"/>
      <c r="EO7" s="489"/>
      <c r="EP7" s="489"/>
      <c r="EQ7" s="489"/>
      <c r="ER7" s="489"/>
      <c r="ES7" s="489"/>
      <c r="ET7" s="489"/>
      <c r="EU7" s="489"/>
      <c r="EV7" s="490"/>
      <c r="EW7" s="488" t="s">
        <v>143</v>
      </c>
      <c r="EX7" s="489"/>
      <c r="EY7" s="490"/>
    </row>
    <row r="8" spans="1:159" s="157" customFormat="1" ht="15" customHeight="1">
      <c r="A8" s="497"/>
      <c r="B8" s="497"/>
      <c r="C8" s="491"/>
      <c r="D8" s="492"/>
      <c r="E8" s="493"/>
      <c r="F8" s="491" t="s">
        <v>144</v>
      </c>
      <c r="G8" s="492"/>
      <c r="H8" s="493"/>
      <c r="I8" s="513" t="s">
        <v>145</v>
      </c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4"/>
      <c r="AQ8" s="514"/>
      <c r="AR8" s="514"/>
      <c r="AS8" s="514"/>
      <c r="AT8" s="514"/>
      <c r="AU8" s="514"/>
      <c r="AV8" s="514"/>
      <c r="AW8" s="514"/>
      <c r="AX8" s="515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1"/>
      <c r="BT8" s="282"/>
      <c r="BU8" s="282"/>
      <c r="BV8" s="282"/>
      <c r="BW8" s="283"/>
      <c r="BX8" s="283"/>
      <c r="BY8" s="283"/>
      <c r="BZ8" s="497" t="s">
        <v>146</v>
      </c>
      <c r="CA8" s="497"/>
      <c r="CB8" s="497"/>
      <c r="CC8" s="494" t="s">
        <v>145</v>
      </c>
      <c r="CD8" s="495"/>
      <c r="CE8" s="495"/>
      <c r="CF8" s="495"/>
      <c r="CG8" s="495"/>
      <c r="CH8" s="495"/>
      <c r="CI8" s="495"/>
      <c r="CJ8" s="495"/>
      <c r="CK8" s="495"/>
      <c r="CL8" s="495"/>
      <c r="CM8" s="495"/>
      <c r="CN8" s="495"/>
      <c r="CO8" s="284"/>
      <c r="CP8" s="284"/>
      <c r="CQ8" s="284"/>
      <c r="CR8" s="284"/>
      <c r="CS8" s="284"/>
      <c r="CT8" s="284"/>
      <c r="CU8" s="285"/>
      <c r="CV8" s="285"/>
      <c r="CW8" s="286"/>
      <c r="CX8" s="491" t="s">
        <v>147</v>
      </c>
      <c r="CY8" s="492"/>
      <c r="CZ8" s="493"/>
      <c r="DA8" s="523"/>
      <c r="DB8" s="524"/>
      <c r="DC8" s="525"/>
      <c r="DD8" s="523"/>
      <c r="DE8" s="524"/>
      <c r="DF8" s="525"/>
      <c r="DG8" s="491"/>
      <c r="DH8" s="492"/>
      <c r="DI8" s="493"/>
      <c r="DJ8" s="491" t="s">
        <v>145</v>
      </c>
      <c r="DK8" s="492"/>
      <c r="DL8" s="492"/>
      <c r="DM8" s="492"/>
      <c r="DN8" s="492"/>
      <c r="DO8" s="492"/>
      <c r="DP8" s="492"/>
      <c r="DQ8" s="492"/>
      <c r="DR8" s="492"/>
      <c r="DS8" s="492"/>
      <c r="DT8" s="492"/>
      <c r="DU8" s="492"/>
      <c r="DV8" s="492"/>
      <c r="DW8" s="492"/>
      <c r="DX8" s="492"/>
      <c r="DY8" s="492"/>
      <c r="DZ8" s="492"/>
      <c r="EA8" s="492"/>
      <c r="EB8" s="492"/>
      <c r="EC8" s="492"/>
      <c r="ED8" s="492"/>
      <c r="EE8" s="492"/>
      <c r="EF8" s="492"/>
      <c r="EG8" s="492"/>
      <c r="EH8" s="492"/>
      <c r="EI8" s="492"/>
      <c r="EJ8" s="492"/>
      <c r="EK8" s="492"/>
      <c r="EL8" s="492"/>
      <c r="EM8" s="492"/>
      <c r="EN8" s="492"/>
      <c r="EO8" s="492"/>
      <c r="EP8" s="492"/>
      <c r="EQ8" s="492"/>
      <c r="ER8" s="492"/>
      <c r="ES8" s="492"/>
      <c r="ET8" s="492"/>
      <c r="EU8" s="492"/>
      <c r="EV8" s="493"/>
      <c r="EW8" s="491"/>
      <c r="EX8" s="492"/>
      <c r="EY8" s="493"/>
    </row>
    <row r="9" spans="1:159" s="157" customFormat="1" ht="15" customHeight="1">
      <c r="A9" s="497"/>
      <c r="B9" s="497"/>
      <c r="C9" s="491"/>
      <c r="D9" s="492"/>
      <c r="E9" s="493"/>
      <c r="F9" s="491"/>
      <c r="G9" s="492"/>
      <c r="H9" s="493"/>
      <c r="I9" s="488" t="s">
        <v>148</v>
      </c>
      <c r="J9" s="489"/>
      <c r="K9" s="490"/>
      <c r="L9" s="488" t="s">
        <v>279</v>
      </c>
      <c r="M9" s="489"/>
      <c r="N9" s="490"/>
      <c r="O9" s="488" t="s">
        <v>282</v>
      </c>
      <c r="P9" s="489"/>
      <c r="Q9" s="490"/>
      <c r="R9" s="488" t="s">
        <v>280</v>
      </c>
      <c r="S9" s="489"/>
      <c r="T9" s="490"/>
      <c r="U9" s="488" t="s">
        <v>281</v>
      </c>
      <c r="V9" s="489"/>
      <c r="W9" s="490"/>
      <c r="X9" s="488" t="s">
        <v>149</v>
      </c>
      <c r="Y9" s="489"/>
      <c r="Z9" s="490"/>
      <c r="AA9" s="488" t="s">
        <v>150</v>
      </c>
      <c r="AB9" s="489"/>
      <c r="AC9" s="490"/>
      <c r="AD9" s="488" t="s">
        <v>151</v>
      </c>
      <c r="AE9" s="489"/>
      <c r="AF9" s="490"/>
      <c r="AG9" s="497" t="s">
        <v>152</v>
      </c>
      <c r="AH9" s="497"/>
      <c r="AI9" s="497"/>
      <c r="AJ9" s="488" t="s">
        <v>244</v>
      </c>
      <c r="AK9" s="489"/>
      <c r="AL9" s="490"/>
      <c r="AM9" s="488" t="s">
        <v>153</v>
      </c>
      <c r="AN9" s="489"/>
      <c r="AO9" s="490"/>
      <c r="AP9" s="488" t="s">
        <v>328</v>
      </c>
      <c r="AQ9" s="489"/>
      <c r="AR9" s="490"/>
      <c r="AS9" s="488" t="s">
        <v>154</v>
      </c>
      <c r="AT9" s="489"/>
      <c r="AU9" s="490"/>
      <c r="AV9" s="488" t="s">
        <v>155</v>
      </c>
      <c r="AW9" s="489"/>
      <c r="AX9" s="490"/>
      <c r="AY9" s="488" t="s">
        <v>246</v>
      </c>
      <c r="AZ9" s="489"/>
      <c r="BA9" s="490"/>
      <c r="BB9" s="488" t="s">
        <v>338</v>
      </c>
      <c r="BC9" s="489"/>
      <c r="BD9" s="490"/>
      <c r="BE9" s="488" t="s">
        <v>401</v>
      </c>
      <c r="BF9" s="489"/>
      <c r="BG9" s="490"/>
      <c r="BH9" s="488" t="s">
        <v>156</v>
      </c>
      <c r="BI9" s="489"/>
      <c r="BJ9" s="490"/>
      <c r="BK9" s="488" t="s">
        <v>272</v>
      </c>
      <c r="BL9" s="489"/>
      <c r="BM9" s="490"/>
      <c r="BN9" s="488" t="s">
        <v>242</v>
      </c>
      <c r="BO9" s="489"/>
      <c r="BP9" s="490"/>
      <c r="BQ9" s="488" t="s">
        <v>157</v>
      </c>
      <c r="BR9" s="489"/>
      <c r="BS9" s="490"/>
      <c r="BT9" s="488" t="s">
        <v>158</v>
      </c>
      <c r="BU9" s="489"/>
      <c r="BV9" s="490"/>
      <c r="BW9" s="491" t="s">
        <v>159</v>
      </c>
      <c r="BX9" s="492"/>
      <c r="BY9" s="492"/>
      <c r="BZ9" s="497"/>
      <c r="CA9" s="497"/>
      <c r="CB9" s="497"/>
      <c r="CC9" s="488" t="s">
        <v>329</v>
      </c>
      <c r="CD9" s="489"/>
      <c r="CE9" s="490"/>
      <c r="CF9" s="488" t="s">
        <v>330</v>
      </c>
      <c r="CG9" s="489"/>
      <c r="CH9" s="490"/>
      <c r="CI9" s="488" t="s">
        <v>160</v>
      </c>
      <c r="CJ9" s="489"/>
      <c r="CK9" s="490"/>
      <c r="CL9" s="488" t="s">
        <v>161</v>
      </c>
      <c r="CM9" s="489"/>
      <c r="CN9" s="490"/>
      <c r="CO9" s="488" t="s">
        <v>21</v>
      </c>
      <c r="CP9" s="489"/>
      <c r="CQ9" s="490"/>
      <c r="CR9" s="488" t="s">
        <v>289</v>
      </c>
      <c r="CS9" s="489"/>
      <c r="CT9" s="490"/>
      <c r="CU9" s="488" t="s">
        <v>331</v>
      </c>
      <c r="CV9" s="489"/>
      <c r="CW9" s="490"/>
      <c r="CX9" s="491"/>
      <c r="CY9" s="492"/>
      <c r="CZ9" s="493"/>
      <c r="DA9" s="488" t="s">
        <v>257</v>
      </c>
      <c r="DB9" s="489"/>
      <c r="DC9" s="490"/>
      <c r="DD9" s="497" t="s">
        <v>162</v>
      </c>
      <c r="DE9" s="497"/>
      <c r="DF9" s="497"/>
      <c r="DG9" s="491"/>
      <c r="DH9" s="492"/>
      <c r="DI9" s="493"/>
      <c r="DJ9" s="498" t="s">
        <v>163</v>
      </c>
      <c r="DK9" s="499"/>
      <c r="DL9" s="500"/>
      <c r="DM9" s="507" t="s">
        <v>141</v>
      </c>
      <c r="DN9" s="508"/>
      <c r="DO9" s="508"/>
      <c r="DP9" s="508"/>
      <c r="DQ9" s="508"/>
      <c r="DR9" s="508"/>
      <c r="DS9" s="508"/>
      <c r="DT9" s="508"/>
      <c r="DU9" s="508"/>
      <c r="DV9" s="508"/>
      <c r="DW9" s="508"/>
      <c r="DX9" s="509"/>
      <c r="DY9" s="498" t="s">
        <v>164</v>
      </c>
      <c r="DZ9" s="499"/>
      <c r="EA9" s="500"/>
      <c r="EB9" s="498" t="s">
        <v>165</v>
      </c>
      <c r="EC9" s="499"/>
      <c r="ED9" s="500"/>
      <c r="EE9" s="498" t="s">
        <v>166</v>
      </c>
      <c r="EF9" s="499"/>
      <c r="EG9" s="500"/>
      <c r="EH9" s="498" t="s">
        <v>167</v>
      </c>
      <c r="EI9" s="499"/>
      <c r="EJ9" s="500"/>
      <c r="EK9" s="488" t="s">
        <v>283</v>
      </c>
      <c r="EL9" s="489"/>
      <c r="EM9" s="490"/>
      <c r="EN9" s="488" t="s">
        <v>168</v>
      </c>
      <c r="EO9" s="489"/>
      <c r="EP9" s="490"/>
      <c r="EQ9" s="488" t="s">
        <v>315</v>
      </c>
      <c r="ER9" s="489"/>
      <c r="ES9" s="490"/>
      <c r="ET9" s="497" t="s">
        <v>285</v>
      </c>
      <c r="EU9" s="497"/>
      <c r="EV9" s="497"/>
      <c r="EW9" s="491"/>
      <c r="EX9" s="492"/>
      <c r="EY9" s="493"/>
    </row>
    <row r="10" spans="1:159" s="157" customFormat="1" ht="62.25" customHeight="1">
      <c r="A10" s="497"/>
      <c r="B10" s="497"/>
      <c r="C10" s="491"/>
      <c r="D10" s="492"/>
      <c r="E10" s="493"/>
      <c r="F10" s="491"/>
      <c r="G10" s="492"/>
      <c r="H10" s="493"/>
      <c r="I10" s="491"/>
      <c r="J10" s="492"/>
      <c r="K10" s="493"/>
      <c r="L10" s="491"/>
      <c r="M10" s="492"/>
      <c r="N10" s="493"/>
      <c r="O10" s="491"/>
      <c r="P10" s="492"/>
      <c r="Q10" s="493"/>
      <c r="R10" s="491"/>
      <c r="S10" s="492"/>
      <c r="T10" s="493"/>
      <c r="U10" s="491"/>
      <c r="V10" s="492"/>
      <c r="W10" s="493"/>
      <c r="X10" s="491"/>
      <c r="Y10" s="492"/>
      <c r="Z10" s="493"/>
      <c r="AA10" s="491"/>
      <c r="AB10" s="492"/>
      <c r="AC10" s="493"/>
      <c r="AD10" s="491"/>
      <c r="AE10" s="492"/>
      <c r="AF10" s="493"/>
      <c r="AG10" s="497"/>
      <c r="AH10" s="497"/>
      <c r="AI10" s="497"/>
      <c r="AJ10" s="491"/>
      <c r="AK10" s="492"/>
      <c r="AL10" s="493"/>
      <c r="AM10" s="491"/>
      <c r="AN10" s="492"/>
      <c r="AO10" s="493"/>
      <c r="AP10" s="491"/>
      <c r="AQ10" s="492"/>
      <c r="AR10" s="493"/>
      <c r="AS10" s="491"/>
      <c r="AT10" s="492"/>
      <c r="AU10" s="493"/>
      <c r="AV10" s="491"/>
      <c r="AW10" s="492"/>
      <c r="AX10" s="493"/>
      <c r="AY10" s="491"/>
      <c r="AZ10" s="492"/>
      <c r="BA10" s="493"/>
      <c r="BB10" s="491"/>
      <c r="BC10" s="492"/>
      <c r="BD10" s="493"/>
      <c r="BE10" s="491"/>
      <c r="BF10" s="492"/>
      <c r="BG10" s="493"/>
      <c r="BH10" s="491"/>
      <c r="BI10" s="492"/>
      <c r="BJ10" s="493"/>
      <c r="BK10" s="491"/>
      <c r="BL10" s="492"/>
      <c r="BM10" s="493"/>
      <c r="BN10" s="491"/>
      <c r="BO10" s="492"/>
      <c r="BP10" s="493"/>
      <c r="BQ10" s="491"/>
      <c r="BR10" s="492"/>
      <c r="BS10" s="493"/>
      <c r="BT10" s="491"/>
      <c r="BU10" s="492"/>
      <c r="BV10" s="493"/>
      <c r="BW10" s="491"/>
      <c r="BX10" s="492"/>
      <c r="BY10" s="492"/>
      <c r="BZ10" s="497"/>
      <c r="CA10" s="497"/>
      <c r="CB10" s="497"/>
      <c r="CC10" s="491"/>
      <c r="CD10" s="492"/>
      <c r="CE10" s="493"/>
      <c r="CF10" s="491"/>
      <c r="CG10" s="492"/>
      <c r="CH10" s="493"/>
      <c r="CI10" s="491"/>
      <c r="CJ10" s="492"/>
      <c r="CK10" s="493"/>
      <c r="CL10" s="491"/>
      <c r="CM10" s="492"/>
      <c r="CN10" s="493"/>
      <c r="CO10" s="491"/>
      <c r="CP10" s="492"/>
      <c r="CQ10" s="493"/>
      <c r="CR10" s="491"/>
      <c r="CS10" s="492"/>
      <c r="CT10" s="493"/>
      <c r="CU10" s="491"/>
      <c r="CV10" s="492"/>
      <c r="CW10" s="493"/>
      <c r="CX10" s="491"/>
      <c r="CY10" s="492"/>
      <c r="CZ10" s="493"/>
      <c r="DA10" s="491"/>
      <c r="DB10" s="492"/>
      <c r="DC10" s="493"/>
      <c r="DD10" s="497"/>
      <c r="DE10" s="497"/>
      <c r="DF10" s="497"/>
      <c r="DG10" s="491"/>
      <c r="DH10" s="492"/>
      <c r="DI10" s="493"/>
      <c r="DJ10" s="501"/>
      <c r="DK10" s="502"/>
      <c r="DL10" s="503"/>
      <c r="DM10" s="287"/>
      <c r="DN10" s="288"/>
      <c r="DO10" s="288"/>
      <c r="DP10" s="289"/>
      <c r="DQ10" s="289"/>
      <c r="DR10" s="289"/>
      <c r="DS10" s="288"/>
      <c r="DT10" s="288"/>
      <c r="DU10" s="288"/>
      <c r="DV10" s="288"/>
      <c r="DW10" s="288"/>
      <c r="DX10" s="290"/>
      <c r="DY10" s="501"/>
      <c r="DZ10" s="502"/>
      <c r="EA10" s="503"/>
      <c r="EB10" s="501"/>
      <c r="EC10" s="502"/>
      <c r="ED10" s="503"/>
      <c r="EE10" s="501"/>
      <c r="EF10" s="502"/>
      <c r="EG10" s="503"/>
      <c r="EH10" s="501"/>
      <c r="EI10" s="502"/>
      <c r="EJ10" s="503"/>
      <c r="EK10" s="491"/>
      <c r="EL10" s="492"/>
      <c r="EM10" s="493"/>
      <c r="EN10" s="491"/>
      <c r="EO10" s="492"/>
      <c r="EP10" s="493"/>
      <c r="EQ10" s="491"/>
      <c r="ER10" s="492"/>
      <c r="ES10" s="493"/>
      <c r="ET10" s="497"/>
      <c r="EU10" s="497"/>
      <c r="EV10" s="497"/>
      <c r="EW10" s="491"/>
      <c r="EX10" s="492"/>
      <c r="EY10" s="493"/>
    </row>
    <row r="11" spans="1:159" s="157" customFormat="1" ht="109.5" customHeight="1">
      <c r="A11" s="497"/>
      <c r="B11" s="497"/>
      <c r="C11" s="494"/>
      <c r="D11" s="495"/>
      <c r="E11" s="521"/>
      <c r="F11" s="494"/>
      <c r="G11" s="495"/>
      <c r="H11" s="496"/>
      <c r="I11" s="494"/>
      <c r="J11" s="495"/>
      <c r="K11" s="496"/>
      <c r="L11" s="494"/>
      <c r="M11" s="495"/>
      <c r="N11" s="496"/>
      <c r="O11" s="494"/>
      <c r="P11" s="495"/>
      <c r="Q11" s="496"/>
      <c r="R11" s="494"/>
      <c r="S11" s="495"/>
      <c r="T11" s="496"/>
      <c r="U11" s="494"/>
      <c r="V11" s="495"/>
      <c r="W11" s="496"/>
      <c r="X11" s="494"/>
      <c r="Y11" s="495"/>
      <c r="Z11" s="496"/>
      <c r="AA11" s="494"/>
      <c r="AB11" s="495"/>
      <c r="AC11" s="496"/>
      <c r="AD11" s="494"/>
      <c r="AE11" s="495"/>
      <c r="AF11" s="496"/>
      <c r="AG11" s="497"/>
      <c r="AH11" s="497"/>
      <c r="AI11" s="497"/>
      <c r="AJ11" s="494"/>
      <c r="AK11" s="495"/>
      <c r="AL11" s="496"/>
      <c r="AM11" s="494"/>
      <c r="AN11" s="495"/>
      <c r="AO11" s="496"/>
      <c r="AP11" s="494"/>
      <c r="AQ11" s="495"/>
      <c r="AR11" s="496"/>
      <c r="AS11" s="494"/>
      <c r="AT11" s="495"/>
      <c r="AU11" s="496"/>
      <c r="AV11" s="494"/>
      <c r="AW11" s="495"/>
      <c r="AX11" s="496"/>
      <c r="AY11" s="494"/>
      <c r="AZ11" s="495"/>
      <c r="BA11" s="496"/>
      <c r="BB11" s="494"/>
      <c r="BC11" s="495"/>
      <c r="BD11" s="496"/>
      <c r="BE11" s="494"/>
      <c r="BF11" s="495"/>
      <c r="BG11" s="496"/>
      <c r="BH11" s="494"/>
      <c r="BI11" s="495"/>
      <c r="BJ11" s="496"/>
      <c r="BK11" s="494"/>
      <c r="BL11" s="495"/>
      <c r="BM11" s="496"/>
      <c r="BN11" s="494"/>
      <c r="BO11" s="495"/>
      <c r="BP11" s="496"/>
      <c r="BQ11" s="494"/>
      <c r="BR11" s="495"/>
      <c r="BS11" s="496"/>
      <c r="BT11" s="494"/>
      <c r="BU11" s="495"/>
      <c r="BV11" s="496"/>
      <c r="BW11" s="494"/>
      <c r="BX11" s="495"/>
      <c r="BY11" s="495"/>
      <c r="BZ11" s="497"/>
      <c r="CA11" s="497"/>
      <c r="CB11" s="497"/>
      <c r="CC11" s="494"/>
      <c r="CD11" s="495"/>
      <c r="CE11" s="496"/>
      <c r="CF11" s="494"/>
      <c r="CG11" s="495"/>
      <c r="CH11" s="496"/>
      <c r="CI11" s="494"/>
      <c r="CJ11" s="495"/>
      <c r="CK11" s="496"/>
      <c r="CL11" s="494"/>
      <c r="CM11" s="495"/>
      <c r="CN11" s="496"/>
      <c r="CO11" s="494"/>
      <c r="CP11" s="495"/>
      <c r="CQ11" s="496"/>
      <c r="CR11" s="494"/>
      <c r="CS11" s="495"/>
      <c r="CT11" s="496"/>
      <c r="CU11" s="494"/>
      <c r="CV11" s="495"/>
      <c r="CW11" s="496"/>
      <c r="CX11" s="494"/>
      <c r="CY11" s="495"/>
      <c r="CZ11" s="496"/>
      <c r="DA11" s="494"/>
      <c r="DB11" s="495"/>
      <c r="DC11" s="496"/>
      <c r="DD11" s="497"/>
      <c r="DE11" s="497"/>
      <c r="DF11" s="497"/>
      <c r="DG11" s="494"/>
      <c r="DH11" s="495"/>
      <c r="DI11" s="496"/>
      <c r="DJ11" s="504"/>
      <c r="DK11" s="505"/>
      <c r="DL11" s="506"/>
      <c r="DM11" s="504" t="s">
        <v>169</v>
      </c>
      <c r="DN11" s="505"/>
      <c r="DO11" s="506"/>
      <c r="DP11" s="507" t="s">
        <v>170</v>
      </c>
      <c r="DQ11" s="508"/>
      <c r="DR11" s="509"/>
      <c r="DS11" s="504" t="s">
        <v>171</v>
      </c>
      <c r="DT11" s="505"/>
      <c r="DU11" s="506"/>
      <c r="DV11" s="504" t="s">
        <v>239</v>
      </c>
      <c r="DW11" s="505"/>
      <c r="DX11" s="506"/>
      <c r="DY11" s="504"/>
      <c r="DZ11" s="505"/>
      <c r="EA11" s="506"/>
      <c r="EB11" s="504"/>
      <c r="EC11" s="505"/>
      <c r="ED11" s="506"/>
      <c r="EE11" s="504"/>
      <c r="EF11" s="505"/>
      <c r="EG11" s="506"/>
      <c r="EH11" s="504"/>
      <c r="EI11" s="505"/>
      <c r="EJ11" s="506"/>
      <c r="EK11" s="494"/>
      <c r="EL11" s="495"/>
      <c r="EM11" s="496"/>
      <c r="EN11" s="494"/>
      <c r="EO11" s="495"/>
      <c r="EP11" s="496"/>
      <c r="EQ11" s="494"/>
      <c r="ER11" s="495"/>
      <c r="ES11" s="496"/>
      <c r="ET11" s="497"/>
      <c r="EU11" s="497"/>
      <c r="EV11" s="497"/>
      <c r="EW11" s="494"/>
      <c r="EX11" s="495"/>
      <c r="EY11" s="496"/>
      <c r="FA11" s="158"/>
      <c r="FB11" s="158"/>
      <c r="FC11" s="158"/>
    </row>
    <row r="12" spans="1:159" s="157" customFormat="1" ht="42.75" customHeight="1">
      <c r="A12" s="497"/>
      <c r="B12" s="497"/>
      <c r="C12" s="291" t="s">
        <v>172</v>
      </c>
      <c r="D12" s="292" t="s">
        <v>173</v>
      </c>
      <c r="E12" s="291" t="s">
        <v>174</v>
      </c>
      <c r="F12" s="291" t="s">
        <v>172</v>
      </c>
      <c r="G12" s="291" t="s">
        <v>173</v>
      </c>
      <c r="H12" s="291" t="s">
        <v>174</v>
      </c>
      <c r="I12" s="291" t="s">
        <v>172</v>
      </c>
      <c r="J12" s="291" t="s">
        <v>173</v>
      </c>
      <c r="K12" s="291" t="s">
        <v>174</v>
      </c>
      <c r="L12" s="291" t="s">
        <v>172</v>
      </c>
      <c r="M12" s="291" t="s">
        <v>173</v>
      </c>
      <c r="N12" s="291" t="s">
        <v>174</v>
      </c>
      <c r="O12" s="291" t="s">
        <v>172</v>
      </c>
      <c r="P12" s="291" t="s">
        <v>173</v>
      </c>
      <c r="Q12" s="291" t="s">
        <v>174</v>
      </c>
      <c r="R12" s="291" t="s">
        <v>172</v>
      </c>
      <c r="S12" s="291" t="s">
        <v>173</v>
      </c>
      <c r="T12" s="291" t="s">
        <v>174</v>
      </c>
      <c r="U12" s="291" t="s">
        <v>172</v>
      </c>
      <c r="V12" s="291" t="s">
        <v>173</v>
      </c>
      <c r="W12" s="291" t="s">
        <v>174</v>
      </c>
      <c r="X12" s="291" t="s">
        <v>172</v>
      </c>
      <c r="Y12" s="291" t="s">
        <v>173</v>
      </c>
      <c r="Z12" s="291" t="s">
        <v>174</v>
      </c>
      <c r="AA12" s="291" t="s">
        <v>172</v>
      </c>
      <c r="AB12" s="291" t="s">
        <v>173</v>
      </c>
      <c r="AC12" s="291" t="s">
        <v>174</v>
      </c>
      <c r="AD12" s="291" t="s">
        <v>172</v>
      </c>
      <c r="AE12" s="291" t="s">
        <v>173</v>
      </c>
      <c r="AF12" s="291" t="s">
        <v>174</v>
      </c>
      <c r="AG12" s="291" t="s">
        <v>172</v>
      </c>
      <c r="AH12" s="291" t="s">
        <v>173</v>
      </c>
      <c r="AI12" s="291" t="s">
        <v>174</v>
      </c>
      <c r="AJ12" s="291" t="s">
        <v>172</v>
      </c>
      <c r="AK12" s="291" t="s">
        <v>173</v>
      </c>
      <c r="AL12" s="291" t="s">
        <v>174</v>
      </c>
      <c r="AM12" s="291" t="s">
        <v>172</v>
      </c>
      <c r="AN12" s="291" t="s">
        <v>173</v>
      </c>
      <c r="AO12" s="291" t="s">
        <v>174</v>
      </c>
      <c r="AP12" s="291" t="s">
        <v>172</v>
      </c>
      <c r="AQ12" s="291" t="s">
        <v>173</v>
      </c>
      <c r="AR12" s="291" t="s">
        <v>174</v>
      </c>
      <c r="AS12" s="291" t="s">
        <v>172</v>
      </c>
      <c r="AT12" s="291" t="s">
        <v>173</v>
      </c>
      <c r="AU12" s="291" t="s">
        <v>174</v>
      </c>
      <c r="AV12" s="291" t="s">
        <v>172</v>
      </c>
      <c r="AW12" s="291" t="s">
        <v>173</v>
      </c>
      <c r="AX12" s="291" t="s">
        <v>174</v>
      </c>
      <c r="AY12" s="291" t="s">
        <v>172</v>
      </c>
      <c r="AZ12" s="291" t="s">
        <v>173</v>
      </c>
      <c r="BA12" s="291" t="s">
        <v>174</v>
      </c>
      <c r="BB12" s="291"/>
      <c r="BC12" s="291"/>
      <c r="BD12" s="291"/>
      <c r="BE12" s="291" t="s">
        <v>175</v>
      </c>
      <c r="BF12" s="291" t="s">
        <v>173</v>
      </c>
      <c r="BG12" s="291" t="s">
        <v>174</v>
      </c>
      <c r="BH12" s="291" t="s">
        <v>172</v>
      </c>
      <c r="BI12" s="291" t="s">
        <v>173</v>
      </c>
      <c r="BJ12" s="291" t="s">
        <v>174</v>
      </c>
      <c r="BK12" s="291" t="s">
        <v>172</v>
      </c>
      <c r="BL12" s="291" t="s">
        <v>173</v>
      </c>
      <c r="BM12" s="291" t="s">
        <v>174</v>
      </c>
      <c r="BN12" s="291" t="s">
        <v>175</v>
      </c>
      <c r="BO12" s="291" t="s">
        <v>173</v>
      </c>
      <c r="BP12" s="291" t="s">
        <v>174</v>
      </c>
      <c r="BQ12" s="291" t="s">
        <v>175</v>
      </c>
      <c r="BR12" s="291" t="s">
        <v>173</v>
      </c>
      <c r="BS12" s="291" t="s">
        <v>174</v>
      </c>
      <c r="BT12" s="291" t="s">
        <v>175</v>
      </c>
      <c r="BU12" s="291" t="s">
        <v>173</v>
      </c>
      <c r="BV12" s="291" t="s">
        <v>174</v>
      </c>
      <c r="BW12" s="291" t="s">
        <v>175</v>
      </c>
      <c r="BX12" s="291" t="s">
        <v>173</v>
      </c>
      <c r="BY12" s="291" t="s">
        <v>174</v>
      </c>
      <c r="BZ12" s="291" t="s">
        <v>172</v>
      </c>
      <c r="CA12" s="291" t="s">
        <v>173</v>
      </c>
      <c r="CB12" s="291" t="s">
        <v>174</v>
      </c>
      <c r="CC12" s="291" t="s">
        <v>172</v>
      </c>
      <c r="CD12" s="291" t="s">
        <v>173</v>
      </c>
      <c r="CE12" s="291" t="s">
        <v>174</v>
      </c>
      <c r="CF12" s="291" t="s">
        <v>172</v>
      </c>
      <c r="CG12" s="291" t="s">
        <v>173</v>
      </c>
      <c r="CH12" s="291" t="s">
        <v>174</v>
      </c>
      <c r="CI12" s="291" t="s">
        <v>172</v>
      </c>
      <c r="CJ12" s="291" t="s">
        <v>173</v>
      </c>
      <c r="CK12" s="291" t="s">
        <v>174</v>
      </c>
      <c r="CL12" s="291" t="s">
        <v>172</v>
      </c>
      <c r="CM12" s="291" t="s">
        <v>173</v>
      </c>
      <c r="CN12" s="291" t="s">
        <v>174</v>
      </c>
      <c r="CO12" s="291" t="s">
        <v>172</v>
      </c>
      <c r="CP12" s="291" t="s">
        <v>173</v>
      </c>
      <c r="CQ12" s="291" t="s">
        <v>174</v>
      </c>
      <c r="CR12" s="291" t="s">
        <v>172</v>
      </c>
      <c r="CS12" s="291" t="s">
        <v>173</v>
      </c>
      <c r="CT12" s="291" t="s">
        <v>174</v>
      </c>
      <c r="CU12" s="291" t="s">
        <v>172</v>
      </c>
      <c r="CV12" s="291" t="s">
        <v>173</v>
      </c>
      <c r="CW12" s="291" t="s">
        <v>174</v>
      </c>
      <c r="CX12" s="291" t="s">
        <v>172</v>
      </c>
      <c r="CY12" s="291" t="s">
        <v>173</v>
      </c>
      <c r="CZ12" s="291" t="s">
        <v>174</v>
      </c>
      <c r="DA12" s="291" t="s">
        <v>172</v>
      </c>
      <c r="DB12" s="291" t="s">
        <v>173</v>
      </c>
      <c r="DC12" s="291" t="s">
        <v>174</v>
      </c>
      <c r="DD12" s="291" t="s">
        <v>172</v>
      </c>
      <c r="DE12" s="291" t="s">
        <v>173</v>
      </c>
      <c r="DF12" s="291" t="s">
        <v>174</v>
      </c>
      <c r="DG12" s="291" t="s">
        <v>172</v>
      </c>
      <c r="DH12" s="291" t="s">
        <v>173</v>
      </c>
      <c r="DI12" s="291" t="s">
        <v>174</v>
      </c>
      <c r="DJ12" s="291" t="s">
        <v>172</v>
      </c>
      <c r="DK12" s="291" t="s">
        <v>173</v>
      </c>
      <c r="DL12" s="291" t="s">
        <v>174</v>
      </c>
      <c r="DM12" s="291" t="s">
        <v>172</v>
      </c>
      <c r="DN12" s="291" t="s">
        <v>173</v>
      </c>
      <c r="DO12" s="291" t="s">
        <v>174</v>
      </c>
      <c r="DP12" s="291" t="s">
        <v>172</v>
      </c>
      <c r="DQ12" s="291" t="s">
        <v>173</v>
      </c>
      <c r="DR12" s="291" t="s">
        <v>174</v>
      </c>
      <c r="DS12" s="291" t="s">
        <v>172</v>
      </c>
      <c r="DT12" s="291" t="s">
        <v>173</v>
      </c>
      <c r="DU12" s="291" t="s">
        <v>174</v>
      </c>
      <c r="DV12" s="291" t="s">
        <v>172</v>
      </c>
      <c r="DW12" s="291" t="s">
        <v>173</v>
      </c>
      <c r="DX12" s="291" t="s">
        <v>174</v>
      </c>
      <c r="DY12" s="291" t="s">
        <v>172</v>
      </c>
      <c r="DZ12" s="291" t="s">
        <v>173</v>
      </c>
      <c r="EA12" s="291" t="s">
        <v>174</v>
      </c>
      <c r="EB12" s="291" t="s">
        <v>172</v>
      </c>
      <c r="EC12" s="291" t="s">
        <v>173</v>
      </c>
      <c r="ED12" s="291" t="s">
        <v>174</v>
      </c>
      <c r="EE12" s="291" t="s">
        <v>172</v>
      </c>
      <c r="EF12" s="291" t="s">
        <v>173</v>
      </c>
      <c r="EG12" s="291" t="s">
        <v>174</v>
      </c>
      <c r="EH12" s="291" t="s">
        <v>172</v>
      </c>
      <c r="EI12" s="291" t="s">
        <v>173</v>
      </c>
      <c r="EJ12" s="291" t="s">
        <v>174</v>
      </c>
      <c r="EK12" s="291" t="s">
        <v>172</v>
      </c>
      <c r="EL12" s="291" t="s">
        <v>173</v>
      </c>
      <c r="EM12" s="291" t="s">
        <v>174</v>
      </c>
      <c r="EN12" s="291" t="s">
        <v>172</v>
      </c>
      <c r="EO12" s="291" t="s">
        <v>173</v>
      </c>
      <c r="EP12" s="291" t="s">
        <v>174</v>
      </c>
      <c r="EQ12" s="291" t="s">
        <v>172</v>
      </c>
      <c r="ER12" s="291" t="s">
        <v>173</v>
      </c>
      <c r="ES12" s="291" t="s">
        <v>174</v>
      </c>
      <c r="ET12" s="291" t="s">
        <v>172</v>
      </c>
      <c r="EU12" s="291" t="s">
        <v>173</v>
      </c>
      <c r="EV12" s="291" t="s">
        <v>174</v>
      </c>
      <c r="EW12" s="291" t="s">
        <v>172</v>
      </c>
      <c r="EX12" s="291" t="s">
        <v>173</v>
      </c>
      <c r="EY12" s="291" t="s">
        <v>174</v>
      </c>
      <c r="FA12" s="158"/>
      <c r="FB12" s="158"/>
      <c r="FC12" s="158"/>
    </row>
    <row r="13" spans="1:159" s="157" customFormat="1" ht="24" customHeight="1">
      <c r="A13" s="293">
        <v>1</v>
      </c>
      <c r="B13" s="291">
        <v>2</v>
      </c>
      <c r="C13" s="293">
        <v>3</v>
      </c>
      <c r="D13" s="292">
        <v>4</v>
      </c>
      <c r="E13" s="293">
        <v>5</v>
      </c>
      <c r="F13" s="291">
        <v>6</v>
      </c>
      <c r="G13" s="293">
        <v>7</v>
      </c>
      <c r="H13" s="291">
        <v>8</v>
      </c>
      <c r="I13" s="293">
        <v>9</v>
      </c>
      <c r="J13" s="291">
        <v>10</v>
      </c>
      <c r="K13" s="293">
        <v>11</v>
      </c>
      <c r="L13" s="293">
        <v>12</v>
      </c>
      <c r="M13" s="293">
        <v>13</v>
      </c>
      <c r="N13" s="293">
        <v>14</v>
      </c>
      <c r="O13" s="293">
        <v>15</v>
      </c>
      <c r="P13" s="293">
        <v>16</v>
      </c>
      <c r="Q13" s="293">
        <v>17</v>
      </c>
      <c r="R13" s="293">
        <v>18</v>
      </c>
      <c r="S13" s="293">
        <v>19</v>
      </c>
      <c r="T13" s="293">
        <v>20</v>
      </c>
      <c r="U13" s="293">
        <v>21</v>
      </c>
      <c r="V13" s="293">
        <v>22</v>
      </c>
      <c r="W13" s="293">
        <v>23</v>
      </c>
      <c r="X13" s="291">
        <v>24</v>
      </c>
      <c r="Y13" s="293">
        <v>25</v>
      </c>
      <c r="Z13" s="291">
        <v>26</v>
      </c>
      <c r="AA13" s="293">
        <v>27</v>
      </c>
      <c r="AB13" s="291">
        <v>28</v>
      </c>
      <c r="AC13" s="293">
        <v>29</v>
      </c>
      <c r="AD13" s="291">
        <v>30</v>
      </c>
      <c r="AE13" s="293">
        <v>31</v>
      </c>
      <c r="AF13" s="291">
        <v>32</v>
      </c>
      <c r="AG13" s="293">
        <v>33</v>
      </c>
      <c r="AH13" s="291">
        <v>34</v>
      </c>
      <c r="AI13" s="293">
        <v>35</v>
      </c>
      <c r="AJ13" s="293">
        <v>36</v>
      </c>
      <c r="AK13" s="293">
        <v>37</v>
      </c>
      <c r="AL13" s="293">
        <v>38</v>
      </c>
      <c r="AM13" s="291">
        <v>39</v>
      </c>
      <c r="AN13" s="293">
        <v>40</v>
      </c>
      <c r="AO13" s="291">
        <v>41</v>
      </c>
      <c r="AP13" s="293">
        <v>42</v>
      </c>
      <c r="AQ13" s="291">
        <v>43</v>
      </c>
      <c r="AR13" s="293">
        <v>44</v>
      </c>
      <c r="AS13" s="293">
        <v>45</v>
      </c>
      <c r="AT13" s="291">
        <v>46</v>
      </c>
      <c r="AU13" s="293">
        <v>47</v>
      </c>
      <c r="AV13" s="293">
        <v>48</v>
      </c>
      <c r="AW13" s="291">
        <v>49</v>
      </c>
      <c r="AX13" s="293">
        <v>50</v>
      </c>
      <c r="AY13" s="293">
        <v>48</v>
      </c>
      <c r="AZ13" s="291">
        <v>49</v>
      </c>
      <c r="BA13" s="293">
        <v>50</v>
      </c>
      <c r="BB13" s="293">
        <v>51</v>
      </c>
      <c r="BC13" s="293">
        <v>52</v>
      </c>
      <c r="BD13" s="293">
        <v>56</v>
      </c>
      <c r="BE13" s="291">
        <v>51</v>
      </c>
      <c r="BF13" s="293">
        <v>52</v>
      </c>
      <c r="BG13" s="291">
        <v>53</v>
      </c>
      <c r="BH13" s="293">
        <v>60</v>
      </c>
      <c r="BI13" s="294">
        <v>61</v>
      </c>
      <c r="BJ13" s="295">
        <v>62</v>
      </c>
      <c r="BK13" s="293">
        <v>63</v>
      </c>
      <c r="BL13" s="293">
        <v>64</v>
      </c>
      <c r="BM13" s="293">
        <v>65</v>
      </c>
      <c r="BN13" s="293">
        <v>66</v>
      </c>
      <c r="BO13" s="293">
        <v>67</v>
      </c>
      <c r="BP13" s="293">
        <v>68</v>
      </c>
      <c r="BQ13" s="291">
        <v>54</v>
      </c>
      <c r="BR13" s="293">
        <v>55</v>
      </c>
      <c r="BS13" s="291">
        <v>56</v>
      </c>
      <c r="BT13" s="293">
        <v>72</v>
      </c>
      <c r="BU13" s="291">
        <v>73</v>
      </c>
      <c r="BV13" s="293">
        <v>74</v>
      </c>
      <c r="BW13" s="291">
        <v>75</v>
      </c>
      <c r="BX13" s="293">
        <v>76</v>
      </c>
      <c r="BY13" s="291">
        <v>77</v>
      </c>
      <c r="BZ13" s="293">
        <v>57</v>
      </c>
      <c r="CA13" s="291">
        <v>58</v>
      </c>
      <c r="CB13" s="293">
        <v>59</v>
      </c>
      <c r="CC13" s="291">
        <v>60</v>
      </c>
      <c r="CD13" s="293">
        <v>61</v>
      </c>
      <c r="CE13" s="291">
        <v>62</v>
      </c>
      <c r="CF13" s="293">
        <v>63</v>
      </c>
      <c r="CG13" s="291">
        <v>64</v>
      </c>
      <c r="CH13" s="293">
        <v>65</v>
      </c>
      <c r="CI13" s="291">
        <v>66</v>
      </c>
      <c r="CJ13" s="293">
        <v>67</v>
      </c>
      <c r="CK13" s="291">
        <v>68</v>
      </c>
      <c r="CL13" s="293">
        <v>69</v>
      </c>
      <c r="CM13" s="291">
        <v>70</v>
      </c>
      <c r="CN13" s="293">
        <v>71</v>
      </c>
      <c r="CO13" s="293">
        <v>72</v>
      </c>
      <c r="CP13" s="293">
        <v>73</v>
      </c>
      <c r="CQ13" s="293">
        <v>74</v>
      </c>
      <c r="CR13" s="293">
        <v>75</v>
      </c>
      <c r="CS13" s="293">
        <v>76</v>
      </c>
      <c r="CT13" s="293">
        <v>77</v>
      </c>
      <c r="CU13" s="293">
        <v>78</v>
      </c>
      <c r="CV13" s="293">
        <v>79</v>
      </c>
      <c r="CW13" s="293">
        <v>80</v>
      </c>
      <c r="CX13" s="291">
        <v>96</v>
      </c>
      <c r="CY13" s="293">
        <v>97</v>
      </c>
      <c r="CZ13" s="291">
        <v>98</v>
      </c>
      <c r="DA13" s="291">
        <v>99</v>
      </c>
      <c r="DB13" s="291">
        <v>100</v>
      </c>
      <c r="DC13" s="291">
        <v>101</v>
      </c>
      <c r="DD13" s="291">
        <v>102</v>
      </c>
      <c r="DE13" s="291">
        <v>103</v>
      </c>
      <c r="DF13" s="291">
        <v>104</v>
      </c>
      <c r="DG13" s="293">
        <v>81</v>
      </c>
      <c r="DH13" s="291">
        <v>82</v>
      </c>
      <c r="DI13" s="293">
        <v>83</v>
      </c>
      <c r="DJ13" s="291">
        <v>84</v>
      </c>
      <c r="DK13" s="293">
        <v>85</v>
      </c>
      <c r="DL13" s="291">
        <v>86</v>
      </c>
      <c r="DM13" s="293">
        <v>87</v>
      </c>
      <c r="DN13" s="291">
        <v>88</v>
      </c>
      <c r="DO13" s="293">
        <v>89</v>
      </c>
      <c r="DP13" s="291">
        <v>90</v>
      </c>
      <c r="DQ13" s="293">
        <v>91</v>
      </c>
      <c r="DR13" s="291">
        <v>92</v>
      </c>
      <c r="DS13" s="293">
        <v>93</v>
      </c>
      <c r="DT13" s="291">
        <v>94</v>
      </c>
      <c r="DU13" s="293">
        <v>95</v>
      </c>
      <c r="DV13" s="291">
        <v>96</v>
      </c>
      <c r="DW13" s="291">
        <v>97</v>
      </c>
      <c r="DX13" s="291">
        <v>98</v>
      </c>
      <c r="DY13" s="293">
        <v>99</v>
      </c>
      <c r="DZ13" s="291">
        <v>100</v>
      </c>
      <c r="EA13" s="293">
        <v>101</v>
      </c>
      <c r="EB13" s="291">
        <v>102</v>
      </c>
      <c r="EC13" s="293">
        <v>103</v>
      </c>
      <c r="ED13" s="291">
        <v>104</v>
      </c>
      <c r="EE13" s="293">
        <v>105</v>
      </c>
      <c r="EF13" s="291">
        <v>106</v>
      </c>
      <c r="EG13" s="293">
        <v>107</v>
      </c>
      <c r="EH13" s="291">
        <v>108</v>
      </c>
      <c r="EI13" s="293">
        <v>109</v>
      </c>
      <c r="EJ13" s="291">
        <v>110</v>
      </c>
      <c r="EK13" s="293">
        <v>111</v>
      </c>
      <c r="EL13" s="291">
        <v>112</v>
      </c>
      <c r="EM13" s="293">
        <v>113</v>
      </c>
      <c r="EN13" s="291">
        <v>114</v>
      </c>
      <c r="EO13" s="293">
        <v>115</v>
      </c>
      <c r="EP13" s="291">
        <v>116</v>
      </c>
      <c r="EQ13" s="293">
        <v>117</v>
      </c>
      <c r="ER13" s="291">
        <v>118</v>
      </c>
      <c r="ES13" s="293">
        <v>119</v>
      </c>
      <c r="ET13" s="291">
        <v>120</v>
      </c>
      <c r="EU13" s="293">
        <v>121</v>
      </c>
      <c r="EV13" s="291">
        <v>122</v>
      </c>
      <c r="EW13" s="293">
        <v>123</v>
      </c>
      <c r="EX13" s="291">
        <v>124</v>
      </c>
      <c r="EY13" s="293">
        <v>125</v>
      </c>
    </row>
    <row r="14" spans="1:159" s="157" customFormat="1" ht="25.5" customHeight="1">
      <c r="A14" s="341">
        <v>1</v>
      </c>
      <c r="B14" s="342" t="s">
        <v>290</v>
      </c>
      <c r="C14" s="296">
        <f>F14+BZ14</f>
        <v>7216.9117200000001</v>
      </c>
      <c r="D14" s="297">
        <f t="shared" ref="D14:D29" si="0">G14+CA14+CY14</f>
        <v>589.03811999999994</v>
      </c>
      <c r="E14" s="298">
        <f t="shared" ref="E14:E29" si="1">D14/C14*100</f>
        <v>8.1619138885628484</v>
      </c>
      <c r="F14" s="299">
        <f t="shared" ref="F14" si="2">I14+X14+AA14+AD14+AG14+AM14+AS14+BE14+BQ14+BN14+AJ14+AY14+L14+R14+O14+U14+AP14</f>
        <v>663.7700000000001</v>
      </c>
      <c r="G14" s="299">
        <f t="shared" ref="G14:G29" si="3">J14+Y14+AB14+AE14+AH14+AN14+AT14+BF14+AK14+BR14+BO14+AZ14+M14+S14+P14+V14+AQ14</f>
        <v>101.91612000000001</v>
      </c>
      <c r="H14" s="298">
        <f>G14/F14*100</f>
        <v>15.35413170224626</v>
      </c>
      <c r="I14" s="300">
        <f>Але!C6</f>
        <v>81</v>
      </c>
      <c r="J14" s="449">
        <f>Але!D6</f>
        <v>16.686699999999998</v>
      </c>
      <c r="K14" s="298">
        <f>J14/I14*100</f>
        <v>20.600864197530864</v>
      </c>
      <c r="L14" s="298">
        <f>Але!C8</f>
        <v>106.965</v>
      </c>
      <c r="M14" s="298">
        <f>Але!D8</f>
        <v>36.390149999999998</v>
      </c>
      <c r="N14" s="298">
        <f>M14/L14*100</f>
        <v>34.020614219604539</v>
      </c>
      <c r="O14" s="298">
        <f>Але!C9</f>
        <v>1.147</v>
      </c>
      <c r="P14" s="298">
        <f>Але!D9</f>
        <v>0.23318</v>
      </c>
      <c r="Q14" s="298">
        <f>P14/O14*100</f>
        <v>20.329555361813426</v>
      </c>
      <c r="R14" s="298">
        <f>Але!C10</f>
        <v>178.65799999999999</v>
      </c>
      <c r="S14" s="298">
        <f>Але!D10</f>
        <v>44.031469999999999</v>
      </c>
      <c r="T14" s="298">
        <f>S14/R14*100</f>
        <v>24.645674976771261</v>
      </c>
      <c r="U14" s="298">
        <f>Але!C11</f>
        <v>0</v>
      </c>
      <c r="V14" s="302">
        <f>Але!D11</f>
        <v>-4.8822099999999997</v>
      </c>
      <c r="W14" s="298" t="e">
        <f>V14/U14*100</f>
        <v>#DIV/0!</v>
      </c>
      <c r="X14" s="303">
        <f>Але!C13</f>
        <v>10</v>
      </c>
      <c r="Y14" s="448">
        <f>Але!D13</f>
        <v>0</v>
      </c>
      <c r="Z14" s="298">
        <f>Y14/X14*100</f>
        <v>0</v>
      </c>
      <c r="AA14" s="303">
        <f>Але!C15</f>
        <v>86</v>
      </c>
      <c r="AB14" s="304">
        <f>Але!D15</f>
        <v>0.48771999999999999</v>
      </c>
      <c r="AC14" s="298">
        <f>AB14/AA14*100</f>
        <v>0.56711627906976747</v>
      </c>
      <c r="AD14" s="303">
        <f>Але!C16</f>
        <v>147</v>
      </c>
      <c r="AE14" s="303">
        <f>Але!D16</f>
        <v>8.0165500000000005</v>
      </c>
      <c r="AF14" s="298">
        <f t="shared" ref="AF14:AF29" si="4">AE14/AD14*100</f>
        <v>5.4534353741496604</v>
      </c>
      <c r="AG14" s="298">
        <f>Але!C18</f>
        <v>3</v>
      </c>
      <c r="AH14" s="298">
        <f>Але!D18</f>
        <v>0.6</v>
      </c>
      <c r="AI14" s="298">
        <f>AH14/AG14*100</f>
        <v>20</v>
      </c>
      <c r="AJ14" s="298"/>
      <c r="AK14" s="298"/>
      <c r="AL14" s="305" t="e">
        <f t="shared" ref="AL14:AL23" si="5">AK14/AJ14*100</f>
        <v>#DIV/0!</v>
      </c>
      <c r="AM14" s="303">
        <v>0</v>
      </c>
      <c r="AN14" s="303">
        <v>0</v>
      </c>
      <c r="AO14" s="305" t="e">
        <f t="shared" ref="AO14:AO29" si="6">AN14/AM14*100</f>
        <v>#DIV/0!</v>
      </c>
      <c r="AP14" s="303">
        <f>Але!C27</f>
        <v>50</v>
      </c>
      <c r="AQ14" s="306">
        <f>Але!D27</f>
        <v>0</v>
      </c>
      <c r="AR14" s="298">
        <f>AQ14/AP14*100</f>
        <v>0</v>
      </c>
      <c r="AS14" s="307">
        <f>Але!C28</f>
        <v>0</v>
      </c>
      <c r="AT14" s="306">
        <f>Але!D28</f>
        <v>0</v>
      </c>
      <c r="AU14" s="298" t="e">
        <f>AT14/AS14*100</f>
        <v>#DIV/0!</v>
      </c>
      <c r="AV14" s="303"/>
      <c r="AW14" s="303"/>
      <c r="AX14" s="298" t="e">
        <f>AW14/AV14*100</f>
        <v>#DIV/0!</v>
      </c>
      <c r="AY14" s="298">
        <f>Але!C29</f>
        <v>0</v>
      </c>
      <c r="AZ14" s="308">
        <f>Але!D29</f>
        <v>0.35255999999999998</v>
      </c>
      <c r="BA14" s="298" t="e">
        <f>AZ14/AY14*100</f>
        <v>#DIV/0!</v>
      </c>
      <c r="BB14" s="298">
        <f>Але!C30</f>
        <v>0</v>
      </c>
      <c r="BC14" s="298">
        <f>Але!D30</f>
        <v>0.35255999999999998</v>
      </c>
      <c r="BD14" s="298" t="e">
        <f>BC14/BB14*100</f>
        <v>#DIV/0!</v>
      </c>
      <c r="BE14" s="298">
        <f>Але!C32</f>
        <v>0</v>
      </c>
      <c r="BF14" s="298">
        <f>Але!D31</f>
        <v>0</v>
      </c>
      <c r="BG14" s="298" t="e">
        <f>BF14/BE14*100</f>
        <v>#DIV/0!</v>
      </c>
      <c r="BH14" s="298"/>
      <c r="BI14" s="298"/>
      <c r="BJ14" s="298" t="e">
        <f>BI14/BH14*100</f>
        <v>#DIV/0!</v>
      </c>
      <c r="BK14" s="298"/>
      <c r="BL14" s="298"/>
      <c r="BM14" s="298"/>
      <c r="BN14" s="298"/>
      <c r="BO14" s="309"/>
      <c r="BP14" s="298" t="e">
        <f>BO14/BN14*100</f>
        <v>#DIV/0!</v>
      </c>
      <c r="BQ14" s="298">
        <f>Але!C34</f>
        <v>0</v>
      </c>
      <c r="BR14" s="298">
        <f>Але!D35</f>
        <v>0</v>
      </c>
      <c r="BS14" s="298" t="e">
        <f>BR14/BQ14*100</f>
        <v>#DIV/0!</v>
      </c>
      <c r="BT14" s="298"/>
      <c r="BU14" s="298"/>
      <c r="BV14" s="310" t="e">
        <f>BT14/BU14*100</f>
        <v>#DIV/0!</v>
      </c>
      <c r="BW14" s="310"/>
      <c r="BX14" s="310"/>
      <c r="BY14" s="310" t="e">
        <f>BW14/BX14*100</f>
        <v>#DIV/0!</v>
      </c>
      <c r="BZ14" s="303">
        <f>CC14+CF14+CI14+CL14+CR14+CO14</f>
        <v>6553.1417199999996</v>
      </c>
      <c r="CA14" s="303">
        <f>CD14+CG14+CJ14+CM14+CS14+CP14+CV14</f>
        <v>487.12199999999996</v>
      </c>
      <c r="CB14" s="298">
        <f>CA14/BZ14*100</f>
        <v>7.4334116491532249</v>
      </c>
      <c r="CC14" s="305">
        <f>Але!C39</f>
        <v>1839.6</v>
      </c>
      <c r="CD14" s="305">
        <f>Але!D39</f>
        <v>459.9</v>
      </c>
      <c r="CE14" s="298">
        <f>CD14/CC14*100</f>
        <v>25</v>
      </c>
      <c r="CF14" s="298">
        <f>Але!C40</f>
        <v>0</v>
      </c>
      <c r="CG14" s="460">
        <f>Але!D40</f>
        <v>0</v>
      </c>
      <c r="CH14" s="298" t="e">
        <f>CG14/CF14*100</f>
        <v>#DIV/0!</v>
      </c>
      <c r="CI14" s="298">
        <f>Але!C41</f>
        <v>3143.1107200000001</v>
      </c>
      <c r="CJ14" s="298">
        <f>Але!D41</f>
        <v>0</v>
      </c>
      <c r="CK14" s="298">
        <f t="shared" ref="CK14:CK29" si="7">CJ14/CI14*100</f>
        <v>0</v>
      </c>
      <c r="CL14" s="298">
        <f>Але!C42</f>
        <v>94.305000000000007</v>
      </c>
      <c r="CM14" s="298">
        <f>Але!D42</f>
        <v>27.222000000000001</v>
      </c>
      <c r="CN14" s="298">
        <f t="shared" ref="CN14:CN31" si="8">CM14/CL14*100</f>
        <v>28.865913790361063</v>
      </c>
      <c r="CO14" s="298">
        <f>Але!C44</f>
        <v>1041.2750000000001</v>
      </c>
      <c r="CP14" s="298">
        <f>Але!D44</f>
        <v>0</v>
      </c>
      <c r="CQ14" s="298">
        <f>CP14/CO14*100</f>
        <v>0</v>
      </c>
      <c r="CR14" s="302">
        <f>Але!C43</f>
        <v>434.851</v>
      </c>
      <c r="CS14" s="298">
        <f>Але!D43</f>
        <v>0</v>
      </c>
      <c r="CT14" s="298">
        <f t="shared" ref="CT14:CT31" si="9">CS14/CR14*100</f>
        <v>0</v>
      </c>
      <c r="CU14" s="298"/>
      <c r="CV14" s="298">
        <f>Але!D45</f>
        <v>0</v>
      </c>
      <c r="CW14" s="298" t="e">
        <f>CV13:CV14/CU14*100</f>
        <v>#DIV/0!</v>
      </c>
      <c r="CX14" s="303"/>
      <c r="CY14" s="303"/>
      <c r="CZ14" s="298" t="e">
        <f>CY14/CX14*100</f>
        <v>#DIV/0!</v>
      </c>
      <c r="DA14" s="298"/>
      <c r="DB14" s="298"/>
      <c r="DC14" s="298"/>
      <c r="DD14" s="298"/>
      <c r="DE14" s="298"/>
      <c r="DF14" s="298"/>
      <c r="DG14" s="307">
        <f>DJ14+DY14+EB14+EE14+EH14+EK14+EN14+EQ14+ET14</f>
        <v>7302.7916800000012</v>
      </c>
      <c r="DH14" s="307">
        <f>DK14+DZ14+EC14+EF14+EI14+EL14+EO14+ER14+EU14</f>
        <v>341.91415000000001</v>
      </c>
      <c r="DI14" s="298">
        <f>DH14/DG14*100</f>
        <v>4.6819649934201593</v>
      </c>
      <c r="DJ14" s="303">
        <f>DM14+DP14+DS14+DV14</f>
        <v>1196.3500000000001</v>
      </c>
      <c r="DK14" s="303">
        <f>DN14+DQ14+DT14+DW14</f>
        <v>219.88345000000001</v>
      </c>
      <c r="DL14" s="298">
        <f>DK14/DJ14*100</f>
        <v>18.379525222551926</v>
      </c>
      <c r="DM14" s="298">
        <f>Але!C54</f>
        <v>1183.7</v>
      </c>
      <c r="DN14" s="298">
        <f>Але!D54</f>
        <v>217.23345</v>
      </c>
      <c r="DO14" s="298">
        <f>DN14/DM14*100</f>
        <v>18.352069781194562</v>
      </c>
      <c r="DP14" s="298">
        <f>Але!C57</f>
        <v>0</v>
      </c>
      <c r="DQ14" s="298">
        <f>Але!D57</f>
        <v>0</v>
      </c>
      <c r="DR14" s="298" t="e">
        <f>DQ14/DP14*100</f>
        <v>#DIV/0!</v>
      </c>
      <c r="DS14" s="298">
        <f>Але!C58</f>
        <v>10</v>
      </c>
      <c r="DT14" s="298">
        <f>Але!D58</f>
        <v>0</v>
      </c>
      <c r="DU14" s="298">
        <f>DT14/DS14*100</f>
        <v>0</v>
      </c>
      <c r="DV14" s="298">
        <f>Але!C59</f>
        <v>2.65</v>
      </c>
      <c r="DW14" s="298">
        <f>Але!D59</f>
        <v>2.65</v>
      </c>
      <c r="DX14" s="298">
        <f>DW14/DV14*100</f>
        <v>100</v>
      </c>
      <c r="DY14" s="298">
        <f>Але!C61</f>
        <v>94.305000000000007</v>
      </c>
      <c r="DZ14" s="298">
        <f>Але!D61</f>
        <v>16.46782</v>
      </c>
      <c r="EA14" s="298">
        <f>DZ14/DY14*100</f>
        <v>17.462297863315833</v>
      </c>
      <c r="EB14" s="298">
        <f>Але!C62</f>
        <v>18</v>
      </c>
      <c r="EC14" s="298">
        <f>Але!D62</f>
        <v>0</v>
      </c>
      <c r="ED14" s="298">
        <f>EC14/EB14*100</f>
        <v>0</v>
      </c>
      <c r="EE14" s="303">
        <f>Але!C68</f>
        <v>866.10996</v>
      </c>
      <c r="EF14" s="303">
        <f>Але!D68</f>
        <v>0</v>
      </c>
      <c r="EG14" s="298">
        <f>EF14/EE14*100</f>
        <v>0</v>
      </c>
      <c r="EH14" s="303">
        <f>Але!C73</f>
        <v>4831.4267200000004</v>
      </c>
      <c r="EI14" s="303">
        <f>Але!D73</f>
        <v>33.56288</v>
      </c>
      <c r="EJ14" s="298">
        <f>EI14/EH14*100</f>
        <v>0.69467844479694385</v>
      </c>
      <c r="EK14" s="303">
        <f>Але!C77</f>
        <v>286.60000000000002</v>
      </c>
      <c r="EL14" s="311">
        <f>Але!D77</f>
        <v>72</v>
      </c>
      <c r="EM14" s="298">
        <f t="shared" ref="EM14:EM29" si="10">EL14/EK14*100</f>
        <v>25.122121423586879</v>
      </c>
      <c r="EN14" s="298">
        <f>Але!C79</f>
        <v>0</v>
      </c>
      <c r="EO14" s="298">
        <f>Але!D79</f>
        <v>0</v>
      </c>
      <c r="EP14" s="298" t="e">
        <f t="shared" ref="EP14:EP29" si="11">EO14/EN14*100</f>
        <v>#DIV/0!</v>
      </c>
      <c r="EQ14" s="299">
        <f>Але!C84</f>
        <v>10</v>
      </c>
      <c r="ER14" s="299">
        <f>Але!D84</f>
        <v>0</v>
      </c>
      <c r="ES14" s="298">
        <f>ER14/EQ14*100</f>
        <v>0</v>
      </c>
      <c r="ET14" s="298">
        <f>Але!C90</f>
        <v>0</v>
      </c>
      <c r="EU14" s="298">
        <f>Але!D90</f>
        <v>0</v>
      </c>
      <c r="EV14" s="298" t="e">
        <f>EU14/ET14*100</f>
        <v>#DIV/0!</v>
      </c>
      <c r="EW14" s="312">
        <f t="shared" ref="EW14:EW29" si="12">SUM(C14-DG14)</f>
        <v>-85.87996000000112</v>
      </c>
      <c r="EX14" s="312">
        <f t="shared" ref="EX14:EX29" si="13">SUM(D14-DH14)</f>
        <v>247.12396999999993</v>
      </c>
      <c r="EY14" s="298">
        <f>EX14/EW14*100%</f>
        <v>-2.8775510608062311</v>
      </c>
      <c r="EZ14" s="159"/>
      <c r="FA14" s="160"/>
      <c r="FC14" s="160"/>
    </row>
    <row r="15" spans="1:159" s="161" customFormat="1" ht="22.5" customHeight="1">
      <c r="A15" s="341">
        <v>2</v>
      </c>
      <c r="B15" s="343" t="s">
        <v>291</v>
      </c>
      <c r="C15" s="296">
        <f t="shared" ref="C15:C29" si="14">F15+BZ15</f>
        <v>30082.487980000002</v>
      </c>
      <c r="D15" s="297">
        <f>G15+CA15+CY15</f>
        <v>2223.1105399999997</v>
      </c>
      <c r="E15" s="305">
        <f t="shared" si="1"/>
        <v>7.390048793430946</v>
      </c>
      <c r="F15" s="299">
        <f t="shared" ref="F15:F29" si="15">I15+X15+AA15+AD15+AG15+AM15+AS15+BE15+BQ15+BN15+AJ15+AY15+L15+R15+O15+U15+AP15</f>
        <v>3972.4</v>
      </c>
      <c r="G15" s="299">
        <f>J15+Y15+AB15+AE15+AH15+AN15+AT15+BF15+AK15+BR15+BO15+AZ15+M15+S15+P15+V15+AQ15</f>
        <v>767.62454000000002</v>
      </c>
      <c r="H15" s="305">
        <f t="shared" ref="H15:H29" si="16">G15/F15*100</f>
        <v>19.323948746349814</v>
      </c>
      <c r="I15" s="313">
        <f>Сун!C6</f>
        <v>396</v>
      </c>
      <c r="J15" s="450">
        <f>Сун!D6</f>
        <v>117.49565</v>
      </c>
      <c r="K15" s="305">
        <f t="shared" ref="K15:K29" si="17">J15/I15*100</f>
        <v>29.670618686868689</v>
      </c>
      <c r="L15" s="305">
        <f>Сун!C8</f>
        <v>307.12799999999999</v>
      </c>
      <c r="M15" s="305">
        <f>Сун!D8</f>
        <v>104.48656</v>
      </c>
      <c r="N15" s="298">
        <f t="shared" ref="N15:N29" si="18">M15/L15*100</f>
        <v>34.020525644031153</v>
      </c>
      <c r="O15" s="298">
        <f>Сун!C9</f>
        <v>3.294</v>
      </c>
      <c r="P15" s="298">
        <f>Сун!D9</f>
        <v>0.66952</v>
      </c>
      <c r="Q15" s="298">
        <f t="shared" ref="Q15:Q29" si="19">P15/O15*100</f>
        <v>20.325440194292653</v>
      </c>
      <c r="R15" s="298">
        <f>Сун!C10</f>
        <v>512.97799999999995</v>
      </c>
      <c r="S15" s="298">
        <f>Сун!D10</f>
        <v>126.42701</v>
      </c>
      <c r="T15" s="298">
        <f t="shared" ref="T15:T29" si="20">S15/R15*100</f>
        <v>24.645698256065561</v>
      </c>
      <c r="U15" s="298">
        <f>Сун!C11</f>
        <v>0</v>
      </c>
      <c r="V15" s="302">
        <f>Сун!D11</f>
        <v>-14.01821</v>
      </c>
      <c r="W15" s="298" t="e">
        <f t="shared" ref="W15:W29" si="21">V15/U15*100</f>
        <v>#DIV/0!</v>
      </c>
      <c r="X15" s="313">
        <f>Сун!C13</f>
        <v>45</v>
      </c>
      <c r="Y15" s="313">
        <f>Сун!D13</f>
        <v>49.607089999999999</v>
      </c>
      <c r="Z15" s="305">
        <f t="shared" ref="Z15:Z29" si="22">Y15/X15*100</f>
        <v>110.23797777777777</v>
      </c>
      <c r="AA15" s="313">
        <f>Сун!C15</f>
        <v>1023</v>
      </c>
      <c r="AB15" s="304">
        <f>Сун!D15</f>
        <v>1.8615600000000001</v>
      </c>
      <c r="AC15" s="305">
        <f t="shared" ref="AC15:AC29" si="23">AB15/AA15*100</f>
        <v>0.18197067448680351</v>
      </c>
      <c r="AD15" s="313">
        <f>Сун!C16</f>
        <v>1395</v>
      </c>
      <c r="AE15" s="313">
        <f>Сун!D16</f>
        <v>347.80435999999997</v>
      </c>
      <c r="AF15" s="305">
        <f t="shared" si="4"/>
        <v>24.932212186379925</v>
      </c>
      <c r="AG15" s="305">
        <f>Сун!C18</f>
        <v>10</v>
      </c>
      <c r="AH15" s="305">
        <f>Сун!D18</f>
        <v>2.82</v>
      </c>
      <c r="AI15" s="305">
        <f t="shared" ref="AI15:AI31" si="24">AH15/AG15*100</f>
        <v>28.199999999999996</v>
      </c>
      <c r="AJ15" s="305"/>
      <c r="AK15" s="305"/>
      <c r="AL15" s="305" t="e">
        <f t="shared" si="5"/>
        <v>#DIV/0!</v>
      </c>
      <c r="AM15" s="313">
        <f>Сун!C27</f>
        <v>0</v>
      </c>
      <c r="AN15" s="313">
        <f>Сун!D27</f>
        <v>0</v>
      </c>
      <c r="AO15" s="305" t="e">
        <f t="shared" si="6"/>
        <v>#DIV/0!</v>
      </c>
      <c r="AP15" s="313">
        <f>Сун!C28</f>
        <v>200</v>
      </c>
      <c r="AQ15" s="314">
        <f>Сун!D28</f>
        <v>0</v>
      </c>
      <c r="AR15" s="305">
        <f t="shared" ref="AR15:AR29" si="25">AQ15/AP15*100</f>
        <v>0</v>
      </c>
      <c r="AS15" s="307">
        <f>Сун!C29</f>
        <v>50</v>
      </c>
      <c r="AT15" s="314">
        <f>Сун!D29</f>
        <v>0</v>
      </c>
      <c r="AU15" s="305">
        <f t="shared" ref="AU15:AU29" si="26">AT15/AS15*100</f>
        <v>0</v>
      </c>
      <c r="AV15" s="313"/>
      <c r="AW15" s="313"/>
      <c r="AX15" s="305" t="e">
        <f t="shared" ref="AX15:AX29" si="27">AW15/AV15*100</f>
        <v>#DIV/0!</v>
      </c>
      <c r="AY15" s="305">
        <f>Сун!C31</f>
        <v>30</v>
      </c>
      <c r="AZ15" s="308">
        <f>SUM(Сун!D30)</f>
        <v>7.6709999999999994</v>
      </c>
      <c r="BA15" s="305">
        <f t="shared" ref="BA15:BA31" si="28">AZ15/AY15*100</f>
        <v>25.569999999999997</v>
      </c>
      <c r="BB15" s="305"/>
      <c r="BC15" s="305"/>
      <c r="BD15" s="305"/>
      <c r="BE15" s="305">
        <f>Сун!C33</f>
        <v>0</v>
      </c>
      <c r="BF15" s="305">
        <f>Сун!D33</f>
        <v>22.8</v>
      </c>
      <c r="BG15" s="305" t="e">
        <f t="shared" ref="BG15:BG31" si="29">BF15/BE15*100</f>
        <v>#DIV/0!</v>
      </c>
      <c r="BH15" s="305"/>
      <c r="BI15" s="305"/>
      <c r="BJ15" s="305" t="e">
        <f t="shared" ref="BJ15:BJ29" si="30">BI15/BH15*100</f>
        <v>#DIV/0!</v>
      </c>
      <c r="BK15" s="305">
        <f>Сун!C36</f>
        <v>0</v>
      </c>
      <c r="BL15" s="305">
        <f>Сун!D36</f>
        <v>0</v>
      </c>
      <c r="BM15" s="305"/>
      <c r="BN15" s="305">
        <f>Сун!C36</f>
        <v>0</v>
      </c>
      <c r="BO15" s="305">
        <f>Сун!D36</f>
        <v>0</v>
      </c>
      <c r="BP15" s="298" t="e">
        <f t="shared" ref="BP15:BP29" si="31">BO15/BN15*100</f>
        <v>#DIV/0!</v>
      </c>
      <c r="BQ15" s="305">
        <f>Сун!C38</f>
        <v>0</v>
      </c>
      <c r="BR15" s="305">
        <f>Сун!D38</f>
        <v>0</v>
      </c>
      <c r="BS15" s="305" t="e">
        <f t="shared" ref="BS15:BS29" si="32">BR15/BQ15*100</f>
        <v>#DIV/0!</v>
      </c>
      <c r="BT15" s="305"/>
      <c r="BU15" s="305"/>
      <c r="BV15" s="315" t="e">
        <f t="shared" ref="BV15:BV29" si="33">BT15/BU15*100</f>
        <v>#DIV/0!</v>
      </c>
      <c r="BW15" s="315"/>
      <c r="BX15" s="315"/>
      <c r="BY15" s="315" t="e">
        <f t="shared" ref="BY15:BY29" si="34">BW15/BX15*100</f>
        <v>#DIV/0!</v>
      </c>
      <c r="BZ15" s="303">
        <f t="shared" ref="BZ15:BZ29" si="35">CC15+CF15+CI15+CL15+CR15+CO15</f>
        <v>26110.08798</v>
      </c>
      <c r="CA15" s="303">
        <f t="shared" ref="CA15:CA29" si="36">CD15+CG15+CJ15+CM15+CS15+CP15+CV15</f>
        <v>1455.4859999999999</v>
      </c>
      <c r="CB15" s="305">
        <f>CA15/BZ15*100</f>
        <v>5.5744201287827293</v>
      </c>
      <c r="CC15" s="305">
        <f>Сун!C43</f>
        <v>5604.2</v>
      </c>
      <c r="CD15" s="305">
        <f>Сун!D43</f>
        <v>1401.0509999999999</v>
      </c>
      <c r="CE15" s="305">
        <f t="shared" ref="CE15:CE29" si="37">CD15/CC15*100</f>
        <v>25.000017843760038</v>
      </c>
      <c r="CF15" s="305">
        <f>Сун!C44</f>
        <v>0</v>
      </c>
      <c r="CG15" s="461">
        <f>Сун!D44</f>
        <v>0</v>
      </c>
      <c r="CH15" s="305" t="e">
        <f t="shared" ref="CH15:CH29" si="38">CG15/CF15*100</f>
        <v>#DIV/0!</v>
      </c>
      <c r="CI15" s="316">
        <f>Сун!C45</f>
        <v>20121.684079999999</v>
      </c>
      <c r="CJ15" s="305">
        <f>Сун!D45</f>
        <v>0</v>
      </c>
      <c r="CK15" s="305">
        <f t="shared" si="7"/>
        <v>0</v>
      </c>
      <c r="CL15" s="305">
        <f>Сун!C47</f>
        <v>257.20389999999998</v>
      </c>
      <c r="CM15" s="305">
        <f>Сун!D47</f>
        <v>54.435000000000002</v>
      </c>
      <c r="CN15" s="305">
        <f t="shared" si="8"/>
        <v>21.164142534386148</v>
      </c>
      <c r="CO15" s="305">
        <f>Сун!C48</f>
        <v>127</v>
      </c>
      <c r="CP15" s="305">
        <f>Сун!D48</f>
        <v>0</v>
      </c>
      <c r="CQ15" s="298">
        <f t="shared" ref="CQ15:CQ29" si="39">CP15/CO15*100</f>
        <v>0</v>
      </c>
      <c r="CR15" s="317">
        <f>Сун!C49</f>
        <v>0</v>
      </c>
      <c r="CS15" s="305">
        <f>Сун!D49</f>
        <v>0</v>
      </c>
      <c r="CT15" s="305" t="e">
        <f t="shared" si="9"/>
        <v>#DIV/0!</v>
      </c>
      <c r="CU15" s="305"/>
      <c r="CV15" s="305"/>
      <c r="CW15" s="305"/>
      <c r="CX15" s="313"/>
      <c r="CY15" s="313"/>
      <c r="CZ15" s="305" t="e">
        <f t="shared" ref="CZ15:CZ29" si="40">CY15/CX15*100</f>
        <v>#DIV/0!</v>
      </c>
      <c r="DA15" s="305"/>
      <c r="DB15" s="305"/>
      <c r="DC15" s="305"/>
      <c r="DD15" s="305"/>
      <c r="DE15" s="305"/>
      <c r="DF15" s="305"/>
      <c r="DG15" s="307">
        <f>DJ15+DY15+EB15+EE15+EH15+EK15+EN15+EQ15+ET15</f>
        <v>31159.596120000002</v>
      </c>
      <c r="DH15" s="307">
        <f t="shared" ref="DG15:DH29" si="41">DK15+DZ15+EC15+EF15+EI15+EL15+EO15+ER15+EU15</f>
        <v>2149.9078</v>
      </c>
      <c r="DI15" s="305">
        <f t="shared" ref="DI15:DI29" si="42">DH15/DG15*100</f>
        <v>6.8996651680605927</v>
      </c>
      <c r="DJ15" s="313">
        <f>DM15+DP15+DS15+DV15</f>
        <v>2004.712</v>
      </c>
      <c r="DK15" s="313">
        <f t="shared" ref="DJ15:DK29" si="43">DN15+DQ15+DT15+DW15</f>
        <v>321.35309000000001</v>
      </c>
      <c r="DL15" s="305">
        <f t="shared" ref="DL15:DL29" si="44">DK15/DJ15*100</f>
        <v>16.029888083674862</v>
      </c>
      <c r="DM15" s="305">
        <f>Сун!C60</f>
        <v>1987.4</v>
      </c>
      <c r="DN15" s="305">
        <f>Сун!D60</f>
        <v>314.04109</v>
      </c>
      <c r="DO15" s="305">
        <f t="shared" ref="DO15:DO29" si="45">DN15/DM15*100</f>
        <v>15.801604609036932</v>
      </c>
      <c r="DP15" s="305">
        <f>Сун!C63</f>
        <v>0</v>
      </c>
      <c r="DQ15" s="305">
        <f>Сун!D63</f>
        <v>0</v>
      </c>
      <c r="DR15" s="305" t="e">
        <f t="shared" ref="DR15:DR29" si="46">DQ15/DP15*100</f>
        <v>#DIV/0!</v>
      </c>
      <c r="DS15" s="305">
        <f>Сун!C64</f>
        <v>10</v>
      </c>
      <c r="DT15" s="305">
        <f>Сун!D64</f>
        <v>0</v>
      </c>
      <c r="DU15" s="305">
        <f t="shared" ref="DU15:DU29" si="47">DT15/DS15*100</f>
        <v>0</v>
      </c>
      <c r="DV15" s="305">
        <f>Сун!C65</f>
        <v>7.3120000000000003</v>
      </c>
      <c r="DW15" s="305">
        <f>Сун!D65</f>
        <v>7.3120000000000003</v>
      </c>
      <c r="DX15" s="305">
        <f t="shared" ref="DX15:DX29" si="48">DW15/DV15*100</f>
        <v>100</v>
      </c>
      <c r="DY15" s="305">
        <f>Сун!C67</f>
        <v>235.76499999999999</v>
      </c>
      <c r="DZ15" s="305">
        <f>Сун!D67</f>
        <v>33.179630000000003</v>
      </c>
      <c r="EA15" s="305">
        <f t="shared" ref="EA15:EA31" si="49">DZ15/DY15*100</f>
        <v>14.073178800924651</v>
      </c>
      <c r="EB15" s="305">
        <f>Сун!C68</f>
        <v>23</v>
      </c>
      <c r="EC15" s="305">
        <f>Сун!D68</f>
        <v>0</v>
      </c>
      <c r="ED15" s="305">
        <f t="shared" ref="ED15:ED31" si="50">EC15/EB15*100</f>
        <v>0</v>
      </c>
      <c r="EE15" s="313">
        <f>Сун!C74</f>
        <v>2972.07555</v>
      </c>
      <c r="EF15" s="313">
        <f>Сун!D74</f>
        <v>8</v>
      </c>
      <c r="EG15" s="305">
        <f t="shared" ref="EG15:EG29" si="51">EF15/EE15*100</f>
        <v>0.26917216152193707</v>
      </c>
      <c r="EH15" s="313">
        <f>Сун!C79</f>
        <v>22582.14357</v>
      </c>
      <c r="EI15" s="313">
        <f>Сун!D79</f>
        <v>964.66260999999997</v>
      </c>
      <c r="EJ15" s="305">
        <f t="shared" ref="EJ15:EJ29" si="52">EI15/EH15*100</f>
        <v>4.2717938047366681</v>
      </c>
      <c r="EK15" s="313">
        <f>Сун!C84</f>
        <v>3331.9</v>
      </c>
      <c r="EL15" s="318">
        <f>Сун!D84</f>
        <v>822.71247000000005</v>
      </c>
      <c r="EM15" s="305">
        <f t="shared" si="10"/>
        <v>24.691991656412256</v>
      </c>
      <c r="EN15" s="305">
        <f>Сун!C87</f>
        <v>0</v>
      </c>
      <c r="EO15" s="305">
        <f>Сун!D87</f>
        <v>0</v>
      </c>
      <c r="EP15" s="305" t="e">
        <f t="shared" si="11"/>
        <v>#DIV/0!</v>
      </c>
      <c r="EQ15" s="319">
        <f>Сун!C92</f>
        <v>10</v>
      </c>
      <c r="ER15" s="319">
        <f>Сун!D92</f>
        <v>0</v>
      </c>
      <c r="ES15" s="305">
        <f t="shared" ref="ES15:ES29" si="53">ER15/EQ15*100</f>
        <v>0</v>
      </c>
      <c r="ET15" s="305">
        <f>Сун!C98</f>
        <v>0</v>
      </c>
      <c r="EU15" s="305">
        <f>Сун!D98</f>
        <v>0</v>
      </c>
      <c r="EV15" s="298" t="e">
        <f>EU15/ET15*100</f>
        <v>#DIV/0!</v>
      </c>
      <c r="EW15" s="312">
        <f t="shared" si="12"/>
        <v>-1077.1081400000003</v>
      </c>
      <c r="EX15" s="312">
        <f t="shared" si="13"/>
        <v>73.202739999999721</v>
      </c>
      <c r="EY15" s="298">
        <f>EX15/EW15*100%</f>
        <v>-6.7962293925287492E-2</v>
      </c>
      <c r="EZ15" s="159"/>
      <c r="FA15" s="160"/>
      <c r="FC15" s="160"/>
    </row>
    <row r="16" spans="1:159" s="157" customFormat="1" ht="25.5" customHeight="1">
      <c r="A16" s="341">
        <v>3</v>
      </c>
      <c r="B16" s="343" t="s">
        <v>292</v>
      </c>
      <c r="C16" s="320">
        <f t="shared" si="14"/>
        <v>16078.21272</v>
      </c>
      <c r="D16" s="297">
        <f t="shared" si="0"/>
        <v>1259.4178099999999</v>
      </c>
      <c r="E16" s="305">
        <f t="shared" si="1"/>
        <v>7.8330709509358947</v>
      </c>
      <c r="F16" s="299">
        <f t="shared" si="15"/>
        <v>2507.9700000000003</v>
      </c>
      <c r="G16" s="299">
        <f t="shared" si="3"/>
        <v>333.49680999999998</v>
      </c>
      <c r="H16" s="305">
        <f t="shared" si="16"/>
        <v>13.297480033652715</v>
      </c>
      <c r="I16" s="321">
        <f>Иль!C6</f>
        <v>120</v>
      </c>
      <c r="J16" s="449">
        <f>Иль!D6</f>
        <v>6.6431800000000001</v>
      </c>
      <c r="K16" s="305">
        <f t="shared" si="17"/>
        <v>5.5359833333333341</v>
      </c>
      <c r="L16" s="305">
        <f>Иль!C8</f>
        <v>290.18299999999999</v>
      </c>
      <c r="M16" s="305">
        <f>Иль!D8</f>
        <v>98.721789999999999</v>
      </c>
      <c r="N16" s="298">
        <f t="shared" si="18"/>
        <v>34.020528425166191</v>
      </c>
      <c r="O16" s="298">
        <f>Иль!C9</f>
        <v>3.1120000000000001</v>
      </c>
      <c r="P16" s="298">
        <f>Иль!D9</f>
        <v>0.63258000000000003</v>
      </c>
      <c r="Q16" s="298">
        <f t="shared" si="19"/>
        <v>20.327120822622106</v>
      </c>
      <c r="R16" s="298">
        <f>Иль!C10</f>
        <v>484.67500000000001</v>
      </c>
      <c r="S16" s="298">
        <f>Иль!D10</f>
        <v>119.45173</v>
      </c>
      <c r="T16" s="298">
        <f t="shared" si="20"/>
        <v>24.645737865580028</v>
      </c>
      <c r="U16" s="298">
        <f>Иль!C11</f>
        <v>0</v>
      </c>
      <c r="V16" s="302">
        <f>Иль!D11</f>
        <v>-13.24479</v>
      </c>
      <c r="W16" s="298" t="e">
        <f t="shared" si="21"/>
        <v>#DIV/0!</v>
      </c>
      <c r="X16" s="313">
        <f>Иль!C13</f>
        <v>10</v>
      </c>
      <c r="Y16" s="313">
        <f>Иль!D13</f>
        <v>2.8235999999999999</v>
      </c>
      <c r="Z16" s="305">
        <f t="shared" si="22"/>
        <v>28.236000000000001</v>
      </c>
      <c r="AA16" s="313">
        <f>Иль!C15</f>
        <v>406</v>
      </c>
      <c r="AB16" s="304">
        <f>Иль!D15</f>
        <v>13.92037</v>
      </c>
      <c r="AC16" s="305">
        <f t="shared" si="23"/>
        <v>3.4286625615763544</v>
      </c>
      <c r="AD16" s="313">
        <f>Иль!C16</f>
        <v>890</v>
      </c>
      <c r="AE16" s="313">
        <f>Иль!D16</f>
        <v>42.159350000000003</v>
      </c>
      <c r="AF16" s="305">
        <f t="shared" si="4"/>
        <v>4.7370056179775286</v>
      </c>
      <c r="AG16" s="305">
        <f>Иль!C18</f>
        <v>4</v>
      </c>
      <c r="AH16" s="305">
        <f>Иль!D18</f>
        <v>0.9</v>
      </c>
      <c r="AI16" s="305">
        <f t="shared" si="24"/>
        <v>22.5</v>
      </c>
      <c r="AJ16" s="305"/>
      <c r="AK16" s="305"/>
      <c r="AL16" s="305" t="e">
        <f t="shared" si="5"/>
        <v>#DIV/0!</v>
      </c>
      <c r="AM16" s="313">
        <f>Иль!C27</f>
        <v>0</v>
      </c>
      <c r="AN16" s="313">
        <f>Иль!D27</f>
        <v>0</v>
      </c>
      <c r="AO16" s="305" t="e">
        <f t="shared" si="6"/>
        <v>#DIV/0!</v>
      </c>
      <c r="AP16" s="313">
        <f>Иль!C28</f>
        <v>250</v>
      </c>
      <c r="AQ16" s="314">
        <f>Иль!D28</f>
        <v>60.768999999999998</v>
      </c>
      <c r="AR16" s="305">
        <f t="shared" si="25"/>
        <v>24.307599999999997</v>
      </c>
      <c r="AS16" s="307">
        <f>Иль!C29</f>
        <v>20</v>
      </c>
      <c r="AT16" s="314">
        <f>Иль!D29</f>
        <v>0</v>
      </c>
      <c r="AU16" s="305">
        <f t="shared" si="26"/>
        <v>0</v>
      </c>
      <c r="AV16" s="313"/>
      <c r="AW16" s="313"/>
      <c r="AX16" s="305" t="e">
        <f t="shared" si="27"/>
        <v>#DIV/0!</v>
      </c>
      <c r="AY16" s="305">
        <f>Иль!C30</f>
        <v>30</v>
      </c>
      <c r="AZ16" s="308">
        <f>Иль!D30</f>
        <v>0.72</v>
      </c>
      <c r="BA16" s="305">
        <f t="shared" si="28"/>
        <v>2.4</v>
      </c>
      <c r="BB16" s="305"/>
      <c r="BC16" s="305"/>
      <c r="BD16" s="305"/>
      <c r="BE16" s="305">
        <f>Иль!C35</f>
        <v>0</v>
      </c>
      <c r="BF16" s="305">
        <f>SUM(Иль!D33)</f>
        <v>0</v>
      </c>
      <c r="BG16" s="305" t="e">
        <f t="shared" si="29"/>
        <v>#DIV/0!</v>
      </c>
      <c r="BH16" s="305"/>
      <c r="BI16" s="305"/>
      <c r="BJ16" s="305" t="e">
        <f t="shared" si="30"/>
        <v>#DIV/0!</v>
      </c>
      <c r="BK16" s="305"/>
      <c r="BL16" s="305"/>
      <c r="BM16" s="305"/>
      <c r="BN16" s="305">
        <f>Иль!C36</f>
        <v>0</v>
      </c>
      <c r="BO16" s="305">
        <f>Иль!D36</f>
        <v>0</v>
      </c>
      <c r="BP16" s="298" t="e">
        <f t="shared" si="31"/>
        <v>#DIV/0!</v>
      </c>
      <c r="BQ16" s="305">
        <v>0</v>
      </c>
      <c r="BR16" s="305">
        <f>Иль!D39</f>
        <v>0</v>
      </c>
      <c r="BS16" s="305" t="e">
        <f t="shared" si="32"/>
        <v>#DIV/0!</v>
      </c>
      <c r="BT16" s="305"/>
      <c r="BU16" s="305"/>
      <c r="BV16" s="315" t="e">
        <f t="shared" si="33"/>
        <v>#DIV/0!</v>
      </c>
      <c r="BW16" s="315"/>
      <c r="BX16" s="315"/>
      <c r="BY16" s="315" t="e">
        <f t="shared" si="34"/>
        <v>#DIV/0!</v>
      </c>
      <c r="BZ16" s="303">
        <f>CC16+CF16+CI16+CL16+CR16+CO16</f>
        <v>13570.242719999998</v>
      </c>
      <c r="CA16" s="303">
        <f t="shared" si="36"/>
        <v>925.92100000000005</v>
      </c>
      <c r="CB16" s="305">
        <f>CA16/BZ16*100</f>
        <v>6.8231719881868118</v>
      </c>
      <c r="CC16" s="305">
        <f>Иль!C44</f>
        <v>2693</v>
      </c>
      <c r="CD16" s="305">
        <f>Иль!D44</f>
        <v>673.25099999999998</v>
      </c>
      <c r="CE16" s="305">
        <f t="shared" si="37"/>
        <v>25.000037133308577</v>
      </c>
      <c r="CF16" s="305">
        <f>Иль!C45</f>
        <v>0</v>
      </c>
      <c r="CG16" s="461">
        <f>Иль!D45</f>
        <v>0</v>
      </c>
      <c r="CH16" s="305" t="e">
        <f t="shared" si="38"/>
        <v>#DIV/0!</v>
      </c>
      <c r="CI16" s="298">
        <f>Иль!C46</f>
        <v>7559.90344</v>
      </c>
      <c r="CJ16" s="305">
        <f>Иль!D46</f>
        <v>181.45099999999999</v>
      </c>
      <c r="CK16" s="305">
        <f t="shared" si="7"/>
        <v>2.4001761588637436</v>
      </c>
      <c r="CL16" s="305">
        <f>Иль!C48</f>
        <v>108.5819</v>
      </c>
      <c r="CM16" s="305">
        <f>Иль!D48</f>
        <v>27.219000000000001</v>
      </c>
      <c r="CN16" s="305">
        <f t="shared" si="8"/>
        <v>25.067713863912861</v>
      </c>
      <c r="CO16" s="305">
        <f>Иль!C49</f>
        <v>2172.5410000000002</v>
      </c>
      <c r="CP16" s="305">
        <f>Иль!D49</f>
        <v>0</v>
      </c>
      <c r="CQ16" s="298">
        <f t="shared" si="39"/>
        <v>0</v>
      </c>
      <c r="CR16" s="317">
        <f>Иль!C53</f>
        <v>1036.2163800000001</v>
      </c>
      <c r="CS16" s="305">
        <f>Иль!D53</f>
        <v>44</v>
      </c>
      <c r="CT16" s="305">
        <f t="shared" si="9"/>
        <v>4.2462173778800905</v>
      </c>
      <c r="CU16" s="305"/>
      <c r="CV16" s="305"/>
      <c r="CW16" s="305"/>
      <c r="CX16" s="313"/>
      <c r="CY16" s="313"/>
      <c r="CZ16" s="305" t="e">
        <f t="shared" si="40"/>
        <v>#DIV/0!</v>
      </c>
      <c r="DA16" s="305"/>
      <c r="DB16" s="305"/>
      <c r="DC16" s="305"/>
      <c r="DD16" s="305"/>
      <c r="DE16" s="305"/>
      <c r="DF16" s="305">
        <v>0</v>
      </c>
      <c r="DG16" s="307">
        <f t="shared" si="41"/>
        <v>16868.04076</v>
      </c>
      <c r="DH16" s="307">
        <f t="shared" si="41"/>
        <v>1178.6342399999999</v>
      </c>
      <c r="DI16" s="305">
        <f t="shared" si="42"/>
        <v>6.9873807916978254</v>
      </c>
      <c r="DJ16" s="313">
        <f t="shared" si="43"/>
        <v>1607.028</v>
      </c>
      <c r="DK16" s="313">
        <f t="shared" si="43"/>
        <v>259.86407000000003</v>
      </c>
      <c r="DL16" s="305">
        <f t="shared" si="44"/>
        <v>16.170475561097881</v>
      </c>
      <c r="DM16" s="305">
        <f>Иль!C61</f>
        <v>1592.6</v>
      </c>
      <c r="DN16" s="305">
        <f>Иль!D61</f>
        <v>255.43607</v>
      </c>
      <c r="DO16" s="305">
        <f t="shared" si="45"/>
        <v>16.038934446816526</v>
      </c>
      <c r="DP16" s="305">
        <f>Иль!C64</f>
        <v>0</v>
      </c>
      <c r="DQ16" s="305">
        <f>Иль!D64</f>
        <v>0</v>
      </c>
      <c r="DR16" s="305" t="e">
        <f t="shared" si="46"/>
        <v>#DIV/0!</v>
      </c>
      <c r="DS16" s="305">
        <f>Иль!C65</f>
        <v>10</v>
      </c>
      <c r="DT16" s="305">
        <f>Иль!D65</f>
        <v>0</v>
      </c>
      <c r="DU16" s="305">
        <f t="shared" si="47"/>
        <v>0</v>
      </c>
      <c r="DV16" s="305">
        <f>Иль!C66</f>
        <v>4.4279999999999999</v>
      </c>
      <c r="DW16" s="305">
        <f>Иль!D66</f>
        <v>4.4279999999999999</v>
      </c>
      <c r="DX16" s="305">
        <f t="shared" si="48"/>
        <v>100</v>
      </c>
      <c r="DY16" s="305">
        <f>Иль!C68</f>
        <v>94.305999999999997</v>
      </c>
      <c r="DZ16" s="305">
        <f>Иль!D68</f>
        <v>21.815999999999999</v>
      </c>
      <c r="EA16" s="305">
        <f t="shared" si="49"/>
        <v>23.133204674145865</v>
      </c>
      <c r="EB16" s="305">
        <f>Иль!C69</f>
        <v>38.5</v>
      </c>
      <c r="EC16" s="305">
        <f>Иль!D69</f>
        <v>0</v>
      </c>
      <c r="ED16" s="305">
        <f t="shared" si="50"/>
        <v>0</v>
      </c>
      <c r="EE16" s="313">
        <f>Иль!C75</f>
        <v>12279.816980000001</v>
      </c>
      <c r="EF16" s="313">
        <f>Иль!D75</f>
        <v>212.68199999999999</v>
      </c>
      <c r="EG16" s="305">
        <f t="shared" si="51"/>
        <v>1.7319639237815414</v>
      </c>
      <c r="EH16" s="313">
        <f>Иль!C82</f>
        <v>918.00599999999997</v>
      </c>
      <c r="EI16" s="313">
        <f>Иль!D82</f>
        <v>235.08606</v>
      </c>
      <c r="EJ16" s="305">
        <f t="shared" si="52"/>
        <v>25.608335893229455</v>
      </c>
      <c r="EK16" s="313">
        <f>Иль!C86</f>
        <v>1920.3837799999999</v>
      </c>
      <c r="EL16" s="318">
        <f>Иль!D86</f>
        <v>449.18610999999999</v>
      </c>
      <c r="EM16" s="305">
        <f t="shared" si="10"/>
        <v>23.390434489089468</v>
      </c>
      <c r="EN16" s="305">
        <f>Иль!C88</f>
        <v>0</v>
      </c>
      <c r="EO16" s="305">
        <f>Иль!D88</f>
        <v>0</v>
      </c>
      <c r="EP16" s="305" t="e">
        <f t="shared" si="11"/>
        <v>#DIV/0!</v>
      </c>
      <c r="EQ16" s="319">
        <f>Иль!C93</f>
        <v>10</v>
      </c>
      <c r="ER16" s="319">
        <f>Иль!D93</f>
        <v>0</v>
      </c>
      <c r="ES16" s="305">
        <f t="shared" si="53"/>
        <v>0</v>
      </c>
      <c r="ET16" s="305">
        <f>Иль!C99</f>
        <v>0</v>
      </c>
      <c r="EU16" s="305">
        <f>Иль!D99</f>
        <v>0</v>
      </c>
      <c r="EV16" s="298" t="e">
        <f t="shared" ref="EV16:EV29" si="54">EU16/ET16*100</f>
        <v>#DIV/0!</v>
      </c>
      <c r="EW16" s="312">
        <f t="shared" si="12"/>
        <v>-789.82804000000033</v>
      </c>
      <c r="EX16" s="312">
        <f t="shared" si="13"/>
        <v>80.783570000000054</v>
      </c>
      <c r="EY16" s="298">
        <f>EX16/EW16*100</f>
        <v>-10.227994691097573</v>
      </c>
      <c r="EZ16" s="159"/>
      <c r="FA16" s="160"/>
      <c r="FC16" s="160"/>
    </row>
    <row r="17" spans="1:170" s="157" customFormat="1" ht="22.5" customHeight="1">
      <c r="A17" s="341">
        <v>4</v>
      </c>
      <c r="B17" s="343" t="s">
        <v>293</v>
      </c>
      <c r="C17" s="320">
        <f t="shared" si="14"/>
        <v>12232.035260000001</v>
      </c>
      <c r="D17" s="297">
        <f t="shared" si="0"/>
        <v>1976.89779</v>
      </c>
      <c r="E17" s="305">
        <f t="shared" si="1"/>
        <v>16.161642343074799</v>
      </c>
      <c r="F17" s="299">
        <f t="shared" si="15"/>
        <v>5319.61</v>
      </c>
      <c r="G17" s="299">
        <f t="shared" si="3"/>
        <v>939.54878999999994</v>
      </c>
      <c r="H17" s="305">
        <f t="shared" si="16"/>
        <v>17.66198631102656</v>
      </c>
      <c r="I17" s="313">
        <f>Кад!C6</f>
        <v>594</v>
      </c>
      <c r="J17" s="450">
        <f>Кад!D6</f>
        <v>129.81313</v>
      </c>
      <c r="K17" s="305">
        <f t="shared" si="17"/>
        <v>21.85406228956229</v>
      </c>
      <c r="L17" s="305">
        <f>Кад!C8</f>
        <v>345.25299999999999</v>
      </c>
      <c r="M17" s="305">
        <f>Кад!D8</f>
        <v>117.45731000000001</v>
      </c>
      <c r="N17" s="298">
        <f t="shared" si="18"/>
        <v>34.020648625790365</v>
      </c>
      <c r="O17" s="298">
        <f>Кад!C9</f>
        <v>3.702</v>
      </c>
      <c r="P17" s="298">
        <f>Кад!D9</f>
        <v>0.75263000000000002</v>
      </c>
      <c r="Q17" s="298">
        <f t="shared" si="19"/>
        <v>20.330361966504594</v>
      </c>
      <c r="R17" s="298">
        <f>Кад!C10</f>
        <v>576.65499999999997</v>
      </c>
      <c r="S17" s="298">
        <f>Кад!D10</f>
        <v>142.12139999999999</v>
      </c>
      <c r="T17" s="298">
        <f t="shared" si="20"/>
        <v>24.645828094788044</v>
      </c>
      <c r="U17" s="298">
        <f>Кад!C11</f>
        <v>0</v>
      </c>
      <c r="V17" s="302">
        <f>Кад!D11</f>
        <v>-15.758419999999999</v>
      </c>
      <c r="W17" s="298" t="e">
        <f t="shared" si="21"/>
        <v>#DIV/0!</v>
      </c>
      <c r="X17" s="313">
        <f>Кад!C13</f>
        <v>75</v>
      </c>
      <c r="Y17" s="313">
        <f>Кад!D13</f>
        <v>124.6788</v>
      </c>
      <c r="Z17" s="305">
        <f t="shared" si="22"/>
        <v>166.23839999999998</v>
      </c>
      <c r="AA17" s="313">
        <f>Кад!C15</f>
        <v>473</v>
      </c>
      <c r="AB17" s="304">
        <f>Кад!D15</f>
        <v>53.316890000000001</v>
      </c>
      <c r="AC17" s="305">
        <f t="shared" si="23"/>
        <v>11.272069767441861</v>
      </c>
      <c r="AD17" s="313">
        <f>Кад!C16</f>
        <v>3000</v>
      </c>
      <c r="AE17" s="313">
        <f>Кад!D16</f>
        <v>387.16705000000002</v>
      </c>
      <c r="AF17" s="305">
        <f t="shared" si="4"/>
        <v>12.905568333333333</v>
      </c>
      <c r="AG17" s="305">
        <f>Кад!C18</f>
        <v>10</v>
      </c>
      <c r="AH17" s="305">
        <f>Кад!D18</f>
        <v>0</v>
      </c>
      <c r="AI17" s="305">
        <f t="shared" si="24"/>
        <v>0</v>
      </c>
      <c r="AJ17" s="305"/>
      <c r="AK17" s="305"/>
      <c r="AL17" s="305" t="e">
        <f t="shared" si="5"/>
        <v>#DIV/0!</v>
      </c>
      <c r="AM17" s="313">
        <v>0</v>
      </c>
      <c r="AN17" s="313">
        <v>0</v>
      </c>
      <c r="AO17" s="305" t="e">
        <f t="shared" si="6"/>
        <v>#DIV/0!</v>
      </c>
      <c r="AP17" s="313">
        <f>Кад!C27</f>
        <v>200</v>
      </c>
      <c r="AQ17" s="314">
        <f>Кад!D27</f>
        <v>0</v>
      </c>
      <c r="AR17" s="305">
        <f t="shared" si="25"/>
        <v>0</v>
      </c>
      <c r="AS17" s="307">
        <f>Кад!C28</f>
        <v>12</v>
      </c>
      <c r="AT17" s="314">
        <f>Кад!D28</f>
        <v>0</v>
      </c>
      <c r="AU17" s="305">
        <f t="shared" si="26"/>
        <v>0</v>
      </c>
      <c r="AV17" s="313"/>
      <c r="AW17" s="313"/>
      <c r="AX17" s="305" t="e">
        <f t="shared" si="27"/>
        <v>#DIV/0!</v>
      </c>
      <c r="AY17" s="305">
        <f>Кад!C30</f>
        <v>30</v>
      </c>
      <c r="AZ17" s="308">
        <f>Кад!D30</f>
        <v>0</v>
      </c>
      <c r="BA17" s="305">
        <f t="shared" si="28"/>
        <v>0</v>
      </c>
      <c r="BB17" s="305"/>
      <c r="BC17" s="305"/>
      <c r="BD17" s="305"/>
      <c r="BE17" s="305">
        <f>Кад!C33</f>
        <v>0</v>
      </c>
      <c r="BF17" s="305">
        <f>Кад!D33</f>
        <v>0</v>
      </c>
      <c r="BG17" s="305" t="e">
        <f t="shared" si="29"/>
        <v>#DIV/0!</v>
      </c>
      <c r="BH17" s="305"/>
      <c r="BI17" s="305"/>
      <c r="BJ17" s="305" t="e">
        <f t="shared" si="30"/>
        <v>#DIV/0!</v>
      </c>
      <c r="BK17" s="305"/>
      <c r="BL17" s="305"/>
      <c r="BM17" s="305"/>
      <c r="BN17" s="305">
        <f>Кад!C34</f>
        <v>0</v>
      </c>
      <c r="BO17" s="305">
        <f>Кад!D34</f>
        <v>0</v>
      </c>
      <c r="BP17" s="298" t="e">
        <f t="shared" si="31"/>
        <v>#DIV/0!</v>
      </c>
      <c r="BQ17" s="305">
        <f>Кад!C36</f>
        <v>0</v>
      </c>
      <c r="BR17" s="305">
        <f>Кад!D36</f>
        <v>0</v>
      </c>
      <c r="BS17" s="305" t="e">
        <f t="shared" si="32"/>
        <v>#DIV/0!</v>
      </c>
      <c r="BT17" s="305"/>
      <c r="BU17" s="305"/>
      <c r="BV17" s="315" t="e">
        <f t="shared" si="33"/>
        <v>#DIV/0!</v>
      </c>
      <c r="BW17" s="315"/>
      <c r="BX17" s="315"/>
      <c r="BY17" s="315" t="e">
        <f t="shared" si="34"/>
        <v>#DIV/0!</v>
      </c>
      <c r="BZ17" s="303">
        <f t="shared" si="35"/>
        <v>6912.42526</v>
      </c>
      <c r="CA17" s="303">
        <f>CD17+CG17+CJ17+CM17+CS17+CP17+CV17</f>
        <v>1037.3489999999999</v>
      </c>
      <c r="CB17" s="305">
        <f>CA17/BZ17*100</f>
        <v>15.007019403201474</v>
      </c>
      <c r="CC17" s="305">
        <f>Кад!C41</f>
        <v>2418.1</v>
      </c>
      <c r="CD17" s="305">
        <f>Кад!D41</f>
        <v>604.524</v>
      </c>
      <c r="CE17" s="305">
        <f t="shared" si="37"/>
        <v>24.999958645217323</v>
      </c>
      <c r="CF17" s="305">
        <f>Кад!C42</f>
        <v>0</v>
      </c>
      <c r="CG17" s="461">
        <f>Кад!D42</f>
        <v>0</v>
      </c>
      <c r="CH17" s="305" t="e">
        <f t="shared" si="38"/>
        <v>#DIV/0!</v>
      </c>
      <c r="CI17" s="298">
        <f>Кад!C43</f>
        <v>3859.5329999999999</v>
      </c>
      <c r="CJ17" s="305">
        <f>Кад!D43</f>
        <v>378.39</v>
      </c>
      <c r="CK17" s="305">
        <f t="shared" si="7"/>
        <v>9.8040358768794054</v>
      </c>
      <c r="CL17" s="305">
        <f>Кад!C45</f>
        <v>235.76499999999999</v>
      </c>
      <c r="CM17" s="305">
        <f>Кад!D45</f>
        <v>54.435000000000002</v>
      </c>
      <c r="CN17" s="305">
        <f t="shared" si="8"/>
        <v>23.088668801560878</v>
      </c>
      <c r="CO17" s="305">
        <f>Кад!C46</f>
        <v>73.025000000000006</v>
      </c>
      <c r="CP17" s="305">
        <f>Кад!D46</f>
        <v>0</v>
      </c>
      <c r="CQ17" s="298">
        <f t="shared" si="39"/>
        <v>0</v>
      </c>
      <c r="CR17" s="317">
        <f>Кад!C47</f>
        <v>326.00225999999998</v>
      </c>
      <c r="CS17" s="305">
        <f>Кад!D47</f>
        <v>0</v>
      </c>
      <c r="CT17" s="305">
        <f t="shared" si="9"/>
        <v>0</v>
      </c>
      <c r="CU17" s="305"/>
      <c r="CV17" s="305"/>
      <c r="CW17" s="305"/>
      <c r="CX17" s="313"/>
      <c r="CY17" s="313"/>
      <c r="CZ17" s="305" t="e">
        <f t="shared" si="40"/>
        <v>#DIV/0!</v>
      </c>
      <c r="DA17" s="305"/>
      <c r="DB17" s="305"/>
      <c r="DC17" s="305"/>
      <c r="DD17" s="305"/>
      <c r="DE17" s="305"/>
      <c r="DF17" s="305"/>
      <c r="DG17" s="307">
        <f t="shared" si="41"/>
        <v>13095.43354</v>
      </c>
      <c r="DH17" s="307">
        <f t="shared" si="41"/>
        <v>1554.31772</v>
      </c>
      <c r="DI17" s="305">
        <f t="shared" si="42"/>
        <v>11.869158170688559</v>
      </c>
      <c r="DJ17" s="313">
        <f t="shared" si="43"/>
        <v>1918.6</v>
      </c>
      <c r="DK17" s="313">
        <f t="shared" si="43"/>
        <v>403.00756000000001</v>
      </c>
      <c r="DL17" s="305">
        <f t="shared" si="44"/>
        <v>21.005293443135624</v>
      </c>
      <c r="DM17" s="305">
        <f>Кад!C57</f>
        <v>1852.5</v>
      </c>
      <c r="DN17" s="305">
        <f>Кад!D57</f>
        <v>346.90755999999999</v>
      </c>
      <c r="DO17" s="305">
        <f t="shared" si="45"/>
        <v>18.726453981106612</v>
      </c>
      <c r="DP17" s="305">
        <f>Кад!C60</f>
        <v>0</v>
      </c>
      <c r="DQ17" s="305">
        <f>Кад!D60</f>
        <v>0</v>
      </c>
      <c r="DR17" s="305" t="e">
        <f t="shared" si="46"/>
        <v>#DIV/0!</v>
      </c>
      <c r="DS17" s="305">
        <f>Кад!C61</f>
        <v>10</v>
      </c>
      <c r="DT17" s="305">
        <f>Кад!D61</f>
        <v>0</v>
      </c>
      <c r="DU17" s="305">
        <f t="shared" si="47"/>
        <v>0</v>
      </c>
      <c r="DV17" s="305">
        <f>Кад!C62</f>
        <v>56.1</v>
      </c>
      <c r="DW17" s="305">
        <f>Кад!D62</f>
        <v>56.1</v>
      </c>
      <c r="DX17" s="305">
        <f t="shared" si="48"/>
        <v>100</v>
      </c>
      <c r="DY17" s="305">
        <f>Кад!C64</f>
        <v>235.76499999999999</v>
      </c>
      <c r="DZ17" s="305">
        <f>Кад!D64</f>
        <v>41.169559999999997</v>
      </c>
      <c r="EA17" s="305">
        <f t="shared" si="49"/>
        <v>17.462116938476875</v>
      </c>
      <c r="EB17" s="305">
        <f>Кад!C65</f>
        <v>18.899999999999999</v>
      </c>
      <c r="EC17" s="305">
        <f>Кад!D65</f>
        <v>0.7</v>
      </c>
      <c r="ED17" s="305">
        <f t="shared" si="50"/>
        <v>3.7037037037037033</v>
      </c>
      <c r="EE17" s="313">
        <f>Кад!C71</f>
        <v>5122.4980400000004</v>
      </c>
      <c r="EF17" s="313">
        <f>Кад!D71</f>
        <v>434.47699999999998</v>
      </c>
      <c r="EG17" s="305">
        <f t="shared" si="51"/>
        <v>8.4817406782258118</v>
      </c>
      <c r="EH17" s="313">
        <f>Кад!C76</f>
        <v>3866.2705000000001</v>
      </c>
      <c r="EI17" s="313">
        <f>Кад!D76</f>
        <v>195.36259999999999</v>
      </c>
      <c r="EJ17" s="305">
        <f t="shared" si="52"/>
        <v>5.0529987490528656</v>
      </c>
      <c r="EK17" s="313">
        <f>Кад!C80</f>
        <v>1918.4</v>
      </c>
      <c r="EL17" s="318">
        <f>Кад!D80</f>
        <v>479.601</v>
      </c>
      <c r="EM17" s="305">
        <f t="shared" si="10"/>
        <v>25.00005212677231</v>
      </c>
      <c r="EN17" s="305">
        <f>Кад!C82</f>
        <v>0</v>
      </c>
      <c r="EO17" s="305">
        <f>Кад!D82</f>
        <v>0</v>
      </c>
      <c r="EP17" s="305" t="e">
        <f t="shared" si="11"/>
        <v>#DIV/0!</v>
      </c>
      <c r="EQ17" s="319">
        <f>Кад!C87</f>
        <v>15</v>
      </c>
      <c r="ER17" s="319">
        <f>Кад!D87</f>
        <v>0</v>
      </c>
      <c r="ES17" s="305">
        <f t="shared" si="53"/>
        <v>0</v>
      </c>
      <c r="ET17" s="305">
        <f>Кад!C93</f>
        <v>0</v>
      </c>
      <c r="EU17" s="305">
        <f>Кад!D93</f>
        <v>0</v>
      </c>
      <c r="EV17" s="298" t="e">
        <f t="shared" si="54"/>
        <v>#DIV/0!</v>
      </c>
      <c r="EW17" s="312">
        <f t="shared" si="12"/>
        <v>-863.39827999999943</v>
      </c>
      <c r="EX17" s="312">
        <f t="shared" si="13"/>
        <v>422.58006999999998</v>
      </c>
      <c r="EY17" s="298">
        <f>EX17/EW17*100</f>
        <v>-48.943816519995877</v>
      </c>
      <c r="EZ17" s="159"/>
      <c r="FA17" s="160"/>
      <c r="FC17" s="160"/>
    </row>
    <row r="18" spans="1:170" s="169" customFormat="1" ht="20.25" customHeight="1">
      <c r="A18" s="344">
        <v>5</v>
      </c>
      <c r="B18" s="345" t="s">
        <v>294</v>
      </c>
      <c r="C18" s="322">
        <f t="shared" si="14"/>
        <v>22951.779730000002</v>
      </c>
      <c r="D18" s="323">
        <f t="shared" si="0"/>
        <v>2951.1728599999997</v>
      </c>
      <c r="E18" s="308">
        <f t="shared" si="1"/>
        <v>12.858143876932369</v>
      </c>
      <c r="F18" s="299">
        <f t="shared" si="15"/>
        <v>5684.1</v>
      </c>
      <c r="G18" s="324">
        <f t="shared" si="3"/>
        <v>879.59786000000008</v>
      </c>
      <c r="H18" s="308">
        <f t="shared" si="16"/>
        <v>15.474707693390336</v>
      </c>
      <c r="I18" s="301">
        <f>Мор!C6</f>
        <v>2181</v>
      </c>
      <c r="J18" s="449">
        <f>Мор!D6</f>
        <v>447.83706000000001</v>
      </c>
      <c r="K18" s="308">
        <f t="shared" si="17"/>
        <v>20.533565337001374</v>
      </c>
      <c r="L18" s="308">
        <f>Мор!C8</f>
        <v>170.499</v>
      </c>
      <c r="M18" s="308">
        <f>Мор!D8</f>
        <v>58.00806</v>
      </c>
      <c r="N18" s="308">
        <f t="shared" si="18"/>
        <v>34.022522126229482</v>
      </c>
      <c r="O18" s="308">
        <f>Мор!C9</f>
        <v>1.8280000000000001</v>
      </c>
      <c r="P18" s="308">
        <f>Мор!D9</f>
        <v>0.37169999999999997</v>
      </c>
      <c r="Q18" s="308">
        <f t="shared" si="19"/>
        <v>20.333698030634569</v>
      </c>
      <c r="R18" s="308">
        <f>Мор!C10</f>
        <v>284.77300000000002</v>
      </c>
      <c r="S18" s="308">
        <f>Мор!D10</f>
        <v>70.188800000000001</v>
      </c>
      <c r="T18" s="308">
        <f t="shared" si="20"/>
        <v>24.647280465493569</v>
      </c>
      <c r="U18" s="308">
        <f>Мор!C11</f>
        <v>0</v>
      </c>
      <c r="V18" s="325">
        <f>Мор!D11</f>
        <v>-7.7825199999999999</v>
      </c>
      <c r="W18" s="308" t="e">
        <f t="shared" si="21"/>
        <v>#DIV/0!</v>
      </c>
      <c r="X18" s="307">
        <f>Мор!C13</f>
        <v>80</v>
      </c>
      <c r="Y18" s="307">
        <f>Мор!D13</f>
        <v>22.2699</v>
      </c>
      <c r="Z18" s="308">
        <f t="shared" si="22"/>
        <v>27.837374999999998</v>
      </c>
      <c r="AA18" s="307">
        <f>Мор!C15</f>
        <v>1266</v>
      </c>
      <c r="AB18" s="304">
        <f>Мор!D15</f>
        <v>68.055400000000006</v>
      </c>
      <c r="AC18" s="308">
        <f t="shared" si="23"/>
        <v>5.3756240126382311</v>
      </c>
      <c r="AD18" s="307">
        <f>Мор!C16</f>
        <v>1700</v>
      </c>
      <c r="AE18" s="307">
        <f>Мор!D16</f>
        <v>207.34945999999999</v>
      </c>
      <c r="AF18" s="308">
        <f t="shared" si="4"/>
        <v>12.197027058823529</v>
      </c>
      <c r="AG18" s="308">
        <f>Мор!C18</f>
        <v>0</v>
      </c>
      <c r="AH18" s="308">
        <f>Мор!D18</f>
        <v>0</v>
      </c>
      <c r="AI18" s="308" t="e">
        <f t="shared" si="24"/>
        <v>#DIV/0!</v>
      </c>
      <c r="AJ18" s="308">
        <f>Мор!C22</f>
        <v>0</v>
      </c>
      <c r="AK18" s="308">
        <f>Мор!D22</f>
        <v>0</v>
      </c>
      <c r="AL18" s="308" t="e">
        <f t="shared" si="5"/>
        <v>#DIV/0!</v>
      </c>
      <c r="AM18" s="307">
        <v>0</v>
      </c>
      <c r="AN18" s="307"/>
      <c r="AO18" s="308" t="e">
        <f t="shared" si="6"/>
        <v>#DIV/0!</v>
      </c>
      <c r="AP18" s="307">
        <f>Мор!C27</f>
        <v>0</v>
      </c>
      <c r="AQ18" s="314">
        <f>Мор!D27</f>
        <v>0</v>
      </c>
      <c r="AR18" s="308" t="e">
        <f t="shared" si="25"/>
        <v>#DIV/0!</v>
      </c>
      <c r="AS18" s="307">
        <f>Мор!C28</f>
        <v>0</v>
      </c>
      <c r="AT18" s="304">
        <f>Мор!D28</f>
        <v>0</v>
      </c>
      <c r="AU18" s="308" t="e">
        <f t="shared" si="26"/>
        <v>#DIV/0!</v>
      </c>
      <c r="AV18" s="307"/>
      <c r="AW18" s="307"/>
      <c r="AX18" s="308" t="e">
        <f t="shared" si="27"/>
        <v>#DIV/0!</v>
      </c>
      <c r="AY18" s="308">
        <f>Мор!C29</f>
        <v>0</v>
      </c>
      <c r="AZ18" s="308">
        <f>Мор!D29</f>
        <v>0</v>
      </c>
      <c r="BA18" s="308" t="e">
        <f t="shared" si="28"/>
        <v>#DIV/0!</v>
      </c>
      <c r="BB18" s="308"/>
      <c r="BC18" s="308"/>
      <c r="BD18" s="308"/>
      <c r="BE18" s="308">
        <f>Мор!C33</f>
        <v>0</v>
      </c>
      <c r="BF18" s="308">
        <f>SUM(Мор!D31)</f>
        <v>13.3</v>
      </c>
      <c r="BG18" s="308" t="e">
        <f>Мор!E33</f>
        <v>#DIV/0!</v>
      </c>
      <c r="BH18" s="308">
        <f>Мор!F33</f>
        <v>0</v>
      </c>
      <c r="BI18" s="308">
        <f>Мор!G33</f>
        <v>0</v>
      </c>
      <c r="BJ18" s="308">
        <f>Мор!H33</f>
        <v>0</v>
      </c>
      <c r="BK18" s="308">
        <f>Мор!I33</f>
        <v>0</v>
      </c>
      <c r="BL18" s="308">
        <f>Мор!J33</f>
        <v>0</v>
      </c>
      <c r="BM18" s="308">
        <f>Мор!K33</f>
        <v>0</v>
      </c>
      <c r="BN18" s="308">
        <f>Мор!C34</f>
        <v>0</v>
      </c>
      <c r="BO18" s="308">
        <f>Мор!D34</f>
        <v>0</v>
      </c>
      <c r="BP18" s="298" t="e">
        <f t="shared" si="31"/>
        <v>#DIV/0!</v>
      </c>
      <c r="BQ18" s="308">
        <f>Мор!C36</f>
        <v>0</v>
      </c>
      <c r="BR18" s="308">
        <f>Мор!D36</f>
        <v>0</v>
      </c>
      <c r="BS18" s="308" t="e">
        <f t="shared" si="32"/>
        <v>#DIV/0!</v>
      </c>
      <c r="BT18" s="308"/>
      <c r="BU18" s="308"/>
      <c r="BV18" s="326" t="e">
        <f t="shared" si="33"/>
        <v>#DIV/0!</v>
      </c>
      <c r="BW18" s="326"/>
      <c r="BX18" s="326"/>
      <c r="BY18" s="326" t="e">
        <f t="shared" si="34"/>
        <v>#DIV/0!</v>
      </c>
      <c r="BZ18" s="307">
        <f t="shared" si="35"/>
        <v>17267.67973</v>
      </c>
      <c r="CA18" s="303">
        <f t="shared" si="36"/>
        <v>2071.5749999999998</v>
      </c>
      <c r="CB18" s="308">
        <f t="shared" ref="CB18:CB31" si="55">CA18/BZ18*100</f>
        <v>11.996834736290305</v>
      </c>
      <c r="CC18" s="308">
        <f>Мор!C41</f>
        <v>8286.2999999999993</v>
      </c>
      <c r="CD18" s="308">
        <f>Мор!D41</f>
        <v>2071.5749999999998</v>
      </c>
      <c r="CE18" s="308">
        <f t="shared" si="37"/>
        <v>25</v>
      </c>
      <c r="CF18" s="308">
        <f>Мор!C42</f>
        <v>0</v>
      </c>
      <c r="CG18" s="462">
        <f>Мор!D42</f>
        <v>0</v>
      </c>
      <c r="CH18" s="308" t="e">
        <f t="shared" si="38"/>
        <v>#DIV/0!</v>
      </c>
      <c r="CI18" s="308">
        <f>Мор!C43</f>
        <v>8582.69283</v>
      </c>
      <c r="CJ18" s="308">
        <f>Мор!D43</f>
        <v>0</v>
      </c>
      <c r="CK18" s="308">
        <f t="shared" si="7"/>
        <v>0</v>
      </c>
      <c r="CL18" s="308">
        <f>Мор!C45</f>
        <v>21.4389</v>
      </c>
      <c r="CM18" s="308">
        <f>Мор!D45</f>
        <v>0</v>
      </c>
      <c r="CN18" s="308">
        <f t="shared" si="8"/>
        <v>0</v>
      </c>
      <c r="CO18" s="462">
        <f>Мор!C46</f>
        <v>377.24799999999999</v>
      </c>
      <c r="CP18" s="462">
        <f>Мор!D46</f>
        <v>0</v>
      </c>
      <c r="CQ18" s="298">
        <f t="shared" si="39"/>
        <v>0</v>
      </c>
      <c r="CR18" s="325">
        <f>Мор!C48</f>
        <v>0</v>
      </c>
      <c r="CS18" s="308">
        <f>Мор!D48</f>
        <v>0</v>
      </c>
      <c r="CT18" s="308" t="e">
        <f t="shared" si="9"/>
        <v>#DIV/0!</v>
      </c>
      <c r="CU18" s="308"/>
      <c r="CV18" s="308">
        <f>SUM(Мор!D49)</f>
        <v>0</v>
      </c>
      <c r="CW18" s="308"/>
      <c r="CX18" s="307"/>
      <c r="CY18" s="307"/>
      <c r="CZ18" s="308" t="e">
        <f t="shared" si="40"/>
        <v>#DIV/0!</v>
      </c>
      <c r="DA18" s="308"/>
      <c r="DB18" s="308"/>
      <c r="DC18" s="308"/>
      <c r="DD18" s="308"/>
      <c r="DE18" s="308"/>
      <c r="DF18" s="308"/>
      <c r="DG18" s="307">
        <f t="shared" si="41"/>
        <v>24440.747510000001</v>
      </c>
      <c r="DH18" s="307">
        <f t="shared" si="41"/>
        <v>3252.6380199999999</v>
      </c>
      <c r="DI18" s="308">
        <f t="shared" si="42"/>
        <v>13.308259162978439</v>
      </c>
      <c r="DJ18" s="307">
        <f t="shared" si="43"/>
        <v>2232.5080000000003</v>
      </c>
      <c r="DK18" s="307">
        <f t="shared" si="43"/>
        <v>428.78525000000002</v>
      </c>
      <c r="DL18" s="308">
        <f t="shared" si="44"/>
        <v>19.206437334155126</v>
      </c>
      <c r="DM18" s="308">
        <f>Мор!C58</f>
        <v>2208.3000000000002</v>
      </c>
      <c r="DN18" s="308">
        <f>Мор!D58</f>
        <v>414.57724999999999</v>
      </c>
      <c r="DO18" s="308">
        <f t="shared" si="45"/>
        <v>18.773592808948059</v>
      </c>
      <c r="DP18" s="308">
        <f>Мор!C61</f>
        <v>0</v>
      </c>
      <c r="DQ18" s="308">
        <f>Мор!D61</f>
        <v>0</v>
      </c>
      <c r="DR18" s="308" t="e">
        <f t="shared" si="46"/>
        <v>#DIV/0!</v>
      </c>
      <c r="DS18" s="308">
        <f>Мор!C62</f>
        <v>10</v>
      </c>
      <c r="DT18" s="308">
        <f>Мор!D62</f>
        <v>0</v>
      </c>
      <c r="DU18" s="308">
        <f t="shared" si="47"/>
        <v>0</v>
      </c>
      <c r="DV18" s="308">
        <f>Мор!C63</f>
        <v>14.208</v>
      </c>
      <c r="DW18" s="308">
        <f>Мор!D63</f>
        <v>14.208</v>
      </c>
      <c r="DX18" s="308">
        <f t="shared" si="48"/>
        <v>100</v>
      </c>
      <c r="DY18" s="308">
        <f>Мор!C64</f>
        <v>0</v>
      </c>
      <c r="DZ18" s="308">
        <f>Мор!D64</f>
        <v>0</v>
      </c>
      <c r="EA18" s="308" t="e">
        <f t="shared" si="49"/>
        <v>#DIV/0!</v>
      </c>
      <c r="EB18" s="308">
        <f>Мор!C66</f>
        <v>105</v>
      </c>
      <c r="EC18" s="308">
        <f>Мор!D66</f>
        <v>0</v>
      </c>
      <c r="ED18" s="308">
        <f t="shared" si="50"/>
        <v>0</v>
      </c>
      <c r="EE18" s="307">
        <f>Мор!C72</f>
        <v>1482.8888200000001</v>
      </c>
      <c r="EF18" s="307">
        <f>Мор!D72</f>
        <v>59.354999999999997</v>
      </c>
      <c r="EG18" s="308">
        <f t="shared" si="51"/>
        <v>4.0026601589726729</v>
      </c>
      <c r="EH18" s="307">
        <f>Мор!C77</f>
        <v>14564.55069</v>
      </c>
      <c r="EI18" s="307">
        <f>Мор!D77</f>
        <v>474.89776999999998</v>
      </c>
      <c r="EJ18" s="308">
        <f t="shared" si="52"/>
        <v>3.2606414032810784</v>
      </c>
      <c r="EK18" s="307">
        <f>Мор!C81</f>
        <v>6030.8</v>
      </c>
      <c r="EL18" s="327">
        <f>Мор!D81</f>
        <v>2289.6</v>
      </c>
      <c r="EM18" s="308">
        <f t="shared" si="10"/>
        <v>37.9651124228958</v>
      </c>
      <c r="EN18" s="308">
        <f>Мор!C84</f>
        <v>0</v>
      </c>
      <c r="EO18" s="308">
        <f>Мор!D84</f>
        <v>0</v>
      </c>
      <c r="EP18" s="308" t="e">
        <f t="shared" si="11"/>
        <v>#DIV/0!</v>
      </c>
      <c r="EQ18" s="324">
        <f>Мор!C89</f>
        <v>25</v>
      </c>
      <c r="ER18" s="324">
        <f>Мор!D89</f>
        <v>0</v>
      </c>
      <c r="ES18" s="308">
        <f t="shared" si="53"/>
        <v>0</v>
      </c>
      <c r="ET18" s="308">
        <f>Мор!C95</f>
        <v>0</v>
      </c>
      <c r="EU18" s="308">
        <f>Мор!D95</f>
        <v>0</v>
      </c>
      <c r="EV18" s="308" t="e">
        <f t="shared" si="54"/>
        <v>#DIV/0!</v>
      </c>
      <c r="EW18" s="328">
        <f t="shared" si="12"/>
        <v>-1488.967779999999</v>
      </c>
      <c r="EX18" s="328">
        <f t="shared" si="13"/>
        <v>-301.4651600000002</v>
      </c>
      <c r="EY18" s="308">
        <f t="shared" ref="EY18:EY30" si="56">EX18/EW18*100</f>
        <v>20.246587202847358</v>
      </c>
      <c r="EZ18" s="167"/>
      <c r="FA18" s="168"/>
      <c r="FC18" s="168"/>
    </row>
    <row r="19" spans="1:170" s="253" customFormat="1" ht="27.75" customHeight="1">
      <c r="A19" s="346">
        <v>6</v>
      </c>
      <c r="B19" s="343" t="s">
        <v>295</v>
      </c>
      <c r="C19" s="320">
        <f t="shared" si="14"/>
        <v>19810.084279999999</v>
      </c>
      <c r="D19" s="297">
        <f t="shared" si="0"/>
        <v>1792.9027599999999</v>
      </c>
      <c r="E19" s="305">
        <f t="shared" si="1"/>
        <v>9.0504549837281161</v>
      </c>
      <c r="F19" s="299">
        <f t="shared" si="15"/>
        <v>5354.3099999999995</v>
      </c>
      <c r="G19" s="319">
        <f t="shared" si="3"/>
        <v>1143.6667600000001</v>
      </c>
      <c r="H19" s="305">
        <f t="shared" si="16"/>
        <v>21.359741217822656</v>
      </c>
      <c r="I19" s="313">
        <f>Мос!C6</f>
        <v>1704</v>
      </c>
      <c r="J19" s="450">
        <f>Мос!D6</f>
        <v>438.25709000000001</v>
      </c>
      <c r="K19" s="305">
        <f t="shared" si="17"/>
        <v>25.719312793427228</v>
      </c>
      <c r="L19" s="305">
        <f>Мос!C8</f>
        <v>320.89600000000002</v>
      </c>
      <c r="M19" s="305">
        <f>Мос!D8</f>
        <v>109.17043</v>
      </c>
      <c r="N19" s="305">
        <f t="shared" si="18"/>
        <v>34.020501969485437</v>
      </c>
      <c r="O19" s="305">
        <f>Мос!C9</f>
        <v>3.4409999999999998</v>
      </c>
      <c r="P19" s="305">
        <f>Мос!D9</f>
        <v>0.69955000000000001</v>
      </c>
      <c r="Q19" s="305">
        <f t="shared" si="19"/>
        <v>20.329845975007267</v>
      </c>
      <c r="R19" s="305">
        <f>Мос!C10</f>
        <v>535.97299999999996</v>
      </c>
      <c r="S19" s="305">
        <f>Мос!D10</f>
        <v>132.09443999999999</v>
      </c>
      <c r="T19" s="305">
        <f t="shared" si="20"/>
        <v>24.645726557121346</v>
      </c>
      <c r="U19" s="305">
        <f>Мос!C11</f>
        <v>0</v>
      </c>
      <c r="V19" s="317">
        <f>Мос!D11</f>
        <v>-14.64662</v>
      </c>
      <c r="W19" s="305" t="e">
        <f t="shared" si="21"/>
        <v>#DIV/0!</v>
      </c>
      <c r="X19" s="313">
        <f>Мос!C13</f>
        <v>25</v>
      </c>
      <c r="Y19" s="313">
        <f>Мос!D13</f>
        <v>58.41</v>
      </c>
      <c r="Z19" s="305">
        <f t="shared" si="22"/>
        <v>233.64</v>
      </c>
      <c r="AA19" s="313">
        <f>Мос!C15</f>
        <v>999</v>
      </c>
      <c r="AB19" s="304">
        <f>Мос!D15</f>
        <v>206.98915</v>
      </c>
      <c r="AC19" s="305">
        <f t="shared" si="23"/>
        <v>20.719634634634634</v>
      </c>
      <c r="AD19" s="313">
        <f>Мос!C16</f>
        <v>1758</v>
      </c>
      <c r="AE19" s="313">
        <f>Мос!D16</f>
        <v>211.40035</v>
      </c>
      <c r="AF19" s="305">
        <f t="shared" si="4"/>
        <v>12.02504835039818</v>
      </c>
      <c r="AG19" s="305">
        <f>Мос!C18</f>
        <v>8</v>
      </c>
      <c r="AH19" s="305">
        <f>Мос!D18</f>
        <v>0.9</v>
      </c>
      <c r="AI19" s="305">
        <f t="shared" si="24"/>
        <v>11.25</v>
      </c>
      <c r="AJ19" s="305"/>
      <c r="AK19" s="305"/>
      <c r="AL19" s="305" t="e">
        <f t="shared" si="5"/>
        <v>#DIV/0!</v>
      </c>
      <c r="AM19" s="313">
        <f>Мос!C27</f>
        <v>0</v>
      </c>
      <c r="AN19" s="313">
        <v>0</v>
      </c>
      <c r="AO19" s="305" t="e">
        <f t="shared" si="6"/>
        <v>#DIV/0!</v>
      </c>
      <c r="AP19" s="313">
        <v>0</v>
      </c>
      <c r="AQ19" s="314">
        <f>Мос!D27</f>
        <v>0</v>
      </c>
      <c r="AR19" s="305" t="e">
        <f t="shared" si="25"/>
        <v>#DIV/0!</v>
      </c>
      <c r="AS19" s="313">
        <f>Мос!C26</f>
        <v>0</v>
      </c>
      <c r="AT19" s="314">
        <f>Мос!D28</f>
        <v>0</v>
      </c>
      <c r="AU19" s="305" t="e">
        <f t="shared" si="26"/>
        <v>#DIV/0!</v>
      </c>
      <c r="AV19" s="313"/>
      <c r="AW19" s="313"/>
      <c r="AX19" s="305" t="e">
        <f t="shared" si="27"/>
        <v>#DIV/0!</v>
      </c>
      <c r="AY19" s="305">
        <f>Мос!C30</f>
        <v>0</v>
      </c>
      <c r="AZ19" s="308">
        <f>Мос!D30</f>
        <v>0.39237</v>
      </c>
      <c r="BA19" s="305" t="e">
        <f t="shared" si="28"/>
        <v>#DIV/0!</v>
      </c>
      <c r="BB19" s="305"/>
      <c r="BC19" s="305"/>
      <c r="BD19" s="305"/>
      <c r="BE19" s="305">
        <f>Мос!C33</f>
        <v>0</v>
      </c>
      <c r="BF19" s="305">
        <f>Мос!D33</f>
        <v>0</v>
      </c>
      <c r="BG19" s="305" t="e">
        <f t="shared" si="29"/>
        <v>#DIV/0!</v>
      </c>
      <c r="BH19" s="305"/>
      <c r="BI19" s="305"/>
      <c r="BJ19" s="305" t="e">
        <f t="shared" si="30"/>
        <v>#DIV/0!</v>
      </c>
      <c r="BK19" s="305"/>
      <c r="BL19" s="305"/>
      <c r="BM19" s="305"/>
      <c r="BN19" s="305">
        <f>Мос!C34</f>
        <v>0</v>
      </c>
      <c r="BO19" s="305">
        <f>Мос!D35</f>
        <v>0</v>
      </c>
      <c r="BP19" s="298" t="e">
        <f t="shared" si="31"/>
        <v>#DIV/0!</v>
      </c>
      <c r="BQ19" s="305">
        <f>Мос!C36</f>
        <v>0</v>
      </c>
      <c r="BR19" s="305">
        <f>Мос!D36</f>
        <v>0</v>
      </c>
      <c r="BS19" s="305" t="e">
        <f t="shared" si="32"/>
        <v>#DIV/0!</v>
      </c>
      <c r="BT19" s="305"/>
      <c r="BU19" s="305"/>
      <c r="BV19" s="315" t="e">
        <f t="shared" si="33"/>
        <v>#DIV/0!</v>
      </c>
      <c r="BW19" s="315"/>
      <c r="BX19" s="315"/>
      <c r="BY19" s="315" t="e">
        <f t="shared" si="34"/>
        <v>#DIV/0!</v>
      </c>
      <c r="BZ19" s="313">
        <f t="shared" si="35"/>
        <v>14455.77428</v>
      </c>
      <c r="CA19" s="313">
        <f t="shared" si="36"/>
        <v>649.23599999999988</v>
      </c>
      <c r="CB19" s="305">
        <f t="shared" si="55"/>
        <v>4.4911880015879708</v>
      </c>
      <c r="CC19" s="305">
        <f>SUM(Мос!C41)</f>
        <v>1479.2</v>
      </c>
      <c r="CD19" s="305">
        <f>SUM(Мос!D41)</f>
        <v>369.80099999999999</v>
      </c>
      <c r="CE19" s="305">
        <f>CD19/CC19*100</f>
        <v>25.000067604110328</v>
      </c>
      <c r="CF19" s="305">
        <f>Мос!C42</f>
        <v>0</v>
      </c>
      <c r="CG19" s="461">
        <f>Мос!D42</f>
        <v>0</v>
      </c>
      <c r="CH19" s="305" t="e">
        <f t="shared" si="38"/>
        <v>#DIV/0!</v>
      </c>
      <c r="CI19" s="305">
        <f>Мос!C43</f>
        <v>8540.8092799999995</v>
      </c>
      <c r="CJ19" s="305">
        <f>Мос!D43</f>
        <v>225</v>
      </c>
      <c r="CK19" s="305">
        <f t="shared" si="7"/>
        <v>2.634410775649588</v>
      </c>
      <c r="CL19" s="305">
        <f>Мос!C45</f>
        <v>235.76499999999999</v>
      </c>
      <c r="CM19" s="305">
        <f>Мос!D45</f>
        <v>54.435000000000002</v>
      </c>
      <c r="CN19" s="305">
        <f t="shared" si="8"/>
        <v>23.088668801560878</v>
      </c>
      <c r="CO19" s="305">
        <f>Мос!C46</f>
        <v>3300</v>
      </c>
      <c r="CP19" s="305">
        <f>Мос!D46</f>
        <v>0</v>
      </c>
      <c r="CQ19" s="298">
        <f t="shared" si="39"/>
        <v>0</v>
      </c>
      <c r="CR19" s="317">
        <f>Мос!C51</f>
        <v>900</v>
      </c>
      <c r="CS19" s="305">
        <f>Мос!D51</f>
        <v>0</v>
      </c>
      <c r="CT19" s="305">
        <f t="shared" si="9"/>
        <v>0</v>
      </c>
      <c r="CU19" s="305"/>
      <c r="CV19" s="305"/>
      <c r="CW19" s="305"/>
      <c r="CX19" s="313"/>
      <c r="CY19" s="313"/>
      <c r="CZ19" s="305" t="e">
        <f t="shared" si="40"/>
        <v>#DIV/0!</v>
      </c>
      <c r="DA19" s="305"/>
      <c r="DB19" s="305"/>
      <c r="DC19" s="305"/>
      <c r="DD19" s="305"/>
      <c r="DE19" s="305"/>
      <c r="DF19" s="305"/>
      <c r="DG19" s="307">
        <f t="shared" si="41"/>
        <v>19775.404990000003</v>
      </c>
      <c r="DH19" s="307">
        <f t="shared" si="41"/>
        <v>1002.1309200000001</v>
      </c>
      <c r="DI19" s="305">
        <f t="shared" si="42"/>
        <v>5.0675620575495479</v>
      </c>
      <c r="DJ19" s="313">
        <f t="shared" si="43"/>
        <v>2395.7039999999997</v>
      </c>
      <c r="DK19" s="313">
        <f t="shared" si="43"/>
        <v>427.56304999999998</v>
      </c>
      <c r="DL19" s="305">
        <f t="shared" si="44"/>
        <v>17.847073344620203</v>
      </c>
      <c r="DM19" s="305">
        <f>Мос!C59</f>
        <v>2335.1999999999998</v>
      </c>
      <c r="DN19" s="305">
        <f>Мос!D59</f>
        <v>377.56304999999998</v>
      </c>
      <c r="DO19" s="305">
        <f t="shared" si="45"/>
        <v>16.168338900308324</v>
      </c>
      <c r="DP19" s="305">
        <f>Мос!C62</f>
        <v>0</v>
      </c>
      <c r="DQ19" s="305">
        <f>Мос!D62</f>
        <v>0</v>
      </c>
      <c r="DR19" s="305" t="e">
        <f t="shared" si="46"/>
        <v>#DIV/0!</v>
      </c>
      <c r="DS19" s="305">
        <f>Мос!C63</f>
        <v>5</v>
      </c>
      <c r="DT19" s="305">
        <f>Мос!D63</f>
        <v>0</v>
      </c>
      <c r="DU19" s="305">
        <f t="shared" si="47"/>
        <v>0</v>
      </c>
      <c r="DV19" s="305">
        <f>Мос!C64</f>
        <v>55.503999999999998</v>
      </c>
      <c r="DW19" s="305">
        <f>Мос!D64</f>
        <v>50</v>
      </c>
      <c r="DX19" s="305">
        <f t="shared" si="48"/>
        <v>90.083597578552897</v>
      </c>
      <c r="DY19" s="305">
        <f>Мос!C66</f>
        <v>235.76499999999999</v>
      </c>
      <c r="DZ19" s="305">
        <f>Мос!D66</f>
        <v>0</v>
      </c>
      <c r="EA19" s="305">
        <f t="shared" si="49"/>
        <v>0</v>
      </c>
      <c r="EB19" s="305">
        <f>Мос!C67</f>
        <v>13.5</v>
      </c>
      <c r="EC19" s="305">
        <f>Мос!D67</f>
        <v>0.7</v>
      </c>
      <c r="ED19" s="305">
        <f t="shared" si="50"/>
        <v>5.1851851851851851</v>
      </c>
      <c r="EE19" s="313">
        <f>Мос!C73</f>
        <v>4374.2875100000001</v>
      </c>
      <c r="EF19" s="313">
        <f>Мос!D73</f>
        <v>250</v>
      </c>
      <c r="EG19" s="305">
        <f t="shared" si="51"/>
        <v>5.7152164650466704</v>
      </c>
      <c r="EH19" s="313">
        <f>Мос!C78</f>
        <v>11496.24848</v>
      </c>
      <c r="EI19" s="313">
        <f>Мос!D78</f>
        <v>205.74286999999998</v>
      </c>
      <c r="EJ19" s="305">
        <f t="shared" si="52"/>
        <v>1.7896522535845536</v>
      </c>
      <c r="EK19" s="313">
        <f>Мос!C83</f>
        <v>1224.9000000000001</v>
      </c>
      <c r="EL19" s="318">
        <f>Мос!D83</f>
        <v>102.075</v>
      </c>
      <c r="EM19" s="305">
        <f t="shared" si="10"/>
        <v>8.3333333333333321</v>
      </c>
      <c r="EN19" s="305">
        <f>Мос!C91</f>
        <v>0</v>
      </c>
      <c r="EO19" s="305">
        <f>Мос!D91</f>
        <v>0</v>
      </c>
      <c r="EP19" s="305" t="e">
        <f t="shared" si="11"/>
        <v>#DIV/0!</v>
      </c>
      <c r="EQ19" s="319">
        <f>Мос!C93</f>
        <v>35</v>
      </c>
      <c r="ER19" s="319">
        <f>Мос!D93</f>
        <v>16.05</v>
      </c>
      <c r="ES19" s="305">
        <f t="shared" si="53"/>
        <v>45.857142857142854</v>
      </c>
      <c r="ET19" s="305">
        <f>Мос!C99</f>
        <v>0</v>
      </c>
      <c r="EU19" s="305">
        <f>Мос!D99</f>
        <v>0</v>
      </c>
      <c r="EV19" s="305" t="e">
        <f t="shared" si="54"/>
        <v>#DIV/0!</v>
      </c>
      <c r="EW19" s="329">
        <f t="shared" si="12"/>
        <v>34.679289999996399</v>
      </c>
      <c r="EX19" s="329">
        <f t="shared" si="13"/>
        <v>790.77183999999988</v>
      </c>
      <c r="EY19" s="305">
        <f t="shared" si="56"/>
        <v>2280.2423002318733</v>
      </c>
      <c r="EZ19" s="251"/>
      <c r="FA19" s="252"/>
      <c r="FC19" s="252"/>
    </row>
    <row r="20" spans="1:170" s="157" customFormat="1" ht="24.75" customHeight="1">
      <c r="A20" s="341">
        <v>7</v>
      </c>
      <c r="B20" s="343" t="s">
        <v>296</v>
      </c>
      <c r="C20" s="296">
        <f t="shared" si="14"/>
        <v>13714.586950000001</v>
      </c>
      <c r="D20" s="297">
        <f t="shared" si="0"/>
        <v>1470.0924099999997</v>
      </c>
      <c r="E20" s="305">
        <f t="shared" si="1"/>
        <v>10.719188374827429</v>
      </c>
      <c r="F20" s="299">
        <f t="shared" si="15"/>
        <v>2441.8199999999997</v>
      </c>
      <c r="G20" s="299">
        <f t="shared" si="3"/>
        <v>383.78940999999992</v>
      </c>
      <c r="H20" s="305">
        <f t="shared" si="16"/>
        <v>15.717350582762037</v>
      </c>
      <c r="I20" s="321">
        <f>Ори!C6</f>
        <v>273</v>
      </c>
      <c r="J20" s="449">
        <f>Ори!D6</f>
        <v>71.091220000000007</v>
      </c>
      <c r="K20" s="305">
        <f t="shared" si="17"/>
        <v>26.040739926739931</v>
      </c>
      <c r="L20" s="305">
        <f>Ори!C8</f>
        <v>205.45599999999999</v>
      </c>
      <c r="M20" s="305">
        <f>Ори!D8</f>
        <v>69.897909999999996</v>
      </c>
      <c r="N20" s="298">
        <f t="shared" si="18"/>
        <v>34.020865781481191</v>
      </c>
      <c r="O20" s="298">
        <f>Ори!C9</f>
        <v>2.2029999999999998</v>
      </c>
      <c r="P20" s="298">
        <f>Ори!D9</f>
        <v>0.44789000000000001</v>
      </c>
      <c r="Q20" s="298">
        <f t="shared" si="19"/>
        <v>20.330912392192467</v>
      </c>
      <c r="R20" s="298">
        <f>Ори!C10</f>
        <v>343.161</v>
      </c>
      <c r="S20" s="298">
        <f>Ори!D10</f>
        <v>84.575320000000005</v>
      </c>
      <c r="T20" s="298">
        <f t="shared" si="20"/>
        <v>24.645959185338661</v>
      </c>
      <c r="U20" s="298">
        <f>Ори!C11</f>
        <v>0</v>
      </c>
      <c r="V20" s="302">
        <f>Ори!D11</f>
        <v>-9.3777100000000004</v>
      </c>
      <c r="W20" s="298" t="e">
        <f t="shared" si="21"/>
        <v>#DIV/0!</v>
      </c>
      <c r="X20" s="313">
        <f>Ори!C13</f>
        <v>10</v>
      </c>
      <c r="Y20" s="313">
        <f>Ори!D13</f>
        <v>5.8326000000000002</v>
      </c>
      <c r="Z20" s="305">
        <f t="shared" si="22"/>
        <v>58.326000000000001</v>
      </c>
      <c r="AA20" s="313">
        <f>Ори!C15</f>
        <v>360</v>
      </c>
      <c r="AB20" s="304">
        <f>Ори!D15</f>
        <v>67.744950000000003</v>
      </c>
      <c r="AC20" s="305">
        <f t="shared" si="23"/>
        <v>18.818041666666669</v>
      </c>
      <c r="AD20" s="313">
        <f>Ори!C16</f>
        <v>1100</v>
      </c>
      <c r="AE20" s="313">
        <f>Ори!D16</f>
        <v>77.631600000000006</v>
      </c>
      <c r="AF20" s="305">
        <f t="shared" si="4"/>
        <v>7.0574181818181829</v>
      </c>
      <c r="AG20" s="305">
        <f>Ори!C18</f>
        <v>8</v>
      </c>
      <c r="AH20" s="305">
        <f>Ори!D18</f>
        <v>0.89</v>
      </c>
      <c r="AI20" s="305">
        <f t="shared" si="24"/>
        <v>11.125</v>
      </c>
      <c r="AJ20" s="305"/>
      <c r="AK20" s="305"/>
      <c r="AL20" s="305" t="e">
        <f t="shared" si="5"/>
        <v>#DIV/0!</v>
      </c>
      <c r="AM20" s="313">
        <v>0</v>
      </c>
      <c r="AN20" s="313">
        <v>0</v>
      </c>
      <c r="AO20" s="305" t="e">
        <f t="shared" si="6"/>
        <v>#DIV/0!</v>
      </c>
      <c r="AP20" s="313">
        <f>Ори!C27</f>
        <v>100</v>
      </c>
      <c r="AQ20" s="314">
        <f>Ори!D27</f>
        <v>0.51063000000000003</v>
      </c>
      <c r="AR20" s="305">
        <f t="shared" si="25"/>
        <v>0.51063000000000003</v>
      </c>
      <c r="AS20" s="307">
        <f>Ори!C28</f>
        <v>30</v>
      </c>
      <c r="AT20" s="314">
        <f>Ори!D28</f>
        <v>13.5</v>
      </c>
      <c r="AU20" s="305">
        <f t="shared" si="26"/>
        <v>45</v>
      </c>
      <c r="AV20" s="313"/>
      <c r="AW20" s="313"/>
      <c r="AX20" s="305" t="e">
        <f t="shared" si="27"/>
        <v>#DIV/0!</v>
      </c>
      <c r="AY20" s="305">
        <f>Ори!C30</f>
        <v>10</v>
      </c>
      <c r="AZ20" s="308">
        <f>Ори!D30</f>
        <v>1.0449999999999999</v>
      </c>
      <c r="BA20" s="305">
        <f t="shared" si="28"/>
        <v>10.45</v>
      </c>
      <c r="BB20" s="305"/>
      <c r="BC20" s="305"/>
      <c r="BD20" s="305"/>
      <c r="BE20" s="305">
        <f>Ори!C33</f>
        <v>0</v>
      </c>
      <c r="BF20" s="305">
        <f>Ори!D33</f>
        <v>0</v>
      </c>
      <c r="BG20" s="305" t="e">
        <f t="shared" si="29"/>
        <v>#DIV/0!</v>
      </c>
      <c r="BH20" s="305"/>
      <c r="BI20" s="305"/>
      <c r="BJ20" s="305" t="e">
        <f t="shared" si="30"/>
        <v>#DIV/0!</v>
      </c>
      <c r="BK20" s="305"/>
      <c r="BL20" s="305"/>
      <c r="BM20" s="305"/>
      <c r="BN20" s="305">
        <f>Ори!C35</f>
        <v>0</v>
      </c>
      <c r="BO20" s="305">
        <f>Ори!D34</f>
        <v>0</v>
      </c>
      <c r="BP20" s="298" t="e">
        <f t="shared" si="31"/>
        <v>#DIV/0!</v>
      </c>
      <c r="BQ20" s="305">
        <f>Ори!C36</f>
        <v>0</v>
      </c>
      <c r="BR20" s="305">
        <f>Ори!D36</f>
        <v>0</v>
      </c>
      <c r="BS20" s="305" t="e">
        <f t="shared" si="32"/>
        <v>#DIV/0!</v>
      </c>
      <c r="BT20" s="305"/>
      <c r="BU20" s="305"/>
      <c r="BV20" s="315" t="e">
        <f t="shared" si="33"/>
        <v>#DIV/0!</v>
      </c>
      <c r="BW20" s="315"/>
      <c r="BX20" s="315"/>
      <c r="BY20" s="315" t="e">
        <f t="shared" si="34"/>
        <v>#DIV/0!</v>
      </c>
      <c r="BZ20" s="303">
        <f t="shared" si="35"/>
        <v>11272.766950000001</v>
      </c>
      <c r="CA20" s="303">
        <f t="shared" si="36"/>
        <v>1086.3029999999999</v>
      </c>
      <c r="CB20" s="305">
        <f t="shared" si="55"/>
        <v>9.6365249527313228</v>
      </c>
      <c r="CC20" s="305">
        <f>Ори!C41</f>
        <v>3478.3</v>
      </c>
      <c r="CD20" s="305">
        <f>Ори!D41</f>
        <v>869.57399999999996</v>
      </c>
      <c r="CE20" s="305">
        <f t="shared" si="37"/>
        <v>24.99997125032343</v>
      </c>
      <c r="CF20" s="305">
        <f>Ори!C42</f>
        <v>0</v>
      </c>
      <c r="CG20" s="461">
        <f>Ори!D42</f>
        <v>0</v>
      </c>
      <c r="CH20" s="305" t="e">
        <f t="shared" si="38"/>
        <v>#DIV/0!</v>
      </c>
      <c r="CI20" s="305">
        <f>Ори!C43</f>
        <v>5374.4871000000003</v>
      </c>
      <c r="CJ20" s="305">
        <f>Ори!D43</f>
        <v>162.29400000000001</v>
      </c>
      <c r="CK20" s="305">
        <f t="shared" si="7"/>
        <v>3.0197114065079811</v>
      </c>
      <c r="CL20" s="305">
        <f>Ори!C45</f>
        <v>235.76400000000001</v>
      </c>
      <c r="CM20" s="305">
        <f>Ори!D45</f>
        <v>54.435000000000002</v>
      </c>
      <c r="CN20" s="305">
        <f t="shared" si="8"/>
        <v>23.088766732834529</v>
      </c>
      <c r="CO20" s="305">
        <f>Ори!C46</f>
        <v>1457.5530000000001</v>
      </c>
      <c r="CP20" s="305">
        <f>Ори!D46</f>
        <v>0</v>
      </c>
      <c r="CQ20" s="298">
        <f t="shared" si="39"/>
        <v>0</v>
      </c>
      <c r="CR20" s="317">
        <f>Ори!C47</f>
        <v>726.66285000000005</v>
      </c>
      <c r="CS20" s="305">
        <f>Ори!D47</f>
        <v>0</v>
      </c>
      <c r="CT20" s="305">
        <f t="shared" si="9"/>
        <v>0</v>
      </c>
      <c r="CU20" s="305"/>
      <c r="CV20" s="305"/>
      <c r="CW20" s="305"/>
      <c r="CX20" s="313"/>
      <c r="CY20" s="313"/>
      <c r="CZ20" s="305" t="e">
        <f t="shared" si="40"/>
        <v>#DIV/0!</v>
      </c>
      <c r="DA20" s="305"/>
      <c r="DB20" s="305"/>
      <c r="DC20" s="305"/>
      <c r="DD20" s="305"/>
      <c r="DE20" s="305"/>
      <c r="DF20" s="305"/>
      <c r="DG20" s="307">
        <f t="shared" si="41"/>
        <v>13812.081209999998</v>
      </c>
      <c r="DH20" s="307">
        <f t="shared" si="41"/>
        <v>1102.13284</v>
      </c>
      <c r="DI20" s="305">
        <f t="shared" si="42"/>
        <v>7.9794842156159032</v>
      </c>
      <c r="DJ20" s="313">
        <f t="shared" si="43"/>
        <v>1684.1020000000001</v>
      </c>
      <c r="DK20" s="313">
        <f t="shared" si="43"/>
        <v>294.03316999999998</v>
      </c>
      <c r="DL20" s="305">
        <f t="shared" si="44"/>
        <v>17.459344505261555</v>
      </c>
      <c r="DM20" s="305">
        <f>Ори!C58</f>
        <v>1669.2</v>
      </c>
      <c r="DN20" s="305">
        <f>Ори!D58</f>
        <v>289.13117</v>
      </c>
      <c r="DO20" s="305">
        <f t="shared" si="45"/>
        <v>17.321541456985383</v>
      </c>
      <c r="DP20" s="305">
        <f>Ори!C61</f>
        <v>0</v>
      </c>
      <c r="DQ20" s="305">
        <f>Ори!D61</f>
        <v>0</v>
      </c>
      <c r="DR20" s="305" t="e">
        <f t="shared" si="46"/>
        <v>#DIV/0!</v>
      </c>
      <c r="DS20" s="305">
        <f>Ори!C62</f>
        <v>10</v>
      </c>
      <c r="DT20" s="305">
        <f>Ори!D62</f>
        <v>0</v>
      </c>
      <c r="DU20" s="305">
        <f t="shared" si="47"/>
        <v>0</v>
      </c>
      <c r="DV20" s="305">
        <f>Ори!C63</f>
        <v>4.9020000000000001</v>
      </c>
      <c r="DW20" s="305">
        <f>Ори!D63</f>
        <v>4.9020000000000001</v>
      </c>
      <c r="DX20" s="305">
        <f t="shared" si="48"/>
        <v>100</v>
      </c>
      <c r="DY20" s="305">
        <f>Ори!C65</f>
        <v>235.76400000000001</v>
      </c>
      <c r="DZ20" s="305">
        <f>Ори!D65</f>
        <v>22.085999999999999</v>
      </c>
      <c r="EA20" s="305">
        <f t="shared" si="49"/>
        <v>9.3678424186898752</v>
      </c>
      <c r="EB20" s="305">
        <f>Ори!C66</f>
        <v>18.5</v>
      </c>
      <c r="EC20" s="305">
        <f>Ори!D66</f>
        <v>3.5</v>
      </c>
      <c r="ED20" s="305">
        <f t="shared" si="50"/>
        <v>18.918918918918919</v>
      </c>
      <c r="EE20" s="313">
        <f>Ори!C72</f>
        <v>7895.5642099999995</v>
      </c>
      <c r="EF20" s="313">
        <f>Ори!D72</f>
        <v>185.82239999999999</v>
      </c>
      <c r="EG20" s="305">
        <f t="shared" si="51"/>
        <v>2.3535037529635896</v>
      </c>
      <c r="EH20" s="313">
        <f>Ори!C77</f>
        <v>2160.0509999999999</v>
      </c>
      <c r="EI20" s="313">
        <f>Ори!D77</f>
        <v>117.54727</v>
      </c>
      <c r="EJ20" s="305">
        <f t="shared" si="52"/>
        <v>5.4418747520313175</v>
      </c>
      <c r="EK20" s="313">
        <f>Ори!C82</f>
        <v>1784.1</v>
      </c>
      <c r="EL20" s="318">
        <f>Ори!D82</f>
        <v>445.82400000000001</v>
      </c>
      <c r="EM20" s="305">
        <f t="shared" si="10"/>
        <v>24.988733815369095</v>
      </c>
      <c r="EN20" s="305">
        <f>Ори!C84</f>
        <v>0</v>
      </c>
      <c r="EO20" s="305">
        <f>Ори!D84</f>
        <v>0</v>
      </c>
      <c r="EP20" s="305" t="e">
        <f t="shared" si="11"/>
        <v>#DIV/0!</v>
      </c>
      <c r="EQ20" s="319">
        <f>Ори!C89</f>
        <v>34</v>
      </c>
      <c r="ER20" s="319">
        <f>Ори!D89</f>
        <v>33.32</v>
      </c>
      <c r="ES20" s="305">
        <f t="shared" si="53"/>
        <v>98</v>
      </c>
      <c r="ET20" s="305">
        <f>Ори!C95</f>
        <v>0</v>
      </c>
      <c r="EU20" s="305">
        <f>Ори!D95</f>
        <v>0</v>
      </c>
      <c r="EV20" s="298" t="e">
        <f t="shared" si="54"/>
        <v>#DIV/0!</v>
      </c>
      <c r="EW20" s="312">
        <f t="shared" si="12"/>
        <v>-97.494259999997666</v>
      </c>
      <c r="EX20" s="312">
        <f t="shared" si="13"/>
        <v>367.95956999999976</v>
      </c>
      <c r="EY20" s="298">
        <f t="shared" si="56"/>
        <v>-377.41664996483746</v>
      </c>
      <c r="EZ20" s="159"/>
      <c r="FA20" s="160"/>
      <c r="FC20" s="160"/>
      <c r="FF20" s="162"/>
      <c r="FG20" s="162"/>
      <c r="FH20" s="162"/>
      <c r="FI20" s="162"/>
      <c r="FJ20" s="162"/>
      <c r="FK20" s="162"/>
      <c r="FL20" s="162"/>
      <c r="FM20" s="162"/>
      <c r="FN20" s="162"/>
    </row>
    <row r="21" spans="1:170" s="157" customFormat="1" ht="24.75" customHeight="1">
      <c r="A21" s="341">
        <v>8</v>
      </c>
      <c r="B21" s="343" t="s">
        <v>297</v>
      </c>
      <c r="C21" s="296">
        <f t="shared" si="14"/>
        <v>18958.371560000003</v>
      </c>
      <c r="D21" s="297">
        <f t="shared" si="0"/>
        <v>1751.0213799999999</v>
      </c>
      <c r="E21" s="305">
        <f t="shared" si="1"/>
        <v>9.236138106368033</v>
      </c>
      <c r="F21" s="299">
        <f t="shared" si="15"/>
        <v>2062.1406400000001</v>
      </c>
      <c r="G21" s="299">
        <f t="shared" si="3"/>
        <v>318.37637999999998</v>
      </c>
      <c r="H21" s="305">
        <f t="shared" si="16"/>
        <v>15.439120582968579</v>
      </c>
      <c r="I21" s="313">
        <f>Сят!C6</f>
        <v>162</v>
      </c>
      <c r="J21" s="450">
        <f>Сят!D6</f>
        <v>37.78922</v>
      </c>
      <c r="K21" s="305">
        <f t="shared" si="17"/>
        <v>23.326679012345679</v>
      </c>
      <c r="L21" s="305">
        <f>Сят!C8</f>
        <v>255.233</v>
      </c>
      <c r="M21" s="305">
        <f>Сят!D8</f>
        <v>86.831940000000003</v>
      </c>
      <c r="N21" s="298">
        <f t="shared" si="18"/>
        <v>34.020655636222592</v>
      </c>
      <c r="O21" s="298">
        <f>Сят!C9</f>
        <v>2.7370000000000001</v>
      </c>
      <c r="P21" s="298">
        <f>Сят!D9</f>
        <v>0.55640000000000001</v>
      </c>
      <c r="Q21" s="298">
        <f t="shared" si="19"/>
        <v>20.328827183047132</v>
      </c>
      <c r="R21" s="298">
        <f>Сят!C10</f>
        <v>426.3</v>
      </c>
      <c r="S21" s="298">
        <f>Сят!D10</f>
        <v>105.06520999999999</v>
      </c>
      <c r="T21" s="298">
        <f t="shared" si="20"/>
        <v>24.645838611306591</v>
      </c>
      <c r="U21" s="298">
        <f>Сят!C11</f>
        <v>0</v>
      </c>
      <c r="V21" s="302">
        <f>Сят!D11</f>
        <v>-11.64963</v>
      </c>
      <c r="W21" s="298" t="e">
        <f t="shared" si="21"/>
        <v>#DIV/0!</v>
      </c>
      <c r="X21" s="313">
        <f>Сят!C13</f>
        <v>30</v>
      </c>
      <c r="Y21" s="313">
        <f>Сят!D13</f>
        <v>0.37980000000000003</v>
      </c>
      <c r="Z21" s="305">
        <f t="shared" si="22"/>
        <v>1.266</v>
      </c>
      <c r="AA21" s="313">
        <f>Сят!C15</f>
        <v>198</v>
      </c>
      <c r="AB21" s="304">
        <f>Сят!D15</f>
        <v>7.05105</v>
      </c>
      <c r="AC21" s="305">
        <f t="shared" si="23"/>
        <v>3.5611363636363635</v>
      </c>
      <c r="AD21" s="313">
        <f>Сят!C16</f>
        <v>760</v>
      </c>
      <c r="AE21" s="313">
        <f>Сят!D16</f>
        <v>39.044550000000001</v>
      </c>
      <c r="AF21" s="305">
        <f t="shared" si="4"/>
        <v>5.1374407894736844</v>
      </c>
      <c r="AG21" s="305">
        <f>Сят!C18</f>
        <v>4</v>
      </c>
      <c r="AH21" s="305">
        <f>Сят!D18</f>
        <v>2.35</v>
      </c>
      <c r="AI21" s="305">
        <f t="shared" si="24"/>
        <v>58.75</v>
      </c>
      <c r="AJ21" s="305">
        <f>Сят!C22</f>
        <v>0</v>
      </c>
      <c r="AK21" s="305">
        <f>Сят!D20</f>
        <v>0</v>
      </c>
      <c r="AL21" s="305" t="e">
        <f t="shared" si="5"/>
        <v>#DIV/0!</v>
      </c>
      <c r="AM21" s="313">
        <v>0</v>
      </c>
      <c r="AN21" s="313">
        <v>0</v>
      </c>
      <c r="AO21" s="305" t="e">
        <f t="shared" si="6"/>
        <v>#DIV/0!</v>
      </c>
      <c r="AP21" s="313">
        <f>Сят!C27</f>
        <v>207.87064000000001</v>
      </c>
      <c r="AQ21" s="314">
        <f>Сят!D27</f>
        <v>0</v>
      </c>
      <c r="AR21" s="305">
        <f t="shared" si="25"/>
        <v>0</v>
      </c>
      <c r="AS21" s="307">
        <f>Сят!C28</f>
        <v>6</v>
      </c>
      <c r="AT21" s="314">
        <f>Сят!D28</f>
        <v>1.6934400000000001</v>
      </c>
      <c r="AU21" s="305">
        <f t="shared" si="26"/>
        <v>28.224</v>
      </c>
      <c r="AV21" s="313"/>
      <c r="AW21" s="313"/>
      <c r="AX21" s="305" t="e">
        <f t="shared" si="27"/>
        <v>#DIV/0!</v>
      </c>
      <c r="AY21" s="305">
        <f>Сят!C30</f>
        <v>10</v>
      </c>
      <c r="AZ21" s="308">
        <f>Сят!D30</f>
        <v>0</v>
      </c>
      <c r="BA21" s="305">
        <f t="shared" si="28"/>
        <v>0</v>
      </c>
      <c r="BB21" s="305"/>
      <c r="BC21" s="305"/>
      <c r="BD21" s="305"/>
      <c r="BE21" s="305">
        <f>Сят!C33</f>
        <v>0</v>
      </c>
      <c r="BF21" s="305">
        <f>SUM(Сят!D31)</f>
        <v>49.264400000000002</v>
      </c>
      <c r="BG21" s="305" t="e">
        <f t="shared" si="29"/>
        <v>#DIV/0!</v>
      </c>
      <c r="BH21" s="305"/>
      <c r="BI21" s="305"/>
      <c r="BJ21" s="305" t="e">
        <f t="shared" si="30"/>
        <v>#DIV/0!</v>
      </c>
      <c r="BK21" s="305"/>
      <c r="BL21" s="305"/>
      <c r="BM21" s="305"/>
      <c r="BN21" s="305">
        <f>Сят!C34</f>
        <v>0</v>
      </c>
      <c r="BO21" s="305">
        <f>Сят!D34</f>
        <v>0</v>
      </c>
      <c r="BP21" s="298" t="e">
        <f t="shared" si="31"/>
        <v>#DIV/0!</v>
      </c>
      <c r="BQ21" s="305">
        <f>Сят!C36</f>
        <v>0</v>
      </c>
      <c r="BR21" s="305">
        <f>Сят!D36</f>
        <v>0</v>
      </c>
      <c r="BS21" s="305" t="e">
        <f t="shared" si="32"/>
        <v>#DIV/0!</v>
      </c>
      <c r="BT21" s="305"/>
      <c r="BU21" s="305"/>
      <c r="BV21" s="315" t="e">
        <f t="shared" si="33"/>
        <v>#DIV/0!</v>
      </c>
      <c r="BW21" s="315"/>
      <c r="BX21" s="315"/>
      <c r="BY21" s="315" t="e">
        <f t="shared" si="34"/>
        <v>#DIV/0!</v>
      </c>
      <c r="BZ21" s="303">
        <f t="shared" si="35"/>
        <v>16896.230920000002</v>
      </c>
      <c r="CA21" s="303">
        <f t="shared" si="36"/>
        <v>1432.645</v>
      </c>
      <c r="CB21" s="305">
        <f t="shared" si="55"/>
        <v>8.4790803746898593</v>
      </c>
      <c r="CC21" s="305">
        <f>Сят!C41</f>
        <v>4849.2</v>
      </c>
      <c r="CD21" s="305">
        <f>Сят!D41</f>
        <v>1212.3</v>
      </c>
      <c r="CE21" s="305">
        <f t="shared" si="37"/>
        <v>25</v>
      </c>
      <c r="CF21" s="305">
        <f>Сят!C42</f>
        <v>0</v>
      </c>
      <c r="CG21" s="461">
        <f>Сят!D42</f>
        <v>0</v>
      </c>
      <c r="CH21" s="305" t="e">
        <f t="shared" si="38"/>
        <v>#DIV/0!</v>
      </c>
      <c r="CI21" s="305">
        <f>Сят!C43</f>
        <v>10736.637360000001</v>
      </c>
      <c r="CJ21" s="305">
        <f>Сят!D43</f>
        <v>165.91</v>
      </c>
      <c r="CK21" s="305">
        <f t="shared" si="7"/>
        <v>1.5452696634619314</v>
      </c>
      <c r="CL21" s="305">
        <f>Сят!C44</f>
        <v>235.76499999999999</v>
      </c>
      <c r="CM21" s="305">
        <f>Сят!D44</f>
        <v>54.435000000000002</v>
      </c>
      <c r="CN21" s="305">
        <f t="shared" si="8"/>
        <v>23.088668801560878</v>
      </c>
      <c r="CO21" s="305">
        <f>Сят!C48</f>
        <v>636.84900000000005</v>
      </c>
      <c r="CP21" s="305">
        <f>Сят!D48</f>
        <v>0</v>
      </c>
      <c r="CQ21" s="298">
        <f t="shared" si="39"/>
        <v>0</v>
      </c>
      <c r="CR21" s="317">
        <f>Сят!C49</f>
        <v>437.77956</v>
      </c>
      <c r="CS21" s="305">
        <f>Сят!D49</f>
        <v>0</v>
      </c>
      <c r="CT21" s="305">
        <f t="shared" si="9"/>
        <v>0</v>
      </c>
      <c r="CU21" s="305"/>
      <c r="CV21" s="305">
        <f>Сят!D50</f>
        <v>0</v>
      </c>
      <c r="CW21" s="305"/>
      <c r="CX21" s="313"/>
      <c r="CY21" s="313"/>
      <c r="CZ21" s="305" t="e">
        <f t="shared" si="40"/>
        <v>#DIV/0!</v>
      </c>
      <c r="DA21" s="305"/>
      <c r="DB21" s="305"/>
      <c r="DC21" s="305"/>
      <c r="DD21" s="305"/>
      <c r="DE21" s="305"/>
      <c r="DF21" s="305"/>
      <c r="DG21" s="307">
        <f t="shared" si="41"/>
        <v>19617.700920000003</v>
      </c>
      <c r="DH21" s="307">
        <f t="shared" si="41"/>
        <v>1962.4236999999998</v>
      </c>
      <c r="DI21" s="305">
        <f t="shared" si="42"/>
        <v>10.00333172578512</v>
      </c>
      <c r="DJ21" s="313">
        <f t="shared" si="43"/>
        <v>1562.6039999999998</v>
      </c>
      <c r="DK21" s="313">
        <f>Сят!D56</f>
        <v>312.95550000000003</v>
      </c>
      <c r="DL21" s="305">
        <f t="shared" si="44"/>
        <v>20.0278189483708</v>
      </c>
      <c r="DM21" s="305">
        <f>Сят!C58</f>
        <v>1547.1</v>
      </c>
      <c r="DN21" s="305">
        <f>Сят!D58</f>
        <v>307.45150000000001</v>
      </c>
      <c r="DO21" s="305">
        <f t="shared" si="45"/>
        <v>19.87276194169737</v>
      </c>
      <c r="DP21" s="305">
        <f>Сят!C61</f>
        <v>0</v>
      </c>
      <c r="DQ21" s="305">
        <f>Сят!D61</f>
        <v>0</v>
      </c>
      <c r="DR21" s="305" t="e">
        <f t="shared" si="46"/>
        <v>#DIV/0!</v>
      </c>
      <c r="DS21" s="305">
        <f>Сят!C62</f>
        <v>10</v>
      </c>
      <c r="DT21" s="305">
        <f>Сят!D62</f>
        <v>0</v>
      </c>
      <c r="DU21" s="305">
        <f t="shared" si="47"/>
        <v>0</v>
      </c>
      <c r="DV21" s="305">
        <f>Сят!C63</f>
        <v>5.5039999999999996</v>
      </c>
      <c r="DW21" s="305">
        <f>Сят!D63</f>
        <v>5.5039999999999996</v>
      </c>
      <c r="DX21" s="305">
        <f t="shared" si="48"/>
        <v>100</v>
      </c>
      <c r="DY21" s="305">
        <f>Сят!C65</f>
        <v>235.76499999999999</v>
      </c>
      <c r="DZ21" s="305">
        <f>Сят!D65</f>
        <v>41.669580000000003</v>
      </c>
      <c r="EA21" s="305">
        <f t="shared" si="49"/>
        <v>17.67420100523827</v>
      </c>
      <c r="EB21" s="305">
        <f>Сят!C66</f>
        <v>15</v>
      </c>
      <c r="EC21" s="305">
        <f>Сят!D66</f>
        <v>2</v>
      </c>
      <c r="ED21" s="305">
        <f t="shared" si="50"/>
        <v>13.333333333333334</v>
      </c>
      <c r="EE21" s="313">
        <f>Сят!C72</f>
        <v>6532.0859200000004</v>
      </c>
      <c r="EF21" s="313">
        <f>Сят!D72</f>
        <v>251.42751000000001</v>
      </c>
      <c r="EG21" s="305">
        <f t="shared" si="51"/>
        <v>3.8491151690178622</v>
      </c>
      <c r="EH21" s="313">
        <f>Сят!C77</f>
        <v>1072.646</v>
      </c>
      <c r="EI21" s="313">
        <f>Сят!D77</f>
        <v>427.62520000000001</v>
      </c>
      <c r="EJ21" s="305">
        <f t="shared" si="52"/>
        <v>39.866386487247425</v>
      </c>
      <c r="EK21" s="313">
        <f>Сят!C81</f>
        <v>10189.6</v>
      </c>
      <c r="EL21" s="318">
        <f>Сят!D81</f>
        <v>926.74590999999998</v>
      </c>
      <c r="EM21" s="305">
        <f t="shared" si="10"/>
        <v>9.0950175669309878</v>
      </c>
      <c r="EN21" s="305">
        <f>Сят!C83</f>
        <v>0</v>
      </c>
      <c r="EO21" s="305">
        <f>Сят!D83</f>
        <v>0</v>
      </c>
      <c r="EP21" s="305" t="e">
        <f t="shared" si="11"/>
        <v>#DIV/0!</v>
      </c>
      <c r="EQ21" s="319">
        <f>Сят!C88</f>
        <v>10</v>
      </c>
      <c r="ER21" s="319">
        <f>Сят!D88</f>
        <v>0</v>
      </c>
      <c r="ES21" s="305">
        <f t="shared" si="53"/>
        <v>0</v>
      </c>
      <c r="ET21" s="305">
        <f>Сят!C94</f>
        <v>0</v>
      </c>
      <c r="EU21" s="305">
        <f>Сят!D94</f>
        <v>0</v>
      </c>
      <c r="EV21" s="298" t="e">
        <f t="shared" si="54"/>
        <v>#DIV/0!</v>
      </c>
      <c r="EW21" s="312">
        <f t="shared" si="12"/>
        <v>-659.32935999999972</v>
      </c>
      <c r="EX21" s="312">
        <f t="shared" si="13"/>
        <v>-211.40231999999992</v>
      </c>
      <c r="EY21" s="298">
        <f t="shared" si="56"/>
        <v>32.063234678340429</v>
      </c>
      <c r="EZ21" s="159"/>
      <c r="FA21" s="160"/>
      <c r="FB21" s="162"/>
      <c r="FC21" s="160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</row>
    <row r="22" spans="1:170" s="169" customFormat="1" ht="22.5" customHeight="1">
      <c r="A22" s="344">
        <v>9</v>
      </c>
      <c r="B22" s="345" t="s">
        <v>298</v>
      </c>
      <c r="C22" s="322">
        <f>F22+BZ22</f>
        <v>11162.31364</v>
      </c>
      <c r="D22" s="323">
        <f t="shared" si="0"/>
        <v>1676.1941599999998</v>
      </c>
      <c r="E22" s="308">
        <f t="shared" si="1"/>
        <v>15.016547770109062</v>
      </c>
      <c r="F22" s="299">
        <f t="shared" si="15"/>
        <v>2296.0999999999995</v>
      </c>
      <c r="G22" s="324">
        <f t="shared" si="3"/>
        <v>529.80715999999984</v>
      </c>
      <c r="H22" s="308">
        <f t="shared" si="16"/>
        <v>23.074219763947561</v>
      </c>
      <c r="I22" s="307">
        <f>Тор!C6</f>
        <v>159</v>
      </c>
      <c r="J22" s="450">
        <f>Тор!D6</f>
        <v>33.426740000000002</v>
      </c>
      <c r="K22" s="308">
        <f t="shared" si="17"/>
        <v>21.023106918238994</v>
      </c>
      <c r="L22" s="308">
        <f>Тор!C8</f>
        <v>342.07900000000001</v>
      </c>
      <c r="M22" s="308">
        <f>Тор!D8</f>
        <v>116.37642</v>
      </c>
      <c r="N22" s="308">
        <f t="shared" si="18"/>
        <v>34.020334484139624</v>
      </c>
      <c r="O22" s="308">
        <f>Тор!C9</f>
        <v>3.6680000000000001</v>
      </c>
      <c r="P22" s="308">
        <f>Тор!D9</f>
        <v>0.74570999999999998</v>
      </c>
      <c r="Q22" s="308">
        <f t="shared" si="19"/>
        <v>20.330152671755723</v>
      </c>
      <c r="R22" s="308">
        <f>Тор!C10</f>
        <v>571.35299999999995</v>
      </c>
      <c r="S22" s="308">
        <f>Тор!D10</f>
        <v>140.81354999999999</v>
      </c>
      <c r="T22" s="308">
        <f t="shared" si="20"/>
        <v>24.645630634651432</v>
      </c>
      <c r="U22" s="308">
        <f>Тор!C11</f>
        <v>0</v>
      </c>
      <c r="V22" s="325">
        <f>Тор!D11</f>
        <v>-15.6134</v>
      </c>
      <c r="W22" s="308" t="e">
        <f t="shared" si="21"/>
        <v>#DIV/0!</v>
      </c>
      <c r="X22" s="307">
        <f>Тор!C13</f>
        <v>30</v>
      </c>
      <c r="Y22" s="307">
        <f>Тор!D13</f>
        <v>0</v>
      </c>
      <c r="Z22" s="308">
        <f t="shared" si="22"/>
        <v>0</v>
      </c>
      <c r="AA22" s="307">
        <f>Тор!C15</f>
        <v>247</v>
      </c>
      <c r="AB22" s="304">
        <f>Тор!D15</f>
        <v>2.4860500000000001</v>
      </c>
      <c r="AC22" s="308">
        <f t="shared" si="23"/>
        <v>1.0064979757085022</v>
      </c>
      <c r="AD22" s="307">
        <f>Тор!C16</f>
        <v>455</v>
      </c>
      <c r="AE22" s="307">
        <f>Тор!D16</f>
        <v>20.846319999999999</v>
      </c>
      <c r="AF22" s="308">
        <f t="shared" si="4"/>
        <v>4.5816087912087911</v>
      </c>
      <c r="AG22" s="308">
        <f>Тор!C18</f>
        <v>8</v>
      </c>
      <c r="AH22" s="308">
        <f>Тор!D18</f>
        <v>2.1</v>
      </c>
      <c r="AI22" s="308">
        <f t="shared" si="24"/>
        <v>26.25</v>
      </c>
      <c r="AJ22" s="308"/>
      <c r="AK22" s="308">
        <f>Тор!D20</f>
        <v>0</v>
      </c>
      <c r="AL22" s="308" t="e">
        <f t="shared" si="5"/>
        <v>#DIV/0!</v>
      </c>
      <c r="AM22" s="307">
        <v>0</v>
      </c>
      <c r="AN22" s="307">
        <v>0</v>
      </c>
      <c r="AO22" s="308" t="e">
        <f t="shared" si="6"/>
        <v>#DIV/0!</v>
      </c>
      <c r="AP22" s="307">
        <f>Тор!C27</f>
        <v>320</v>
      </c>
      <c r="AQ22" s="304">
        <f>Тор!D27</f>
        <v>220.51938999999999</v>
      </c>
      <c r="AR22" s="308">
        <f t="shared" si="25"/>
        <v>68.912309374999992</v>
      </c>
      <c r="AS22" s="307">
        <f>Тор!C28</f>
        <v>30</v>
      </c>
      <c r="AT22" s="304">
        <f>Тор!D28</f>
        <v>7.7025100000000002</v>
      </c>
      <c r="AU22" s="308">
        <f t="shared" si="26"/>
        <v>25.675033333333335</v>
      </c>
      <c r="AV22" s="307"/>
      <c r="AW22" s="307"/>
      <c r="AX22" s="308" t="e">
        <f t="shared" si="27"/>
        <v>#DIV/0!</v>
      </c>
      <c r="AY22" s="308">
        <f>Тор!C29</f>
        <v>130</v>
      </c>
      <c r="AZ22" s="308">
        <f>Тор!D29</f>
        <v>0.40387000000000001</v>
      </c>
      <c r="BA22" s="308">
        <f t="shared" si="28"/>
        <v>0.31066923076923075</v>
      </c>
      <c r="BB22" s="308"/>
      <c r="BC22" s="308"/>
      <c r="BD22" s="308"/>
      <c r="BE22" s="308">
        <f>Тор!C34+Тор!C33</f>
        <v>0</v>
      </c>
      <c r="BF22" s="308">
        <f>Тор!D32</f>
        <v>0</v>
      </c>
      <c r="BG22" s="308" t="e">
        <f t="shared" si="29"/>
        <v>#DIV/0!</v>
      </c>
      <c r="BH22" s="308"/>
      <c r="BI22" s="308"/>
      <c r="BJ22" s="308" t="e">
        <f t="shared" si="30"/>
        <v>#DIV/0!</v>
      </c>
      <c r="BK22" s="308"/>
      <c r="BL22" s="308"/>
      <c r="BM22" s="308"/>
      <c r="BN22" s="308">
        <f>Тор!C35</f>
        <v>0</v>
      </c>
      <c r="BO22" s="308">
        <f>Тор!D35</f>
        <v>0</v>
      </c>
      <c r="BP22" s="298" t="e">
        <f t="shared" si="31"/>
        <v>#DIV/0!</v>
      </c>
      <c r="BQ22" s="308">
        <f>Тор!C37</f>
        <v>0</v>
      </c>
      <c r="BR22" s="308">
        <f>Тор!D37</f>
        <v>0</v>
      </c>
      <c r="BS22" s="308" t="e">
        <f t="shared" si="32"/>
        <v>#DIV/0!</v>
      </c>
      <c r="BT22" s="308"/>
      <c r="BU22" s="308"/>
      <c r="BV22" s="326" t="e">
        <f t="shared" si="33"/>
        <v>#DIV/0!</v>
      </c>
      <c r="BW22" s="326"/>
      <c r="BX22" s="326"/>
      <c r="BY22" s="326" t="e">
        <f t="shared" si="34"/>
        <v>#DIV/0!</v>
      </c>
      <c r="BZ22" s="307">
        <f t="shared" si="35"/>
        <v>8866.2136399999999</v>
      </c>
      <c r="CA22" s="303">
        <f t="shared" si="36"/>
        <v>1146.3869999999999</v>
      </c>
      <c r="CB22" s="308">
        <f t="shared" si="55"/>
        <v>12.92983731892118</v>
      </c>
      <c r="CC22" s="308">
        <f>Тор!C42</f>
        <v>2338.6999999999998</v>
      </c>
      <c r="CD22" s="308">
        <f>Тор!D42</f>
        <v>584.67600000000004</v>
      </c>
      <c r="CE22" s="308">
        <f t="shared" si="37"/>
        <v>25.000042758797626</v>
      </c>
      <c r="CF22" s="308">
        <f>Тор!C43</f>
        <v>0</v>
      </c>
      <c r="CG22" s="462">
        <f>Тор!D43</f>
        <v>0</v>
      </c>
      <c r="CH22" s="308" t="e">
        <f t="shared" si="38"/>
        <v>#DIV/0!</v>
      </c>
      <c r="CI22" s="308">
        <f>Тор!C44</f>
        <v>4944.6908299999996</v>
      </c>
      <c r="CJ22" s="308">
        <f>Тор!D44</f>
        <v>406.53699999999998</v>
      </c>
      <c r="CK22" s="308">
        <f t="shared" si="7"/>
        <v>8.2216869360869627</v>
      </c>
      <c r="CL22" s="308">
        <f>Тор!C45</f>
        <v>94.305999999999997</v>
      </c>
      <c r="CM22" s="308">
        <f>Тор!D45</f>
        <v>27.219000000000001</v>
      </c>
      <c r="CN22" s="308">
        <f t="shared" si="8"/>
        <v>28.862426568829129</v>
      </c>
      <c r="CO22" s="308">
        <f>Тор!C46</f>
        <v>974.61500000000001</v>
      </c>
      <c r="CP22" s="308">
        <f>Тор!D46</f>
        <v>0</v>
      </c>
      <c r="CQ22" s="298">
        <f t="shared" si="39"/>
        <v>0</v>
      </c>
      <c r="CR22" s="325">
        <f>Тор!C48</f>
        <v>513.90180999999995</v>
      </c>
      <c r="CS22" s="308">
        <f>Тор!D48</f>
        <v>127.955</v>
      </c>
      <c r="CT22" s="308">
        <f t="shared" si="9"/>
        <v>24.898725303185838</v>
      </c>
      <c r="CU22" s="308"/>
      <c r="CV22" s="308">
        <f>Тор!D49</f>
        <v>0</v>
      </c>
      <c r="CW22" s="308"/>
      <c r="CX22" s="307"/>
      <c r="CY22" s="307"/>
      <c r="CZ22" s="308" t="e">
        <f t="shared" si="40"/>
        <v>#DIV/0!</v>
      </c>
      <c r="DA22" s="308"/>
      <c r="DB22" s="308"/>
      <c r="DC22" s="308"/>
      <c r="DD22" s="308"/>
      <c r="DE22" s="308"/>
      <c r="DF22" s="308"/>
      <c r="DG22" s="307">
        <f t="shared" si="41"/>
        <v>11692.341120000001</v>
      </c>
      <c r="DH22" s="307">
        <f t="shared" si="41"/>
        <v>1160.2031899999999</v>
      </c>
      <c r="DI22" s="308">
        <f t="shared" si="42"/>
        <v>9.9227620721349599</v>
      </c>
      <c r="DJ22" s="307">
        <f t="shared" si="43"/>
        <v>1249.856</v>
      </c>
      <c r="DK22" s="307">
        <f t="shared" si="43"/>
        <v>217.18406999999999</v>
      </c>
      <c r="DL22" s="308">
        <f t="shared" si="44"/>
        <v>17.376727398996366</v>
      </c>
      <c r="DM22" s="308">
        <f>Тор!C58</f>
        <v>1235.9000000000001</v>
      </c>
      <c r="DN22" s="308">
        <f>Тор!D58</f>
        <v>213.22807</v>
      </c>
      <c r="DO22" s="308">
        <f t="shared" si="45"/>
        <v>17.252857836394529</v>
      </c>
      <c r="DP22" s="308">
        <f>Тор!C61</f>
        <v>0</v>
      </c>
      <c r="DQ22" s="308">
        <f>Тор!D61</f>
        <v>0</v>
      </c>
      <c r="DR22" s="308" t="e">
        <f t="shared" si="46"/>
        <v>#DIV/0!</v>
      </c>
      <c r="DS22" s="308">
        <f>Тор!C62</f>
        <v>10</v>
      </c>
      <c r="DT22" s="308">
        <f>Тор!D62</f>
        <v>0</v>
      </c>
      <c r="DU22" s="308">
        <f t="shared" si="47"/>
        <v>0</v>
      </c>
      <c r="DV22" s="308">
        <f>Тор!C63</f>
        <v>3.956</v>
      </c>
      <c r="DW22" s="308">
        <f>Тор!D63</f>
        <v>3.956</v>
      </c>
      <c r="DX22" s="308">
        <f t="shared" si="48"/>
        <v>100</v>
      </c>
      <c r="DY22" s="308">
        <f>Тор!C65</f>
        <v>94.305999999999997</v>
      </c>
      <c r="DZ22" s="308">
        <f>+Тор!D64</f>
        <v>16.46782</v>
      </c>
      <c r="EA22" s="308">
        <f t="shared" si="49"/>
        <v>17.4621126969652</v>
      </c>
      <c r="EB22" s="308">
        <f>Тор!C66</f>
        <v>20</v>
      </c>
      <c r="EC22" s="308">
        <f>Тор!D66</f>
        <v>0</v>
      </c>
      <c r="ED22" s="308">
        <f t="shared" si="50"/>
        <v>0</v>
      </c>
      <c r="EE22" s="307">
        <f>Тор!C72</f>
        <v>5342.6914800000004</v>
      </c>
      <c r="EF22" s="307">
        <f>Тор!D72</f>
        <v>468.70800000000003</v>
      </c>
      <c r="EG22" s="308">
        <f t="shared" si="51"/>
        <v>8.7728816412958963</v>
      </c>
      <c r="EH22" s="307">
        <f>Тор!C78</f>
        <v>3807.0876400000002</v>
      </c>
      <c r="EI22" s="307">
        <f>Тор!D78</f>
        <v>168.4933</v>
      </c>
      <c r="EJ22" s="308">
        <f t="shared" si="52"/>
        <v>4.425779386575929</v>
      </c>
      <c r="EK22" s="307">
        <f>Тор!C82</f>
        <v>1176.4000000000001</v>
      </c>
      <c r="EL22" s="327">
        <f>Тор!D82</f>
        <v>289.35000000000002</v>
      </c>
      <c r="EM22" s="308">
        <f t="shared" si="10"/>
        <v>24.596225773546411</v>
      </c>
      <c r="EN22" s="308">
        <f>Тор!C84</f>
        <v>0</v>
      </c>
      <c r="EO22" s="308">
        <f>Тор!D84</f>
        <v>0</v>
      </c>
      <c r="EP22" s="308" t="e">
        <f t="shared" si="11"/>
        <v>#DIV/0!</v>
      </c>
      <c r="EQ22" s="324">
        <f>Тор!C96</f>
        <v>2</v>
      </c>
      <c r="ER22" s="324">
        <f>Тор!D96</f>
        <v>0</v>
      </c>
      <c r="ES22" s="308">
        <f t="shared" si="53"/>
        <v>0</v>
      </c>
      <c r="ET22" s="308">
        <f>Тор!C94</f>
        <v>0</v>
      </c>
      <c r="EU22" s="308">
        <f>Тор!D94</f>
        <v>0</v>
      </c>
      <c r="EV22" s="308" t="e">
        <f t="shared" si="54"/>
        <v>#DIV/0!</v>
      </c>
      <c r="EW22" s="328">
        <f t="shared" si="12"/>
        <v>-530.02748000000065</v>
      </c>
      <c r="EX22" s="328">
        <f t="shared" si="13"/>
        <v>515.99096999999983</v>
      </c>
      <c r="EY22" s="308">
        <f t="shared" si="56"/>
        <v>-97.351739196616592</v>
      </c>
      <c r="EZ22" s="167"/>
      <c r="FA22" s="168"/>
      <c r="FC22" s="168"/>
      <c r="FF22" s="210"/>
      <c r="FG22" s="210"/>
      <c r="FH22" s="210"/>
      <c r="FI22" s="210"/>
      <c r="FJ22" s="210"/>
      <c r="FK22" s="210"/>
      <c r="FL22" s="210"/>
      <c r="FM22" s="210"/>
      <c r="FN22" s="210"/>
    </row>
    <row r="23" spans="1:170" s="157" customFormat="1" ht="23.25" customHeight="1">
      <c r="A23" s="341">
        <v>10</v>
      </c>
      <c r="B23" s="343" t="s">
        <v>299</v>
      </c>
      <c r="C23" s="296">
        <f t="shared" si="14"/>
        <v>12010.413120000001</v>
      </c>
      <c r="D23" s="297">
        <f t="shared" si="0"/>
        <v>836.05061000000001</v>
      </c>
      <c r="E23" s="305">
        <f t="shared" si="1"/>
        <v>6.9610478977429207</v>
      </c>
      <c r="F23" s="299">
        <f t="shared" si="15"/>
        <v>1169.7299999999998</v>
      </c>
      <c r="G23" s="299">
        <f t="shared" si="3"/>
        <v>141.40761000000001</v>
      </c>
      <c r="H23" s="305">
        <f t="shared" si="16"/>
        <v>12.088910261342365</v>
      </c>
      <c r="I23" s="313">
        <f>Хор!C6</f>
        <v>111</v>
      </c>
      <c r="J23" s="450">
        <f>Хор!D6</f>
        <v>5.9066200000000002</v>
      </c>
      <c r="K23" s="305">
        <f t="shared" si="17"/>
        <v>5.3212792792792794</v>
      </c>
      <c r="L23" s="305">
        <f>Хор!C8</f>
        <v>159.916</v>
      </c>
      <c r="M23" s="305">
        <f>Хор!D8</f>
        <v>54.405079999999998</v>
      </c>
      <c r="N23" s="298">
        <f t="shared" si="18"/>
        <v>34.021036043923061</v>
      </c>
      <c r="O23" s="298">
        <f>Хор!C9</f>
        <v>1.7150000000000001</v>
      </c>
      <c r="P23" s="298">
        <f>Хор!D9</f>
        <v>0.34860999999999998</v>
      </c>
      <c r="Q23" s="298">
        <f t="shared" si="19"/>
        <v>20.327113702623905</v>
      </c>
      <c r="R23" s="298">
        <f>Хор!C10</f>
        <v>267.09899999999999</v>
      </c>
      <c r="S23" s="298">
        <f>Хор!D10</f>
        <v>65.829229999999995</v>
      </c>
      <c r="T23" s="298">
        <f t="shared" si="20"/>
        <v>24.646003916150942</v>
      </c>
      <c r="U23" s="298">
        <f>Хор!C11</f>
        <v>0</v>
      </c>
      <c r="V23" s="302">
        <f>Хор!D11</f>
        <v>-7.2991400000000004</v>
      </c>
      <c r="W23" s="298" t="e">
        <f t="shared" si="21"/>
        <v>#DIV/0!</v>
      </c>
      <c r="X23" s="313">
        <f>Хор!C13</f>
        <v>10</v>
      </c>
      <c r="Y23" s="313">
        <f>Хор!D13</f>
        <v>7.4399999999999994E-2</v>
      </c>
      <c r="Z23" s="305">
        <f t="shared" si="22"/>
        <v>0.74399999999999999</v>
      </c>
      <c r="AA23" s="313">
        <f>Хор!C15</f>
        <v>271</v>
      </c>
      <c r="AB23" s="304">
        <f>Хор!D15</f>
        <v>1.7322</v>
      </c>
      <c r="AC23" s="305">
        <f t="shared" si="23"/>
        <v>0.63918819188191878</v>
      </c>
      <c r="AD23" s="313">
        <f>Хор!C16</f>
        <v>314</v>
      </c>
      <c r="AE23" s="313">
        <f>Хор!D16</f>
        <v>19.327310000000001</v>
      </c>
      <c r="AF23" s="305">
        <f t="shared" si="4"/>
        <v>6.1551942675159239</v>
      </c>
      <c r="AG23" s="305">
        <f>Хор!C18</f>
        <v>5</v>
      </c>
      <c r="AH23" s="305">
        <f>Хор!D18</f>
        <v>0.8</v>
      </c>
      <c r="AI23" s="305">
        <f t="shared" si="24"/>
        <v>16</v>
      </c>
      <c r="AJ23" s="305"/>
      <c r="AK23" s="305"/>
      <c r="AL23" s="305" t="e">
        <f t="shared" si="5"/>
        <v>#DIV/0!</v>
      </c>
      <c r="AM23" s="313">
        <v>0</v>
      </c>
      <c r="AN23" s="313">
        <v>0</v>
      </c>
      <c r="AO23" s="305" t="e">
        <f t="shared" si="6"/>
        <v>#DIV/0!</v>
      </c>
      <c r="AP23" s="313">
        <f>Хор!C25</f>
        <v>30</v>
      </c>
      <c r="AQ23" s="314">
        <f>Хор!D25</f>
        <v>8.3299999999999999E-2</v>
      </c>
      <c r="AR23" s="305">
        <f t="shared" si="25"/>
        <v>0.27766666666666662</v>
      </c>
      <c r="AS23" s="307">
        <f>Хор!C26</f>
        <v>0</v>
      </c>
      <c r="AT23" s="314">
        <f>Хор!D26</f>
        <v>0</v>
      </c>
      <c r="AU23" s="305" t="e">
        <f t="shared" si="26"/>
        <v>#DIV/0!</v>
      </c>
      <c r="AV23" s="313"/>
      <c r="AW23" s="313"/>
      <c r="AX23" s="305" t="e">
        <f t="shared" si="27"/>
        <v>#DIV/0!</v>
      </c>
      <c r="AY23" s="305">
        <f>Хор!C27</f>
        <v>0</v>
      </c>
      <c r="AZ23" s="308">
        <f>Хор!D27</f>
        <v>0</v>
      </c>
      <c r="BA23" s="305" t="e">
        <f t="shared" si="28"/>
        <v>#DIV/0!</v>
      </c>
      <c r="BB23" s="305"/>
      <c r="BC23" s="305"/>
      <c r="BD23" s="305"/>
      <c r="BE23" s="305">
        <f>Хор!C31</f>
        <v>0</v>
      </c>
      <c r="BF23" s="305">
        <f>Хор!D31</f>
        <v>0</v>
      </c>
      <c r="BG23" s="305" t="e">
        <f t="shared" si="29"/>
        <v>#DIV/0!</v>
      </c>
      <c r="BH23" s="305"/>
      <c r="BI23" s="305"/>
      <c r="BJ23" s="305" t="e">
        <f t="shared" si="30"/>
        <v>#DIV/0!</v>
      </c>
      <c r="BK23" s="305"/>
      <c r="BL23" s="305"/>
      <c r="BM23" s="305"/>
      <c r="BN23" s="305"/>
      <c r="BO23" s="305"/>
      <c r="BP23" s="298" t="e">
        <f t="shared" si="31"/>
        <v>#DIV/0!</v>
      </c>
      <c r="BQ23" s="305">
        <f>Хор!C32</f>
        <v>0</v>
      </c>
      <c r="BR23" s="305">
        <f>Хор!D32</f>
        <v>0.2</v>
      </c>
      <c r="BS23" s="305" t="e">
        <f t="shared" si="32"/>
        <v>#DIV/0!</v>
      </c>
      <c r="BT23" s="305"/>
      <c r="BU23" s="305"/>
      <c r="BV23" s="315" t="e">
        <f t="shared" si="33"/>
        <v>#DIV/0!</v>
      </c>
      <c r="BW23" s="315"/>
      <c r="BX23" s="315"/>
      <c r="BY23" s="315" t="e">
        <f t="shared" si="34"/>
        <v>#DIV/0!</v>
      </c>
      <c r="BZ23" s="303">
        <f t="shared" si="35"/>
        <v>10840.683120000002</v>
      </c>
      <c r="CA23" s="303">
        <f>CD23+CG23+CJ23+CM23+CS23+CP23+CV23</f>
        <v>694.64300000000003</v>
      </c>
      <c r="CB23" s="305">
        <f t="shared" si="55"/>
        <v>6.407741950490661</v>
      </c>
      <c r="CC23" s="305">
        <f>Хор!C37</f>
        <v>2095.3000000000002</v>
      </c>
      <c r="CD23" s="305">
        <f>Хор!D37</f>
        <v>523.82399999999996</v>
      </c>
      <c r="CE23" s="305">
        <f t="shared" si="37"/>
        <v>24.999952274137353</v>
      </c>
      <c r="CF23" s="305">
        <f>Хор!C39</f>
        <v>0</v>
      </c>
      <c r="CG23" s="461">
        <f>Хор!D39</f>
        <v>0</v>
      </c>
      <c r="CH23" s="305" t="e">
        <f t="shared" si="38"/>
        <v>#DIV/0!</v>
      </c>
      <c r="CI23" s="305">
        <f>Хор!C40</f>
        <v>5392.4809599999999</v>
      </c>
      <c r="CJ23" s="305">
        <f>Хор!D40</f>
        <v>143.6</v>
      </c>
      <c r="CK23" s="305">
        <f t="shared" si="7"/>
        <v>2.6629672142597607</v>
      </c>
      <c r="CL23" s="305">
        <f>Хор!C41</f>
        <v>94.305000000000007</v>
      </c>
      <c r="CM23" s="305">
        <f>Хор!D41</f>
        <v>27.219000000000001</v>
      </c>
      <c r="CN23" s="305">
        <f t="shared" si="8"/>
        <v>28.862732622872596</v>
      </c>
      <c r="CO23" s="305">
        <f>Хор!C42</f>
        <v>2492.6019999999999</v>
      </c>
      <c r="CP23" s="305">
        <f>Хор!D42</f>
        <v>0</v>
      </c>
      <c r="CQ23" s="298">
        <f t="shared" si="39"/>
        <v>0</v>
      </c>
      <c r="CR23" s="317">
        <f>Хор!C43</f>
        <v>765.99516000000006</v>
      </c>
      <c r="CS23" s="305">
        <f>Хор!D43</f>
        <v>0</v>
      </c>
      <c r="CT23" s="305">
        <f t="shared" si="9"/>
        <v>0</v>
      </c>
      <c r="CU23" s="305"/>
      <c r="CV23" s="305"/>
      <c r="CW23" s="305"/>
      <c r="CX23" s="313"/>
      <c r="CY23" s="313"/>
      <c r="CZ23" s="305" t="e">
        <f t="shared" si="40"/>
        <v>#DIV/0!</v>
      </c>
      <c r="DA23" s="305"/>
      <c r="DB23" s="305"/>
      <c r="DC23" s="305"/>
      <c r="DD23" s="305"/>
      <c r="DE23" s="305">
        <f>Хор!D46</f>
        <v>0</v>
      </c>
      <c r="DF23" s="305"/>
      <c r="DG23" s="307">
        <f t="shared" si="41"/>
        <v>12011.855279999998</v>
      </c>
      <c r="DH23" s="307">
        <f t="shared" si="41"/>
        <v>640.80332999999996</v>
      </c>
      <c r="DI23" s="305">
        <f t="shared" si="42"/>
        <v>5.3347573298435549</v>
      </c>
      <c r="DJ23" s="313">
        <f t="shared" si="43"/>
        <v>1209.5520000000001</v>
      </c>
      <c r="DK23" s="313">
        <f t="shared" si="43"/>
        <v>255.15233999999998</v>
      </c>
      <c r="DL23" s="305">
        <f t="shared" si="44"/>
        <v>21.094780546847094</v>
      </c>
      <c r="DM23" s="305">
        <f>Хор!C54</f>
        <v>1196.4000000000001</v>
      </c>
      <c r="DN23" s="305">
        <f>Хор!D54</f>
        <v>252.00033999999999</v>
      </c>
      <c r="DO23" s="305">
        <f t="shared" si="45"/>
        <v>21.063217987295214</v>
      </c>
      <c r="DP23" s="305">
        <f>Хор!C57</f>
        <v>0</v>
      </c>
      <c r="DQ23" s="305">
        <f>Хор!D57</f>
        <v>0</v>
      </c>
      <c r="DR23" s="305" t="e">
        <f t="shared" si="46"/>
        <v>#DIV/0!</v>
      </c>
      <c r="DS23" s="305">
        <f>Хор!C58</f>
        <v>10</v>
      </c>
      <c r="DT23" s="305">
        <f>Хор!D58</f>
        <v>0</v>
      </c>
      <c r="DU23" s="305">
        <f t="shared" si="47"/>
        <v>0</v>
      </c>
      <c r="DV23" s="305">
        <f>Хор!C59</f>
        <v>3.1520000000000001</v>
      </c>
      <c r="DW23" s="305">
        <f>Хор!D59</f>
        <v>3.1520000000000001</v>
      </c>
      <c r="DX23" s="305">
        <f t="shared" si="48"/>
        <v>100</v>
      </c>
      <c r="DY23" s="305">
        <f>Хор!C61</f>
        <v>94.305000000000007</v>
      </c>
      <c r="DZ23" s="305">
        <f>Хор!D61</f>
        <v>11.79406</v>
      </c>
      <c r="EA23" s="305">
        <f t="shared" si="49"/>
        <v>12.506293409681351</v>
      </c>
      <c r="EB23" s="305">
        <f>Хор!C62</f>
        <v>8</v>
      </c>
      <c r="EC23" s="305">
        <f>Хор!D62</f>
        <v>0</v>
      </c>
      <c r="ED23" s="305">
        <f t="shared" si="50"/>
        <v>0</v>
      </c>
      <c r="EE23" s="313">
        <f>Хор!C68</f>
        <v>1284.1821600000001</v>
      </c>
      <c r="EF23" s="313">
        <f>Хор!D68</f>
        <v>189.60760999999999</v>
      </c>
      <c r="EG23" s="305">
        <f t="shared" si="51"/>
        <v>14.764853142018417</v>
      </c>
      <c r="EH23" s="313">
        <f>Хор!C73</f>
        <v>8545.0161199999984</v>
      </c>
      <c r="EI23" s="313">
        <f>Хор!D73</f>
        <v>23.98075</v>
      </c>
      <c r="EJ23" s="305">
        <f t="shared" si="52"/>
        <v>0.28064019614745916</v>
      </c>
      <c r="EK23" s="313">
        <f>Хор!C77</f>
        <v>865.8</v>
      </c>
      <c r="EL23" s="318">
        <f>Хор!D77</f>
        <v>160.26857000000001</v>
      </c>
      <c r="EM23" s="305">
        <f t="shared" si="10"/>
        <v>18.511038346038347</v>
      </c>
      <c r="EN23" s="305">
        <f>Хор!C79</f>
        <v>0</v>
      </c>
      <c r="EO23" s="305">
        <f>Хор!D79</f>
        <v>0</v>
      </c>
      <c r="EP23" s="305" t="e">
        <f t="shared" si="11"/>
        <v>#DIV/0!</v>
      </c>
      <c r="EQ23" s="319">
        <f>Хор!C84</f>
        <v>5</v>
      </c>
      <c r="ER23" s="319">
        <f>Хор!D84</f>
        <v>0</v>
      </c>
      <c r="ES23" s="305">
        <f t="shared" si="53"/>
        <v>0</v>
      </c>
      <c r="ET23" s="305">
        <f>Хор!C90</f>
        <v>0</v>
      </c>
      <c r="EU23" s="305">
        <f>Хор!D90</f>
        <v>0</v>
      </c>
      <c r="EV23" s="298" t="e">
        <f t="shared" si="54"/>
        <v>#DIV/0!</v>
      </c>
      <c r="EW23" s="312">
        <f t="shared" si="12"/>
        <v>-1.4421599999968748</v>
      </c>
      <c r="EX23" s="312">
        <f t="shared" si="13"/>
        <v>195.24728000000005</v>
      </c>
      <c r="EY23" s="298">
        <f t="shared" si="56"/>
        <v>-13538.531092279854</v>
      </c>
      <c r="EZ23" s="159"/>
      <c r="FA23" s="160"/>
      <c r="FC23" s="160"/>
    </row>
    <row r="24" spans="1:170" s="253" customFormat="1" ht="25.5" customHeight="1">
      <c r="A24" s="346">
        <v>11</v>
      </c>
      <c r="B24" s="343" t="s">
        <v>300</v>
      </c>
      <c r="C24" s="320">
        <f t="shared" si="14"/>
        <v>8597.5113600000004</v>
      </c>
      <c r="D24" s="297">
        <f t="shared" si="0"/>
        <v>1388.1705999999999</v>
      </c>
      <c r="E24" s="305">
        <f t="shared" si="1"/>
        <v>16.146190936815465</v>
      </c>
      <c r="F24" s="299">
        <f t="shared" si="15"/>
        <v>1138.6960000000001</v>
      </c>
      <c r="G24" s="319">
        <f t="shared" si="3"/>
        <v>356.78360000000004</v>
      </c>
      <c r="H24" s="305">
        <f t="shared" si="16"/>
        <v>31.332647168339928</v>
      </c>
      <c r="I24" s="313">
        <f>Чум!C6</f>
        <v>93</v>
      </c>
      <c r="J24" s="450">
        <f>Чум!D6</f>
        <v>18.432780000000001</v>
      </c>
      <c r="K24" s="305">
        <f t="shared" si="17"/>
        <v>19.820193548387095</v>
      </c>
      <c r="L24" s="305">
        <f>Чум!C8</f>
        <v>152.505</v>
      </c>
      <c r="M24" s="305">
        <f>Чум!D8</f>
        <v>51.882980000000003</v>
      </c>
      <c r="N24" s="305">
        <f t="shared" si="18"/>
        <v>34.020510802924498</v>
      </c>
      <c r="O24" s="305">
        <f>Чум!C9</f>
        <v>1.635</v>
      </c>
      <c r="P24" s="305">
        <f>Чум!D9</f>
        <v>0.33244000000000001</v>
      </c>
      <c r="Q24" s="305">
        <f t="shared" si="19"/>
        <v>20.332721712538227</v>
      </c>
      <c r="R24" s="305">
        <f>Чум!C10</f>
        <v>254.72</v>
      </c>
      <c r="S24" s="305">
        <f>Чум!D10</f>
        <v>62.777549999999998</v>
      </c>
      <c r="T24" s="305">
        <f t="shared" si="20"/>
        <v>24.645709013819094</v>
      </c>
      <c r="U24" s="305">
        <f>Чум!C11</f>
        <v>0</v>
      </c>
      <c r="V24" s="317">
        <f>Чум!D11</f>
        <v>-6.9607700000000001</v>
      </c>
      <c r="W24" s="305" t="e">
        <f t="shared" si="21"/>
        <v>#DIV/0!</v>
      </c>
      <c r="X24" s="313">
        <f>Чум!C13</f>
        <v>40</v>
      </c>
      <c r="Y24" s="313">
        <f>Чум!D13</f>
        <v>87.744879999999995</v>
      </c>
      <c r="Z24" s="305">
        <f t="shared" si="22"/>
        <v>219.3622</v>
      </c>
      <c r="AA24" s="313">
        <f>Чум!C15</f>
        <v>96</v>
      </c>
      <c r="AB24" s="304">
        <f>Чум!D15</f>
        <v>5.4635300000000004</v>
      </c>
      <c r="AC24" s="305">
        <f t="shared" si="23"/>
        <v>5.6911770833333337</v>
      </c>
      <c r="AD24" s="313">
        <f>Чум!C16</f>
        <v>359.69600000000003</v>
      </c>
      <c r="AE24" s="313">
        <f>Чум!D16</f>
        <v>13.38776</v>
      </c>
      <c r="AF24" s="305">
        <f t="shared" si="4"/>
        <v>3.7219652150705036</v>
      </c>
      <c r="AG24" s="305">
        <f>Чум!C18</f>
        <v>5</v>
      </c>
      <c r="AH24" s="305">
        <f>Чум!D18</f>
        <v>1.2</v>
      </c>
      <c r="AI24" s="305">
        <f t="shared" si="24"/>
        <v>24</v>
      </c>
      <c r="AJ24" s="305">
        <f>Чум!C22</f>
        <v>0</v>
      </c>
      <c r="AK24" s="305">
        <f>Чум!D20</f>
        <v>0.36364999999999997</v>
      </c>
      <c r="AL24" s="305" t="e">
        <f>AK24/AJ24*100</f>
        <v>#DIV/0!</v>
      </c>
      <c r="AM24" s="313">
        <v>0</v>
      </c>
      <c r="AN24" s="313"/>
      <c r="AO24" s="305" t="e">
        <f t="shared" si="6"/>
        <v>#DIV/0!</v>
      </c>
      <c r="AP24" s="313">
        <f>Чум!C27</f>
        <v>86.14</v>
      </c>
      <c r="AQ24" s="314">
        <f>Чум!D27</f>
        <v>43.681800000000003</v>
      </c>
      <c r="AR24" s="305">
        <f t="shared" si="25"/>
        <v>50.710239145576978</v>
      </c>
      <c r="AS24" s="313">
        <f>Чум!C28</f>
        <v>0</v>
      </c>
      <c r="AT24" s="314">
        <f>Чум!D28</f>
        <v>0</v>
      </c>
      <c r="AU24" s="305" t="e">
        <f t="shared" si="26"/>
        <v>#DIV/0!</v>
      </c>
      <c r="AV24" s="313"/>
      <c r="AW24" s="313"/>
      <c r="AX24" s="305" t="e">
        <f t="shared" si="27"/>
        <v>#DIV/0!</v>
      </c>
      <c r="AY24" s="305">
        <f>Чум!C30</f>
        <v>50</v>
      </c>
      <c r="AZ24" s="308">
        <f>Чум!D30</f>
        <v>0</v>
      </c>
      <c r="BA24" s="305">
        <f t="shared" si="28"/>
        <v>0</v>
      </c>
      <c r="BB24" s="305"/>
      <c r="BC24" s="305"/>
      <c r="BD24" s="305"/>
      <c r="BE24" s="305">
        <f>Чум!C33</f>
        <v>0</v>
      </c>
      <c r="BF24" s="305">
        <f>Чум!D31</f>
        <v>78.477000000000004</v>
      </c>
      <c r="BG24" s="305" t="e">
        <f t="shared" si="29"/>
        <v>#DIV/0!</v>
      </c>
      <c r="BH24" s="305"/>
      <c r="BI24" s="305"/>
      <c r="BJ24" s="305" t="e">
        <f t="shared" si="30"/>
        <v>#DIV/0!</v>
      </c>
      <c r="BK24" s="305"/>
      <c r="BL24" s="305"/>
      <c r="BM24" s="305"/>
      <c r="BN24" s="305"/>
      <c r="BO24" s="305">
        <f>Чум!D34</f>
        <v>0</v>
      </c>
      <c r="BP24" s="298" t="e">
        <f t="shared" si="31"/>
        <v>#DIV/0!</v>
      </c>
      <c r="BQ24" s="305">
        <f>Чум!C37</f>
        <v>0</v>
      </c>
      <c r="BR24" s="305">
        <f>Чум!D37</f>
        <v>0</v>
      </c>
      <c r="BS24" s="305" t="e">
        <f t="shared" si="32"/>
        <v>#DIV/0!</v>
      </c>
      <c r="BT24" s="305"/>
      <c r="BU24" s="305"/>
      <c r="BV24" s="315" t="e">
        <f t="shared" si="33"/>
        <v>#DIV/0!</v>
      </c>
      <c r="BW24" s="315"/>
      <c r="BX24" s="315"/>
      <c r="BY24" s="315" t="e">
        <f t="shared" si="34"/>
        <v>#DIV/0!</v>
      </c>
      <c r="BZ24" s="313">
        <f t="shared" si="35"/>
        <v>7458.8153600000005</v>
      </c>
      <c r="CA24" s="313">
        <f t="shared" si="36"/>
        <v>1031.3869999999999</v>
      </c>
      <c r="CB24" s="305">
        <f t="shared" si="55"/>
        <v>13.827758835955418</v>
      </c>
      <c r="CC24" s="305">
        <f>Чум!C42</f>
        <v>3395.5</v>
      </c>
      <c r="CD24" s="305">
        <f>Чум!D42</f>
        <v>848.87400000000002</v>
      </c>
      <c r="CE24" s="305">
        <f t="shared" si="37"/>
        <v>24.999970549256371</v>
      </c>
      <c r="CF24" s="305">
        <f>Чум!C43</f>
        <v>0</v>
      </c>
      <c r="CG24" s="461">
        <f>Чум!D43</f>
        <v>0</v>
      </c>
      <c r="CH24" s="305" t="e">
        <f t="shared" si="38"/>
        <v>#DIV/0!</v>
      </c>
      <c r="CI24" s="305">
        <f>Чум!C44</f>
        <v>3397.261</v>
      </c>
      <c r="CJ24" s="305">
        <f>Чум!D44</f>
        <v>155.29400000000001</v>
      </c>
      <c r="CK24" s="305">
        <f t="shared" si="7"/>
        <v>4.5711530553584199</v>
      </c>
      <c r="CL24" s="305">
        <f>Чум!C45</f>
        <v>94.305999999999997</v>
      </c>
      <c r="CM24" s="305">
        <f>Чум!D45</f>
        <v>27.219000000000001</v>
      </c>
      <c r="CN24" s="305">
        <f t="shared" si="8"/>
        <v>28.862426568829129</v>
      </c>
      <c r="CO24" s="305">
        <f>Чум!C46</f>
        <v>408.63</v>
      </c>
      <c r="CP24" s="305">
        <f>Чум!D46</f>
        <v>0</v>
      </c>
      <c r="CQ24" s="298">
        <f t="shared" si="39"/>
        <v>0</v>
      </c>
      <c r="CR24" s="317">
        <f>Чум!C50</f>
        <v>163.11836</v>
      </c>
      <c r="CS24" s="305">
        <f>Чум!D50</f>
        <v>0</v>
      </c>
      <c r="CT24" s="305">
        <f t="shared" si="9"/>
        <v>0</v>
      </c>
      <c r="CU24" s="305"/>
      <c r="CV24" s="305"/>
      <c r="CW24" s="305"/>
      <c r="CX24" s="313"/>
      <c r="CY24" s="313"/>
      <c r="CZ24" s="305" t="e">
        <f t="shared" si="40"/>
        <v>#DIV/0!</v>
      </c>
      <c r="DA24" s="305"/>
      <c r="DB24" s="305"/>
      <c r="DC24" s="305"/>
      <c r="DD24" s="305"/>
      <c r="DE24" s="305"/>
      <c r="DF24" s="305"/>
      <c r="DG24" s="307">
        <f t="shared" si="41"/>
        <v>8925.7001799999998</v>
      </c>
      <c r="DH24" s="307">
        <f t="shared" si="41"/>
        <v>1103.0152699999999</v>
      </c>
      <c r="DI24" s="305">
        <f t="shared" si="42"/>
        <v>12.357745025668114</v>
      </c>
      <c r="DJ24" s="313">
        <f t="shared" si="43"/>
        <v>1539.6280000000002</v>
      </c>
      <c r="DK24" s="313">
        <f t="shared" si="43"/>
        <v>310.27668</v>
      </c>
      <c r="DL24" s="305">
        <f t="shared" si="44"/>
        <v>20.152704419509128</v>
      </c>
      <c r="DM24" s="305">
        <f>Чум!C58</f>
        <v>1525.7</v>
      </c>
      <c r="DN24" s="305">
        <f>Чум!D58</f>
        <v>309.27668</v>
      </c>
      <c r="DO24" s="305">
        <f t="shared" si="45"/>
        <v>20.271133250311333</v>
      </c>
      <c r="DP24" s="305">
        <f>Чум!C61</f>
        <v>0</v>
      </c>
      <c r="DQ24" s="305">
        <f>Чум!D61</f>
        <v>0</v>
      </c>
      <c r="DR24" s="305" t="e">
        <f t="shared" si="46"/>
        <v>#DIV/0!</v>
      </c>
      <c r="DS24" s="305">
        <f>Чум!C62</f>
        <v>10</v>
      </c>
      <c r="DT24" s="305">
        <f>Чум!D62</f>
        <v>0</v>
      </c>
      <c r="DU24" s="305">
        <f t="shared" si="47"/>
        <v>0</v>
      </c>
      <c r="DV24" s="305">
        <f>Чум!C63</f>
        <v>3.9279999999999999</v>
      </c>
      <c r="DW24" s="305">
        <f>Чум!D63</f>
        <v>1</v>
      </c>
      <c r="DX24" s="305">
        <f t="shared" si="48"/>
        <v>25.45824847250509</v>
      </c>
      <c r="DY24" s="305">
        <f>Чум!C65</f>
        <v>94.305999999999997</v>
      </c>
      <c r="DZ24" s="305">
        <f>Чум!D65</f>
        <v>16.46782</v>
      </c>
      <c r="EA24" s="305">
        <f t="shared" si="49"/>
        <v>17.4621126969652</v>
      </c>
      <c r="EB24" s="305">
        <f>Чум!C66</f>
        <v>20</v>
      </c>
      <c r="EC24" s="305">
        <f>Чум!D66</f>
        <v>0.7</v>
      </c>
      <c r="ED24" s="305">
        <f t="shared" si="50"/>
        <v>3.4999999999999996</v>
      </c>
      <c r="EE24" s="313">
        <f>Чум!C72</f>
        <v>1357.1851799999999</v>
      </c>
      <c r="EF24" s="313">
        <f>Чум!D72</f>
        <v>191.37633</v>
      </c>
      <c r="EG24" s="305">
        <f t="shared" si="51"/>
        <v>14.100974046887249</v>
      </c>
      <c r="EH24" s="313">
        <f>Чум!C77</f>
        <v>4866.1810000000005</v>
      </c>
      <c r="EI24" s="313">
        <f>Чум!D77</f>
        <v>320.76243999999997</v>
      </c>
      <c r="EJ24" s="305">
        <f t="shared" si="52"/>
        <v>6.5916668533291283</v>
      </c>
      <c r="EK24" s="313">
        <f>Чум!C81</f>
        <v>1038.4000000000001</v>
      </c>
      <c r="EL24" s="318">
        <f>Чум!D81</f>
        <v>259.60199999999998</v>
      </c>
      <c r="EM24" s="305">
        <f t="shared" si="10"/>
        <v>25.000192604006159</v>
      </c>
      <c r="EN24" s="305">
        <f>Чум!C83</f>
        <v>0</v>
      </c>
      <c r="EO24" s="305">
        <f>Чум!D83</f>
        <v>0</v>
      </c>
      <c r="EP24" s="305" t="e">
        <f t="shared" si="11"/>
        <v>#DIV/0!</v>
      </c>
      <c r="EQ24" s="319">
        <f>Чум!C88</f>
        <v>10</v>
      </c>
      <c r="ER24" s="319">
        <f>Чум!D88</f>
        <v>3.83</v>
      </c>
      <c r="ES24" s="305">
        <f t="shared" si="53"/>
        <v>38.299999999999997</v>
      </c>
      <c r="ET24" s="305">
        <f>Чум!C94</f>
        <v>0</v>
      </c>
      <c r="EU24" s="305">
        <f>Чум!D94</f>
        <v>0</v>
      </c>
      <c r="EV24" s="305" t="e">
        <f t="shared" si="54"/>
        <v>#DIV/0!</v>
      </c>
      <c r="EW24" s="329">
        <f t="shared" si="12"/>
        <v>-328.1888199999994</v>
      </c>
      <c r="EX24" s="329">
        <f t="shared" si="13"/>
        <v>285.15533000000005</v>
      </c>
      <c r="EY24" s="305">
        <f t="shared" si="56"/>
        <v>-86.88758197186624</v>
      </c>
      <c r="EZ24" s="251"/>
      <c r="FA24" s="252"/>
      <c r="FC24" s="252"/>
    </row>
    <row r="25" spans="1:170" s="169" customFormat="1" ht="22.5" customHeight="1">
      <c r="A25" s="344">
        <v>12</v>
      </c>
      <c r="B25" s="345" t="s">
        <v>301</v>
      </c>
      <c r="C25" s="322">
        <f t="shared" si="14"/>
        <v>7783.8355599999995</v>
      </c>
      <c r="D25" s="323">
        <f t="shared" si="0"/>
        <v>2094.2035000000001</v>
      </c>
      <c r="E25" s="308">
        <f t="shared" si="1"/>
        <v>26.90451877942807</v>
      </c>
      <c r="F25" s="299">
        <f t="shared" si="15"/>
        <v>2414.7599999999998</v>
      </c>
      <c r="G25" s="324">
        <f t="shared" si="3"/>
        <v>1440.6144999999999</v>
      </c>
      <c r="H25" s="308">
        <f t="shared" si="16"/>
        <v>59.658703142341274</v>
      </c>
      <c r="I25" s="307">
        <f>Шать!C6</f>
        <v>60</v>
      </c>
      <c r="J25" s="450">
        <f>Шать!D6</f>
        <v>8.7272400000000001</v>
      </c>
      <c r="K25" s="308">
        <f t="shared" si="17"/>
        <v>14.545400000000001</v>
      </c>
      <c r="L25" s="308">
        <f>Шать!C8</f>
        <v>156.73500000000001</v>
      </c>
      <c r="M25" s="308">
        <f>Шать!D8</f>
        <v>53.324170000000002</v>
      </c>
      <c r="N25" s="308">
        <f t="shared" si="18"/>
        <v>34.02186493125339</v>
      </c>
      <c r="O25" s="308">
        <f>Шать!C9</f>
        <v>1.68</v>
      </c>
      <c r="P25" s="308">
        <f>Шать!D9</f>
        <v>0.34168999999999999</v>
      </c>
      <c r="Q25" s="308">
        <f t="shared" si="19"/>
        <v>20.338690476190475</v>
      </c>
      <c r="R25" s="308">
        <f>Шать!C10</f>
        <v>261.78500000000003</v>
      </c>
      <c r="S25" s="308">
        <f>Шать!D10</f>
        <v>64.521379999999994</v>
      </c>
      <c r="T25" s="308">
        <f t="shared" si="20"/>
        <v>24.646706266592812</v>
      </c>
      <c r="U25" s="308">
        <f>Шать!C11</f>
        <v>0</v>
      </c>
      <c r="V25" s="325">
        <f>Шать!D11</f>
        <v>-7.1541199999999998</v>
      </c>
      <c r="W25" s="308" t="e">
        <f t="shared" si="21"/>
        <v>#DIV/0!</v>
      </c>
      <c r="X25" s="307">
        <f>Шать!C13</f>
        <v>10</v>
      </c>
      <c r="Y25" s="307">
        <f>Шать!D13</f>
        <v>0</v>
      </c>
      <c r="Z25" s="308">
        <f t="shared" si="22"/>
        <v>0</v>
      </c>
      <c r="AA25" s="307">
        <f>Шать!C15</f>
        <v>90</v>
      </c>
      <c r="AB25" s="304">
        <f>Шать!D15</f>
        <v>0.88360000000000005</v>
      </c>
      <c r="AC25" s="308">
        <f t="shared" si="23"/>
        <v>0.98177777777777775</v>
      </c>
      <c r="AD25" s="307">
        <f>Шать!C16</f>
        <v>307</v>
      </c>
      <c r="AE25" s="307">
        <f>Шать!D16</f>
        <v>20.27534</v>
      </c>
      <c r="AF25" s="308">
        <f t="shared" si="4"/>
        <v>6.604345276872964</v>
      </c>
      <c r="AG25" s="308">
        <f>Шать!C18</f>
        <v>3</v>
      </c>
      <c r="AH25" s="308">
        <f>Шать!D18</f>
        <v>0.8</v>
      </c>
      <c r="AI25" s="308">
        <f t="shared" si="24"/>
        <v>26.666666666666668</v>
      </c>
      <c r="AJ25" s="308"/>
      <c r="AK25" s="308"/>
      <c r="AL25" s="308" t="e">
        <f>AJ25/AK25*100</f>
        <v>#DIV/0!</v>
      </c>
      <c r="AM25" s="307">
        <v>0</v>
      </c>
      <c r="AN25" s="307">
        <f>0</f>
        <v>0</v>
      </c>
      <c r="AO25" s="308" t="e">
        <f t="shared" si="6"/>
        <v>#DIV/0!</v>
      </c>
      <c r="AP25" s="307">
        <f>Шать!C27</f>
        <v>180</v>
      </c>
      <c r="AQ25" s="314">
        <f>Шать!D27</f>
        <v>0</v>
      </c>
      <c r="AR25" s="308">
        <f t="shared" si="25"/>
        <v>0</v>
      </c>
      <c r="AS25" s="307">
        <f>Шать!C28</f>
        <v>20</v>
      </c>
      <c r="AT25" s="304">
        <f>Шать!D28</f>
        <v>4.3352000000000004</v>
      </c>
      <c r="AU25" s="308">
        <f t="shared" si="26"/>
        <v>21.676000000000002</v>
      </c>
      <c r="AV25" s="307"/>
      <c r="AW25" s="307"/>
      <c r="AX25" s="308" t="e">
        <f t="shared" si="27"/>
        <v>#DIV/0!</v>
      </c>
      <c r="AY25" s="308">
        <f>Шать!C29</f>
        <v>30</v>
      </c>
      <c r="AZ25" s="308">
        <f>Шать!D29</f>
        <v>0</v>
      </c>
      <c r="BA25" s="308">
        <f t="shared" si="28"/>
        <v>0</v>
      </c>
      <c r="BB25" s="308"/>
      <c r="BC25" s="308"/>
      <c r="BD25" s="308"/>
      <c r="BE25" s="308">
        <f>Шать!C31</f>
        <v>1294.56</v>
      </c>
      <c r="BF25" s="308">
        <f>Шать!D31</f>
        <v>1294.56</v>
      </c>
      <c r="BG25" s="308">
        <f t="shared" si="29"/>
        <v>100</v>
      </c>
      <c r="BH25" s="308"/>
      <c r="BI25" s="308"/>
      <c r="BJ25" s="308" t="e">
        <f t="shared" si="30"/>
        <v>#DIV/0!</v>
      </c>
      <c r="BK25" s="308"/>
      <c r="BL25" s="308"/>
      <c r="BM25" s="308"/>
      <c r="BN25" s="308">
        <f>Шать!C34</f>
        <v>0</v>
      </c>
      <c r="BO25" s="308">
        <f>Шать!D34</f>
        <v>0</v>
      </c>
      <c r="BP25" s="298" t="e">
        <f t="shared" si="31"/>
        <v>#DIV/0!</v>
      </c>
      <c r="BQ25" s="308">
        <f>Шать!C37</f>
        <v>0</v>
      </c>
      <c r="BR25" s="308">
        <v>0</v>
      </c>
      <c r="BS25" s="308" t="e">
        <f t="shared" si="32"/>
        <v>#DIV/0!</v>
      </c>
      <c r="BT25" s="308"/>
      <c r="BU25" s="308"/>
      <c r="BV25" s="326" t="e">
        <f t="shared" si="33"/>
        <v>#DIV/0!</v>
      </c>
      <c r="BW25" s="326"/>
      <c r="BX25" s="326"/>
      <c r="BY25" s="326" t="e">
        <f t="shared" si="34"/>
        <v>#DIV/0!</v>
      </c>
      <c r="BZ25" s="307">
        <f t="shared" si="35"/>
        <v>5369.0755600000002</v>
      </c>
      <c r="CA25" s="303">
        <f t="shared" si="36"/>
        <v>653.58900000000006</v>
      </c>
      <c r="CB25" s="308">
        <f t="shared" si="55"/>
        <v>12.173212924572811</v>
      </c>
      <c r="CC25" s="308">
        <f>Шать!C42</f>
        <v>1897.8</v>
      </c>
      <c r="CD25" s="308">
        <f>Шать!D42</f>
        <v>474.45</v>
      </c>
      <c r="CE25" s="308">
        <f t="shared" si="37"/>
        <v>25</v>
      </c>
      <c r="CF25" s="308">
        <f>Шать!C43</f>
        <v>0</v>
      </c>
      <c r="CG25" s="462">
        <f>Шать!D43</f>
        <v>0</v>
      </c>
      <c r="CH25" s="308" t="e">
        <f t="shared" si="38"/>
        <v>#DIV/0!</v>
      </c>
      <c r="CI25" s="308">
        <f>Шать!C44</f>
        <v>2679.3413599999999</v>
      </c>
      <c r="CJ25" s="308">
        <f>Шать!D44</f>
        <v>151.91999999999999</v>
      </c>
      <c r="CK25" s="308">
        <f t="shared" si="7"/>
        <v>5.6700501947239745</v>
      </c>
      <c r="CL25" s="308">
        <f>Шать!C45</f>
        <v>101.45229999999999</v>
      </c>
      <c r="CM25" s="308">
        <f>Шать!D45</f>
        <v>27.219000000000001</v>
      </c>
      <c r="CN25" s="308">
        <f t="shared" si="8"/>
        <v>26.82935724473472</v>
      </c>
      <c r="CO25" s="308">
        <f>Шать!C46</f>
        <v>353.97500000000002</v>
      </c>
      <c r="CP25" s="308">
        <f>Шать!D46</f>
        <v>0</v>
      </c>
      <c r="CQ25" s="298">
        <f t="shared" si="39"/>
        <v>0</v>
      </c>
      <c r="CR25" s="325">
        <f>Шать!C50</f>
        <v>336.50689999999997</v>
      </c>
      <c r="CS25" s="308">
        <f>Шать!D50</f>
        <v>0</v>
      </c>
      <c r="CT25" s="308">
        <f t="shared" si="9"/>
        <v>0</v>
      </c>
      <c r="CU25" s="308"/>
      <c r="CV25" s="308"/>
      <c r="CW25" s="308"/>
      <c r="CX25" s="307"/>
      <c r="CY25" s="307"/>
      <c r="CZ25" s="308" t="e">
        <f t="shared" si="40"/>
        <v>#DIV/0!</v>
      </c>
      <c r="DA25" s="308"/>
      <c r="DB25" s="308"/>
      <c r="DC25" s="308"/>
      <c r="DD25" s="308"/>
      <c r="DE25" s="308"/>
      <c r="DF25" s="308"/>
      <c r="DG25" s="307">
        <f t="shared" si="41"/>
        <v>8111.0367200000001</v>
      </c>
      <c r="DH25" s="307">
        <f t="shared" si="41"/>
        <v>830.30103999999994</v>
      </c>
      <c r="DI25" s="308">
        <f>DH25/DG25*100</f>
        <v>10.236682050183099</v>
      </c>
      <c r="DJ25" s="307">
        <f t="shared" si="43"/>
        <v>1407.076</v>
      </c>
      <c r="DK25" s="307">
        <f t="shared" si="43"/>
        <v>306.93821000000003</v>
      </c>
      <c r="DL25" s="308">
        <f t="shared" si="44"/>
        <v>21.813904153009506</v>
      </c>
      <c r="DM25" s="308">
        <f>Шать!C58</f>
        <v>1379.1</v>
      </c>
      <c r="DN25" s="308">
        <f>Шать!D58</f>
        <v>283.96221000000003</v>
      </c>
      <c r="DO25" s="308">
        <f t="shared" si="45"/>
        <v>20.590400261039811</v>
      </c>
      <c r="DP25" s="308">
        <f>Шать!C61</f>
        <v>0</v>
      </c>
      <c r="DQ25" s="308">
        <f>Шать!D61</f>
        <v>0</v>
      </c>
      <c r="DR25" s="308" t="e">
        <f t="shared" si="46"/>
        <v>#DIV/0!</v>
      </c>
      <c r="DS25" s="308">
        <f>Шать!C62</f>
        <v>5</v>
      </c>
      <c r="DT25" s="308">
        <f>Шать!D62</f>
        <v>0</v>
      </c>
      <c r="DU25" s="308">
        <f t="shared" si="47"/>
        <v>0</v>
      </c>
      <c r="DV25" s="308">
        <f>Шать!C63</f>
        <v>22.975999999999999</v>
      </c>
      <c r="DW25" s="308">
        <f>Шать!D63</f>
        <v>22.975999999999999</v>
      </c>
      <c r="DX25" s="308">
        <f t="shared" si="48"/>
        <v>100</v>
      </c>
      <c r="DY25" s="308">
        <f>Шать!C65</f>
        <v>94.305999999999997</v>
      </c>
      <c r="DZ25" s="308">
        <f>Шать!D65</f>
        <v>16.469000000000001</v>
      </c>
      <c r="EA25" s="308">
        <f t="shared" si="49"/>
        <v>17.463363942909254</v>
      </c>
      <c r="EB25" s="308">
        <f>Шать!C66</f>
        <v>18.5</v>
      </c>
      <c r="EC25" s="308">
        <f>Шать!D66</f>
        <v>0</v>
      </c>
      <c r="ED25" s="308">
        <f t="shared" si="50"/>
        <v>0</v>
      </c>
      <c r="EE25" s="307">
        <f>Шать!C72</f>
        <v>2865.0158200000001</v>
      </c>
      <c r="EF25" s="307">
        <f>Шать!D72</f>
        <v>209.80812</v>
      </c>
      <c r="EG25" s="308">
        <f t="shared" si="51"/>
        <v>7.3231051129064975</v>
      </c>
      <c r="EH25" s="307">
        <f>Шать!C77</f>
        <v>2768.6388999999999</v>
      </c>
      <c r="EI25" s="307">
        <f>Шать!D77</f>
        <v>62.909709999999997</v>
      </c>
      <c r="EJ25" s="308">
        <f t="shared" si="52"/>
        <v>2.272225171726078</v>
      </c>
      <c r="EK25" s="307">
        <f>Шать!C81</f>
        <v>905.5</v>
      </c>
      <c r="EL25" s="327">
        <f>Шать!D81</f>
        <v>211.626</v>
      </c>
      <c r="EM25" s="308">
        <f t="shared" si="10"/>
        <v>23.371176145775816</v>
      </c>
      <c r="EN25" s="308">
        <f>Шать!C83</f>
        <v>0</v>
      </c>
      <c r="EO25" s="308">
        <f>Шать!D83</f>
        <v>0</v>
      </c>
      <c r="EP25" s="308" t="e">
        <f t="shared" si="11"/>
        <v>#DIV/0!</v>
      </c>
      <c r="EQ25" s="324">
        <f>Шать!C88</f>
        <v>52</v>
      </c>
      <c r="ER25" s="324">
        <f>Шать!D88</f>
        <v>22.55</v>
      </c>
      <c r="ES25" s="308">
        <f t="shared" si="53"/>
        <v>43.365384615384613</v>
      </c>
      <c r="ET25" s="308">
        <f>Шать!C94</f>
        <v>0</v>
      </c>
      <c r="EU25" s="308">
        <f>Шать!D94</f>
        <v>0</v>
      </c>
      <c r="EV25" s="308" t="e">
        <f t="shared" si="54"/>
        <v>#DIV/0!</v>
      </c>
      <c r="EW25" s="328">
        <f t="shared" si="12"/>
        <v>-327.20116000000053</v>
      </c>
      <c r="EX25" s="328">
        <f t="shared" si="13"/>
        <v>1263.9024600000002</v>
      </c>
      <c r="EY25" s="308">
        <f t="shared" si="56"/>
        <v>-386.27688850491796</v>
      </c>
      <c r="EZ25" s="167"/>
      <c r="FA25" s="168"/>
      <c r="FC25" s="168"/>
    </row>
    <row r="26" spans="1:170" s="253" customFormat="1" ht="24.75" customHeight="1">
      <c r="A26" s="347">
        <v>13</v>
      </c>
      <c r="B26" s="343" t="s">
        <v>302</v>
      </c>
      <c r="C26" s="320">
        <f t="shared" si="14"/>
        <v>13999.032999999999</v>
      </c>
      <c r="D26" s="297">
        <f t="shared" si="0"/>
        <v>1057.58186</v>
      </c>
      <c r="E26" s="305">
        <f t="shared" si="1"/>
        <v>7.5546779552559107</v>
      </c>
      <c r="F26" s="299">
        <f t="shared" si="15"/>
        <v>2622.75</v>
      </c>
      <c r="G26" s="319">
        <f t="shared" si="3"/>
        <v>426.01285999999993</v>
      </c>
      <c r="H26" s="305">
        <f t="shared" si="16"/>
        <v>16.24298389095415</v>
      </c>
      <c r="I26" s="313">
        <f>Юнг!C6</f>
        <v>126</v>
      </c>
      <c r="J26" s="450">
        <f>Юнг!D6</f>
        <v>29.056470000000001</v>
      </c>
      <c r="K26" s="305">
        <f t="shared" si="17"/>
        <v>23.060690476190477</v>
      </c>
      <c r="L26" s="305">
        <f>Юнг!C8</f>
        <v>252.05500000000001</v>
      </c>
      <c r="M26" s="305">
        <f>Юнг!D8</f>
        <v>85.751050000000006</v>
      </c>
      <c r="N26" s="305">
        <f t="shared" si="18"/>
        <v>34.020769276546787</v>
      </c>
      <c r="O26" s="305">
        <f>Юнг!C9</f>
        <v>2.7029999999999998</v>
      </c>
      <c r="P26" s="305">
        <f>Юнг!D9</f>
        <v>0.54947000000000001</v>
      </c>
      <c r="Q26" s="305">
        <f t="shared" si="19"/>
        <v>20.328153903070664</v>
      </c>
      <c r="R26" s="305">
        <f>Юнг!C10</f>
        <v>420.99200000000002</v>
      </c>
      <c r="S26" s="305">
        <f>Юнг!D10</f>
        <v>103.75735</v>
      </c>
      <c r="T26" s="305">
        <f t="shared" si="20"/>
        <v>24.645919637427788</v>
      </c>
      <c r="U26" s="305">
        <f>Юнг!C11</f>
        <v>0</v>
      </c>
      <c r="V26" s="317">
        <f>Юнг!D11</f>
        <v>-11.50437</v>
      </c>
      <c r="W26" s="305" t="e">
        <f t="shared" si="21"/>
        <v>#DIV/0!</v>
      </c>
      <c r="X26" s="313">
        <f>Юнг!C13</f>
        <v>50</v>
      </c>
      <c r="Y26" s="313">
        <f>Юнг!D13</f>
        <v>36.882599999999996</v>
      </c>
      <c r="Z26" s="305">
        <f t="shared" si="22"/>
        <v>73.765199999999993</v>
      </c>
      <c r="AA26" s="313">
        <f>Юнг!C15</f>
        <v>433</v>
      </c>
      <c r="AB26" s="304">
        <f>Юнг!D15</f>
        <v>27.872330000000002</v>
      </c>
      <c r="AC26" s="305">
        <f t="shared" si="23"/>
        <v>6.4370277136258665</v>
      </c>
      <c r="AD26" s="313">
        <f>Юнг!C16</f>
        <v>960</v>
      </c>
      <c r="AE26" s="313">
        <f>Юнг!D16</f>
        <v>103.18935</v>
      </c>
      <c r="AF26" s="305">
        <f t="shared" si="4"/>
        <v>10.748890625</v>
      </c>
      <c r="AG26" s="305">
        <f>Юнг!C18</f>
        <v>8</v>
      </c>
      <c r="AH26" s="305">
        <f>Юнг!D18</f>
        <v>0.4</v>
      </c>
      <c r="AI26" s="305">
        <f t="shared" si="24"/>
        <v>5</v>
      </c>
      <c r="AJ26" s="305"/>
      <c r="AK26" s="305"/>
      <c r="AL26" s="305" t="e">
        <f>AJ26/AK26*100</f>
        <v>#DIV/0!</v>
      </c>
      <c r="AM26" s="313">
        <v>0</v>
      </c>
      <c r="AN26" s="313"/>
      <c r="AO26" s="305" t="e">
        <f t="shared" si="6"/>
        <v>#DIV/0!</v>
      </c>
      <c r="AP26" s="313">
        <f>Юнг!C27</f>
        <v>320</v>
      </c>
      <c r="AQ26" s="314">
        <f>Юнг!D27</f>
        <v>45.99436</v>
      </c>
      <c r="AR26" s="305">
        <f t="shared" si="25"/>
        <v>14.3732375</v>
      </c>
      <c r="AS26" s="313">
        <f>Юнг!C28</f>
        <v>30</v>
      </c>
      <c r="AT26" s="314">
        <f>Юнг!D28</f>
        <v>4.0642500000000004</v>
      </c>
      <c r="AU26" s="305">
        <f t="shared" si="26"/>
        <v>13.547500000000001</v>
      </c>
      <c r="AV26" s="313"/>
      <c r="AW26" s="313"/>
      <c r="AX26" s="305" t="e">
        <f t="shared" si="27"/>
        <v>#DIV/0!</v>
      </c>
      <c r="AY26" s="305">
        <f>Юнг!C30</f>
        <v>20</v>
      </c>
      <c r="AZ26" s="308">
        <f>Юнг!D30</f>
        <v>0</v>
      </c>
      <c r="BA26" s="305">
        <f t="shared" si="28"/>
        <v>0</v>
      </c>
      <c r="BB26" s="305"/>
      <c r="BC26" s="305"/>
      <c r="BD26" s="305"/>
      <c r="BE26" s="305">
        <f>Юнг!C33</f>
        <v>0</v>
      </c>
      <c r="BF26" s="305">
        <f>Юнг!D31</f>
        <v>0</v>
      </c>
      <c r="BG26" s="305" t="e">
        <f t="shared" si="29"/>
        <v>#DIV/0!</v>
      </c>
      <c r="BH26" s="305"/>
      <c r="BI26" s="305"/>
      <c r="BJ26" s="305" t="e">
        <f t="shared" si="30"/>
        <v>#DIV/0!</v>
      </c>
      <c r="BK26" s="305"/>
      <c r="BL26" s="305"/>
      <c r="BM26" s="305"/>
      <c r="BN26" s="305">
        <f>Юнг!C34</f>
        <v>0</v>
      </c>
      <c r="BO26" s="305">
        <f>Юнг!D34</f>
        <v>0</v>
      </c>
      <c r="BP26" s="298" t="e">
        <f t="shared" si="31"/>
        <v>#DIV/0!</v>
      </c>
      <c r="BQ26" s="305">
        <f>Юнг!C36</f>
        <v>0</v>
      </c>
      <c r="BR26" s="305">
        <f>Юнг!D36</f>
        <v>0</v>
      </c>
      <c r="BS26" s="305" t="e">
        <f t="shared" si="32"/>
        <v>#DIV/0!</v>
      </c>
      <c r="BT26" s="305"/>
      <c r="BU26" s="305"/>
      <c r="BV26" s="315" t="e">
        <f t="shared" si="33"/>
        <v>#DIV/0!</v>
      </c>
      <c r="BW26" s="315"/>
      <c r="BX26" s="315"/>
      <c r="BY26" s="315" t="e">
        <f t="shared" si="34"/>
        <v>#DIV/0!</v>
      </c>
      <c r="BZ26" s="313">
        <f t="shared" si="35"/>
        <v>11376.282999999999</v>
      </c>
      <c r="CA26" s="313">
        <f t="shared" si="36"/>
        <v>631.56900000000007</v>
      </c>
      <c r="CB26" s="305">
        <f t="shared" si="55"/>
        <v>5.5516287701352018</v>
      </c>
      <c r="CC26" s="305">
        <f>Юнг!C41</f>
        <v>2417.4</v>
      </c>
      <c r="CD26" s="305">
        <f>Юнг!D41</f>
        <v>604.35</v>
      </c>
      <c r="CE26" s="305">
        <f t="shared" si="37"/>
        <v>25</v>
      </c>
      <c r="CF26" s="305">
        <f>Юнг!C42</f>
        <v>0</v>
      </c>
      <c r="CG26" s="461">
        <f>Юнг!D42</f>
        <v>0</v>
      </c>
      <c r="CH26" s="305" t="e">
        <f t="shared" si="38"/>
        <v>#DIV/0!</v>
      </c>
      <c r="CI26" s="305">
        <f>Юнг!C43</f>
        <v>6448.2049999999999</v>
      </c>
      <c r="CJ26" s="305">
        <f>Юнг!D43</f>
        <v>0</v>
      </c>
      <c r="CK26" s="305">
        <f t="shared" si="7"/>
        <v>0</v>
      </c>
      <c r="CL26" s="305">
        <f>Юнг!C44</f>
        <v>94.305999999999997</v>
      </c>
      <c r="CM26" s="305">
        <f>Юнг!D44</f>
        <v>27.219000000000001</v>
      </c>
      <c r="CN26" s="305">
        <f t="shared" si="8"/>
        <v>28.862426568829129</v>
      </c>
      <c r="CO26" s="305">
        <f>Юнг!C45</f>
        <v>2416.3719999999998</v>
      </c>
      <c r="CP26" s="305">
        <f>Юнг!D45</f>
        <v>0</v>
      </c>
      <c r="CQ26" s="298">
        <f t="shared" si="39"/>
        <v>0</v>
      </c>
      <c r="CR26" s="317">
        <f>Юнг!C48</f>
        <v>0</v>
      </c>
      <c r="CS26" s="305">
        <f>Юнг!D48</f>
        <v>0</v>
      </c>
      <c r="CT26" s="305" t="e">
        <f t="shared" si="9"/>
        <v>#DIV/0!</v>
      </c>
      <c r="CU26" s="305"/>
      <c r="CV26" s="305">
        <f>Юнг!D47</f>
        <v>0</v>
      </c>
      <c r="CW26" s="305"/>
      <c r="CX26" s="313"/>
      <c r="CY26" s="313"/>
      <c r="CZ26" s="305" t="e">
        <f t="shared" si="40"/>
        <v>#DIV/0!</v>
      </c>
      <c r="DA26" s="305"/>
      <c r="DB26" s="305"/>
      <c r="DC26" s="305"/>
      <c r="DD26" s="305"/>
      <c r="DE26" s="305"/>
      <c r="DF26" s="305"/>
      <c r="DG26" s="307">
        <f t="shared" si="41"/>
        <v>14468.898710000001</v>
      </c>
      <c r="DH26" s="307">
        <f t="shared" si="41"/>
        <v>1048.4897299999998</v>
      </c>
      <c r="DI26" s="305">
        <f t="shared" si="42"/>
        <v>7.2465068075661412</v>
      </c>
      <c r="DJ26" s="313">
        <f t="shared" si="43"/>
        <v>1623.0219999999999</v>
      </c>
      <c r="DK26" s="313">
        <f t="shared" si="43"/>
        <v>261.20470999999998</v>
      </c>
      <c r="DL26" s="305">
        <f t="shared" si="44"/>
        <v>16.093725778208796</v>
      </c>
      <c r="DM26" s="305">
        <f>Юнг!C57</f>
        <v>1558.7</v>
      </c>
      <c r="DN26" s="305">
        <f>Юнг!D57</f>
        <v>256.88270999999997</v>
      </c>
      <c r="DO26" s="305">
        <f t="shared" si="45"/>
        <v>16.480574196445755</v>
      </c>
      <c r="DP26" s="305">
        <f>Юнг!C60</f>
        <v>0</v>
      </c>
      <c r="DQ26" s="305">
        <f>Юнг!D60</f>
        <v>0</v>
      </c>
      <c r="DR26" s="305" t="e">
        <f t="shared" si="46"/>
        <v>#DIV/0!</v>
      </c>
      <c r="DS26" s="305">
        <f>Юнг!C61</f>
        <v>10</v>
      </c>
      <c r="DT26" s="305">
        <f>Юнг!D61</f>
        <v>0</v>
      </c>
      <c r="DU26" s="305">
        <f t="shared" si="47"/>
        <v>0</v>
      </c>
      <c r="DV26" s="305">
        <f>Юнг!C62</f>
        <v>54.322000000000003</v>
      </c>
      <c r="DW26" s="305">
        <f>Юнг!D62</f>
        <v>4.3220000000000001</v>
      </c>
      <c r="DX26" s="305">
        <f t="shared" si="48"/>
        <v>7.9562608151393546</v>
      </c>
      <c r="DY26" s="305">
        <f>Юнг!C64</f>
        <v>94.305999999999997</v>
      </c>
      <c r="DZ26" s="305">
        <f>Юнг!D64</f>
        <v>12.52013</v>
      </c>
      <c r="EA26" s="305">
        <f t="shared" si="49"/>
        <v>13.276069391130999</v>
      </c>
      <c r="EB26" s="305">
        <f>Юнг!C65</f>
        <v>332</v>
      </c>
      <c r="EC26" s="305">
        <f>Юнг!D65</f>
        <v>45.2</v>
      </c>
      <c r="ED26" s="305">
        <f t="shared" si="50"/>
        <v>13.614457831325302</v>
      </c>
      <c r="EE26" s="313">
        <f>Юнг!C71</f>
        <v>2219.8817100000001</v>
      </c>
      <c r="EF26" s="313">
        <f>Юнг!D71</f>
        <v>64.144170000000003</v>
      </c>
      <c r="EG26" s="305">
        <f t="shared" si="51"/>
        <v>2.8895309921716503</v>
      </c>
      <c r="EH26" s="313">
        <f>Юнг!C76</f>
        <v>7126.2830000000004</v>
      </c>
      <c r="EI26" s="313">
        <f>Юнг!D76</f>
        <v>390.09371999999996</v>
      </c>
      <c r="EJ26" s="305">
        <f t="shared" si="52"/>
        <v>5.4740138723090279</v>
      </c>
      <c r="EK26" s="313">
        <f>Юнг!C80</f>
        <v>3063.4059999999999</v>
      </c>
      <c r="EL26" s="318">
        <f>Юнг!D80</f>
        <v>270.327</v>
      </c>
      <c r="EM26" s="305">
        <f t="shared" si="10"/>
        <v>8.8243935018734057</v>
      </c>
      <c r="EN26" s="305">
        <f>Юнг!C82</f>
        <v>0</v>
      </c>
      <c r="EO26" s="305">
        <f>Юнг!D82</f>
        <v>0</v>
      </c>
      <c r="EP26" s="305" t="e">
        <f t="shared" si="11"/>
        <v>#DIV/0!</v>
      </c>
      <c r="EQ26" s="319">
        <f>Юнг!C87</f>
        <v>10</v>
      </c>
      <c r="ER26" s="319">
        <f>Юнг!D87</f>
        <v>5</v>
      </c>
      <c r="ES26" s="305">
        <f t="shared" si="53"/>
        <v>50</v>
      </c>
      <c r="ET26" s="305">
        <f>Юнг!C93</f>
        <v>0</v>
      </c>
      <c r="EU26" s="305">
        <f>Юнг!D93</f>
        <v>0</v>
      </c>
      <c r="EV26" s="305" t="e">
        <f t="shared" si="54"/>
        <v>#DIV/0!</v>
      </c>
      <c r="EW26" s="329">
        <f t="shared" si="12"/>
        <v>-469.86571000000185</v>
      </c>
      <c r="EX26" s="329">
        <f t="shared" si="13"/>
        <v>9.0921300000002248</v>
      </c>
      <c r="EY26" s="305">
        <f t="shared" si="56"/>
        <v>-1.9350486333638155</v>
      </c>
      <c r="EZ26" s="251"/>
      <c r="FA26" s="252"/>
      <c r="FC26" s="252"/>
    </row>
    <row r="27" spans="1:170" s="157" customFormat="1" ht="25.5" customHeight="1">
      <c r="A27" s="341">
        <v>14</v>
      </c>
      <c r="B27" s="343" t="s">
        <v>303</v>
      </c>
      <c r="C27" s="296">
        <f t="shared" si="14"/>
        <v>13444.943649999999</v>
      </c>
      <c r="D27" s="297">
        <f t="shared" si="0"/>
        <v>1815.8247999999999</v>
      </c>
      <c r="E27" s="305">
        <f t="shared" si="1"/>
        <v>13.505633398470957</v>
      </c>
      <c r="F27" s="299">
        <f t="shared" si="15"/>
        <v>1414.1299999999999</v>
      </c>
      <c r="G27" s="299">
        <f t="shared" si="3"/>
        <v>313.51479999999998</v>
      </c>
      <c r="H27" s="305">
        <f t="shared" si="16"/>
        <v>22.17015408767228</v>
      </c>
      <c r="I27" s="313">
        <f>Юсь!C6</f>
        <v>171</v>
      </c>
      <c r="J27" s="450">
        <f>Юсь!D6</f>
        <v>41.132100000000001</v>
      </c>
      <c r="K27" s="305">
        <f t="shared" si="17"/>
        <v>24.053859649122806</v>
      </c>
      <c r="L27" s="305">
        <f>Юсь!C8</f>
        <v>229.816</v>
      </c>
      <c r="M27" s="305">
        <f>Юсь!D8</f>
        <v>78.18477</v>
      </c>
      <c r="N27" s="298">
        <f t="shared" si="18"/>
        <v>34.020594736658893</v>
      </c>
      <c r="O27" s="298">
        <f>Юсь!C9</f>
        <v>2.4649999999999999</v>
      </c>
      <c r="P27" s="298">
        <f>Юсь!D9</f>
        <v>0.50099000000000005</v>
      </c>
      <c r="Q27" s="298">
        <f t="shared" si="19"/>
        <v>20.324137931034485</v>
      </c>
      <c r="R27" s="298">
        <f>Юсь!C10</f>
        <v>383.84899999999999</v>
      </c>
      <c r="S27" s="298">
        <f>Юсь!D10</f>
        <v>94.602289999999996</v>
      </c>
      <c r="T27" s="298">
        <f t="shared" si="20"/>
        <v>24.645704430648511</v>
      </c>
      <c r="U27" s="298">
        <f>Юсь!C11</f>
        <v>0</v>
      </c>
      <c r="V27" s="302">
        <f>Юсь!D11</f>
        <v>-10.489509999999999</v>
      </c>
      <c r="W27" s="298" t="e">
        <f t="shared" si="21"/>
        <v>#DIV/0!</v>
      </c>
      <c r="X27" s="313">
        <f>Юсь!C13</f>
        <v>10</v>
      </c>
      <c r="Y27" s="313">
        <f>Юсь!D13</f>
        <v>0</v>
      </c>
      <c r="Z27" s="305">
        <f t="shared" si="22"/>
        <v>0</v>
      </c>
      <c r="AA27" s="313">
        <f>Юсь!C15</f>
        <v>124</v>
      </c>
      <c r="AB27" s="304">
        <f>Юсь!D15</f>
        <v>7.5239000000000003</v>
      </c>
      <c r="AC27" s="305">
        <f t="shared" si="23"/>
        <v>6.0676612903225813</v>
      </c>
      <c r="AD27" s="313">
        <f>Юсь!C16</f>
        <v>345</v>
      </c>
      <c r="AE27" s="313">
        <f>Юсь!D16</f>
        <v>18.01426</v>
      </c>
      <c r="AF27" s="305">
        <f t="shared" si="4"/>
        <v>5.2215246376811599</v>
      </c>
      <c r="AG27" s="305">
        <f>Юсь!C18</f>
        <v>8</v>
      </c>
      <c r="AH27" s="305">
        <f>Юсь!D18</f>
        <v>1.4</v>
      </c>
      <c r="AI27" s="305">
        <f t="shared" si="24"/>
        <v>17.5</v>
      </c>
      <c r="AJ27" s="305"/>
      <c r="AK27" s="305"/>
      <c r="AL27" s="305" t="e">
        <f>AJ27/AK27*100</f>
        <v>#DIV/0!</v>
      </c>
      <c r="AM27" s="313">
        <v>0</v>
      </c>
      <c r="AN27" s="313">
        <v>0</v>
      </c>
      <c r="AO27" s="305" t="e">
        <f t="shared" si="6"/>
        <v>#DIV/0!</v>
      </c>
      <c r="AP27" s="313">
        <f>Юсь!C27</f>
        <v>0</v>
      </c>
      <c r="AQ27" s="314">
        <f>Юсь!D27</f>
        <v>0</v>
      </c>
      <c r="AR27" s="305" t="e">
        <f t="shared" si="25"/>
        <v>#DIV/0!</v>
      </c>
      <c r="AS27" s="307">
        <f>Юсь!C28</f>
        <v>40</v>
      </c>
      <c r="AT27" s="314">
        <f>Юсь!D28</f>
        <v>6</v>
      </c>
      <c r="AU27" s="305">
        <f t="shared" si="26"/>
        <v>15</v>
      </c>
      <c r="AV27" s="313"/>
      <c r="AW27" s="313"/>
      <c r="AX27" s="305" t="e">
        <f t="shared" si="27"/>
        <v>#DIV/0!</v>
      </c>
      <c r="AY27" s="305">
        <f>Юсь!C30</f>
        <v>100</v>
      </c>
      <c r="AZ27" s="308">
        <f>Юсь!D30</f>
        <v>76.445999999999998</v>
      </c>
      <c r="BA27" s="305">
        <f t="shared" si="28"/>
        <v>76.445999999999998</v>
      </c>
      <c r="BB27" s="305"/>
      <c r="BC27" s="305"/>
      <c r="BD27" s="305"/>
      <c r="BE27" s="305">
        <f>Юсь!C31</f>
        <v>0</v>
      </c>
      <c r="BF27" s="305">
        <f>Юсь!D31</f>
        <v>0</v>
      </c>
      <c r="BG27" s="305" t="e">
        <f t="shared" si="29"/>
        <v>#DIV/0!</v>
      </c>
      <c r="BH27" s="305"/>
      <c r="BI27" s="305"/>
      <c r="BJ27" s="305" t="e">
        <f t="shared" si="30"/>
        <v>#DIV/0!</v>
      </c>
      <c r="BK27" s="305"/>
      <c r="BL27" s="305"/>
      <c r="BM27" s="305"/>
      <c r="BN27" s="305"/>
      <c r="BO27" s="305"/>
      <c r="BP27" s="298" t="e">
        <f t="shared" si="31"/>
        <v>#DIV/0!</v>
      </c>
      <c r="BQ27" s="305">
        <f>Юсь!C34</f>
        <v>0</v>
      </c>
      <c r="BR27" s="305">
        <f>Юсь!D34</f>
        <v>0.2</v>
      </c>
      <c r="BS27" s="305" t="e">
        <f t="shared" si="32"/>
        <v>#DIV/0!</v>
      </c>
      <c r="BT27" s="305"/>
      <c r="BU27" s="305"/>
      <c r="BV27" s="315" t="e">
        <f t="shared" si="33"/>
        <v>#DIV/0!</v>
      </c>
      <c r="BW27" s="315"/>
      <c r="BX27" s="315"/>
      <c r="BY27" s="315" t="e">
        <f t="shared" si="34"/>
        <v>#DIV/0!</v>
      </c>
      <c r="BZ27" s="303">
        <f t="shared" si="35"/>
        <v>12030.81365</v>
      </c>
      <c r="CA27" s="303">
        <f t="shared" si="36"/>
        <v>1502.31</v>
      </c>
      <c r="CB27" s="305">
        <f t="shared" si="55"/>
        <v>12.48718535341955</v>
      </c>
      <c r="CC27" s="305">
        <f>Юсь!C39</f>
        <v>4903.5</v>
      </c>
      <c r="CD27" s="305">
        <f>Юсь!D39</f>
        <v>1225.875</v>
      </c>
      <c r="CE27" s="305">
        <f t="shared" si="37"/>
        <v>25</v>
      </c>
      <c r="CF27" s="305">
        <f>Юсь!C40</f>
        <v>0</v>
      </c>
      <c r="CG27" s="461">
        <f>Юсь!D40</f>
        <v>0</v>
      </c>
      <c r="CH27" s="305" t="e">
        <f t="shared" si="38"/>
        <v>#DIV/0!</v>
      </c>
      <c r="CI27" s="305">
        <f>Юсь!C41</f>
        <v>6399.0466500000002</v>
      </c>
      <c r="CJ27" s="305">
        <f>Юсь!D41</f>
        <v>222</v>
      </c>
      <c r="CK27" s="305">
        <f t="shared" si="7"/>
        <v>3.4692667852327657</v>
      </c>
      <c r="CL27" s="305">
        <f>Юсь!C42</f>
        <v>235.76499999999999</v>
      </c>
      <c r="CM27" s="305">
        <f>Юсь!D42</f>
        <v>54.435000000000002</v>
      </c>
      <c r="CN27" s="305">
        <f t="shared" si="8"/>
        <v>23.088668801560878</v>
      </c>
      <c r="CO27" s="305">
        <f>Юсь!C49</f>
        <v>88.9</v>
      </c>
      <c r="CP27" s="305">
        <f>Юсь!D49</f>
        <v>0</v>
      </c>
      <c r="CQ27" s="298">
        <f t="shared" si="39"/>
        <v>0</v>
      </c>
      <c r="CR27" s="317">
        <f>Юсь!C50</f>
        <v>403.60199999999998</v>
      </c>
      <c r="CS27" s="305">
        <f>Юсь!D50</f>
        <v>0</v>
      </c>
      <c r="CT27" s="305">
        <f t="shared" si="9"/>
        <v>0</v>
      </c>
      <c r="CU27" s="305"/>
      <c r="CV27" s="305"/>
      <c r="CW27" s="305"/>
      <c r="CX27" s="313"/>
      <c r="CY27" s="313"/>
      <c r="CZ27" s="305" t="e">
        <f t="shared" si="40"/>
        <v>#DIV/0!</v>
      </c>
      <c r="DA27" s="305"/>
      <c r="DB27" s="305"/>
      <c r="DC27" s="305"/>
      <c r="DD27" s="305"/>
      <c r="DE27" s="305"/>
      <c r="DF27" s="305"/>
      <c r="DG27" s="307">
        <f t="shared" si="41"/>
        <v>14390.084490000001</v>
      </c>
      <c r="DH27" s="307">
        <f t="shared" si="41"/>
        <v>1255.7964199999999</v>
      </c>
      <c r="DI27" s="305">
        <f t="shared" si="42"/>
        <v>8.7268175588036438</v>
      </c>
      <c r="DJ27" s="313">
        <f t="shared" si="43"/>
        <v>1590.0640000000001</v>
      </c>
      <c r="DK27" s="313">
        <f t="shared" si="43"/>
        <v>238.37105</v>
      </c>
      <c r="DL27" s="305">
        <f t="shared" si="44"/>
        <v>14.991286514253513</v>
      </c>
      <c r="DM27" s="305">
        <f>Юсь!C58</f>
        <v>1579.9</v>
      </c>
      <c r="DN27" s="305">
        <f>Юсь!D58</f>
        <v>233.20705000000001</v>
      </c>
      <c r="DO27" s="305">
        <f t="shared" si="45"/>
        <v>14.760874105956074</v>
      </c>
      <c r="DP27" s="305">
        <f>Юсь!C61</f>
        <v>0</v>
      </c>
      <c r="DQ27" s="305">
        <f>Юсь!D61</f>
        <v>0</v>
      </c>
      <c r="DR27" s="305" t="e">
        <f t="shared" si="46"/>
        <v>#DIV/0!</v>
      </c>
      <c r="DS27" s="305">
        <f>Юсь!C62</f>
        <v>5</v>
      </c>
      <c r="DT27" s="305">
        <f>Юсь!D62</f>
        <v>0</v>
      </c>
      <c r="DU27" s="305">
        <f t="shared" si="47"/>
        <v>0</v>
      </c>
      <c r="DV27" s="305">
        <f>Юсь!C63</f>
        <v>5.1639999999999997</v>
      </c>
      <c r="DW27" s="305">
        <f>Юсь!D63</f>
        <v>5.1639999999999997</v>
      </c>
      <c r="DX27" s="305">
        <f t="shared" si="48"/>
        <v>100</v>
      </c>
      <c r="DY27" s="305">
        <f>Юсь!C65</f>
        <v>235.76499999999999</v>
      </c>
      <c r="DZ27" s="305">
        <f>Юсь!D65</f>
        <v>40.171999999999997</v>
      </c>
      <c r="EA27" s="305">
        <f t="shared" si="49"/>
        <v>17.039000699849428</v>
      </c>
      <c r="EB27" s="305">
        <f>Юсь!C66</f>
        <v>315</v>
      </c>
      <c r="EC27" s="305">
        <f>Юсь!D66</f>
        <v>1.5</v>
      </c>
      <c r="ED27" s="305">
        <f t="shared" si="50"/>
        <v>0.47619047619047622</v>
      </c>
      <c r="EE27" s="313">
        <f>Юсь!C72</f>
        <v>3033.2308400000002</v>
      </c>
      <c r="EF27" s="313">
        <f>Юсь!D72</f>
        <v>256.45</v>
      </c>
      <c r="EG27" s="305">
        <f t="shared" si="51"/>
        <v>8.4546812797142721</v>
      </c>
      <c r="EH27" s="313">
        <f>Юсь!C77</f>
        <v>7081.3246499999996</v>
      </c>
      <c r="EI27" s="313">
        <f>Юсь!D77</f>
        <v>287.61061999999998</v>
      </c>
      <c r="EJ27" s="305">
        <f t="shared" si="52"/>
        <v>4.0615369894105902</v>
      </c>
      <c r="EK27" s="313">
        <f>Юсь!C81</f>
        <v>2124.6999999999998</v>
      </c>
      <c r="EL27" s="318">
        <f>Юсь!D81</f>
        <v>426.70274999999998</v>
      </c>
      <c r="EM27" s="305">
        <f t="shared" si="10"/>
        <v>20.082964653833482</v>
      </c>
      <c r="EN27" s="305">
        <f>Юсь!C83</f>
        <v>0</v>
      </c>
      <c r="EO27" s="305">
        <f>Юсь!D83</f>
        <v>0</v>
      </c>
      <c r="EP27" s="305" t="e">
        <f t="shared" si="11"/>
        <v>#DIV/0!</v>
      </c>
      <c r="EQ27" s="319">
        <f>Юсь!C88</f>
        <v>10</v>
      </c>
      <c r="ER27" s="319">
        <f>Юсь!D88</f>
        <v>4.99</v>
      </c>
      <c r="ES27" s="305">
        <f t="shared" si="53"/>
        <v>49.9</v>
      </c>
      <c r="ET27" s="305">
        <f>Юсь!C94</f>
        <v>0</v>
      </c>
      <c r="EU27" s="305">
        <f>Юсь!D94</f>
        <v>0</v>
      </c>
      <c r="EV27" s="298" t="e">
        <f t="shared" si="54"/>
        <v>#DIV/0!</v>
      </c>
      <c r="EW27" s="312">
        <f t="shared" si="12"/>
        <v>-945.14084000000184</v>
      </c>
      <c r="EX27" s="312">
        <f t="shared" si="13"/>
        <v>560.02837999999997</v>
      </c>
      <c r="EY27" s="298">
        <f t="shared" si="56"/>
        <v>-59.253431478000564</v>
      </c>
      <c r="EZ27" s="159"/>
      <c r="FA27" s="160"/>
      <c r="FC27" s="160"/>
    </row>
    <row r="28" spans="1:170" s="157" customFormat="1" ht="23.25" customHeight="1">
      <c r="A28" s="341">
        <v>15</v>
      </c>
      <c r="B28" s="343" t="s">
        <v>304</v>
      </c>
      <c r="C28" s="320">
        <f t="shared" si="14"/>
        <v>14626.52252</v>
      </c>
      <c r="D28" s="297">
        <f>G28+CA28+CY28</f>
        <v>1592.54763</v>
      </c>
      <c r="E28" s="305">
        <f>D28/C28*100</f>
        <v>10.888081072055122</v>
      </c>
      <c r="F28" s="299">
        <f t="shared" si="15"/>
        <v>2676</v>
      </c>
      <c r="G28" s="299">
        <f>J28+Y28+AB28+AE28+AH28+AN28+AT28+BF28+AK28+BR28+BO28+AZ28+M28+S28+P28+V28+AQ28</f>
        <v>455.13663000000003</v>
      </c>
      <c r="H28" s="305">
        <f>G28/F28*100</f>
        <v>17.008095291479822</v>
      </c>
      <c r="I28" s="313">
        <f>Яра!C6</f>
        <v>189</v>
      </c>
      <c r="J28" s="450">
        <f>Яра!D6</f>
        <v>48.640929999999997</v>
      </c>
      <c r="K28" s="305">
        <f t="shared" si="17"/>
        <v>25.735941798941798</v>
      </c>
      <c r="L28" s="305">
        <f>Яра!C8</f>
        <v>355.84199999999998</v>
      </c>
      <c r="M28" s="305">
        <f>Яра!D8</f>
        <v>121.0603</v>
      </c>
      <c r="N28" s="298">
        <f t="shared" si="18"/>
        <v>34.020801366898795</v>
      </c>
      <c r="O28" s="298">
        <f>Яра!C9</f>
        <v>3.8159999999999998</v>
      </c>
      <c r="P28" s="298">
        <f>Яра!D9</f>
        <v>0.77573000000000003</v>
      </c>
      <c r="Q28" s="298">
        <f t="shared" si="19"/>
        <v>20.32835429769392</v>
      </c>
      <c r="R28" s="298">
        <f>Яра!C10</f>
        <v>594.34199999999998</v>
      </c>
      <c r="S28" s="298">
        <f>Яра!D10</f>
        <v>146.48096000000001</v>
      </c>
      <c r="T28" s="298">
        <f t="shared" si="20"/>
        <v>24.645904210033954</v>
      </c>
      <c r="U28" s="298">
        <f>Яра!C11</f>
        <v>0</v>
      </c>
      <c r="V28" s="302">
        <f>Яра!D11</f>
        <v>-16.241790000000002</v>
      </c>
      <c r="W28" s="298" t="e">
        <f t="shared" si="21"/>
        <v>#DIV/0!</v>
      </c>
      <c r="X28" s="313">
        <f>Яра!C13</f>
        <v>20</v>
      </c>
      <c r="Y28" s="313">
        <f>Яра!D13</f>
        <v>5.2305000000000001</v>
      </c>
      <c r="Z28" s="305">
        <f t="shared" si="22"/>
        <v>26.1525</v>
      </c>
      <c r="AA28" s="313">
        <f>Яра!C15</f>
        <v>385</v>
      </c>
      <c r="AB28" s="304">
        <f>Яра!D15</f>
        <v>56.498269999999998</v>
      </c>
      <c r="AC28" s="305">
        <f t="shared" si="23"/>
        <v>14.674875324675323</v>
      </c>
      <c r="AD28" s="313">
        <f>Яра!C16</f>
        <v>1050</v>
      </c>
      <c r="AE28" s="313">
        <f>Яра!D16</f>
        <v>69.395820000000001</v>
      </c>
      <c r="AF28" s="305">
        <f t="shared" si="4"/>
        <v>6.6091257142857147</v>
      </c>
      <c r="AG28" s="305">
        <f>Яра!C18</f>
        <v>8</v>
      </c>
      <c r="AH28" s="305">
        <f>Яра!D18</f>
        <v>0.9</v>
      </c>
      <c r="AI28" s="305">
        <f t="shared" si="24"/>
        <v>11.25</v>
      </c>
      <c r="AJ28" s="305"/>
      <c r="AK28" s="305"/>
      <c r="AL28" s="305" t="e">
        <f>AJ28/AK28*100</f>
        <v>#DIV/0!</v>
      </c>
      <c r="AM28" s="313">
        <v>0</v>
      </c>
      <c r="AN28" s="313">
        <v>0</v>
      </c>
      <c r="AO28" s="305" t="e">
        <f t="shared" si="6"/>
        <v>#DIV/0!</v>
      </c>
      <c r="AP28" s="313">
        <f>Яра!C27</f>
        <v>20</v>
      </c>
      <c r="AQ28" s="314">
        <f>Яра!D27</f>
        <v>10.426259999999999</v>
      </c>
      <c r="AR28" s="305">
        <f t="shared" si="25"/>
        <v>52.131299999999989</v>
      </c>
      <c r="AS28" s="307">
        <f>Яра!C28</f>
        <v>0</v>
      </c>
      <c r="AT28" s="314">
        <f>Яра!D28</f>
        <v>0</v>
      </c>
      <c r="AU28" s="305" t="e">
        <f t="shared" si="26"/>
        <v>#DIV/0!</v>
      </c>
      <c r="AV28" s="313"/>
      <c r="AW28" s="313"/>
      <c r="AX28" s="305" t="e">
        <f t="shared" si="27"/>
        <v>#DIV/0!</v>
      </c>
      <c r="AY28" s="305">
        <f>Яра!C31</f>
        <v>50</v>
      </c>
      <c r="AZ28" s="308">
        <f>Яра!D31</f>
        <v>11.96965</v>
      </c>
      <c r="BA28" s="305">
        <f t="shared" si="28"/>
        <v>23.939299999999999</v>
      </c>
      <c r="BB28" s="305"/>
      <c r="BC28" s="305"/>
      <c r="BD28" s="305"/>
      <c r="BE28" s="305">
        <f>Яра!C34</f>
        <v>0</v>
      </c>
      <c r="BF28" s="305">
        <v>0</v>
      </c>
      <c r="BG28" s="305" t="e">
        <f t="shared" si="29"/>
        <v>#DIV/0!</v>
      </c>
      <c r="BH28" s="305"/>
      <c r="BI28" s="305"/>
      <c r="BJ28" s="305" t="e">
        <f t="shared" si="30"/>
        <v>#DIV/0!</v>
      </c>
      <c r="BK28" s="305"/>
      <c r="BL28" s="305"/>
      <c r="BM28" s="305"/>
      <c r="BN28" s="305">
        <f>Яра!C35</f>
        <v>0</v>
      </c>
      <c r="BO28" s="305">
        <f>Яра!D35</f>
        <v>0</v>
      </c>
      <c r="BP28" s="298" t="e">
        <f t="shared" si="31"/>
        <v>#DIV/0!</v>
      </c>
      <c r="BQ28" s="305">
        <f>Яра!C37</f>
        <v>0</v>
      </c>
      <c r="BR28" s="305">
        <f>Яра!D37</f>
        <v>0</v>
      </c>
      <c r="BS28" s="305" t="e">
        <f t="shared" si="32"/>
        <v>#DIV/0!</v>
      </c>
      <c r="BT28" s="305"/>
      <c r="BU28" s="305"/>
      <c r="BV28" s="315" t="e">
        <f t="shared" si="33"/>
        <v>#DIV/0!</v>
      </c>
      <c r="BW28" s="315"/>
      <c r="BX28" s="315"/>
      <c r="BY28" s="315" t="e">
        <f t="shared" si="34"/>
        <v>#DIV/0!</v>
      </c>
      <c r="BZ28" s="303">
        <f t="shared" si="35"/>
        <v>11950.52252</v>
      </c>
      <c r="CA28" s="303">
        <f t="shared" si="36"/>
        <v>1137.4110000000001</v>
      </c>
      <c r="CB28" s="305">
        <f t="shared" si="55"/>
        <v>9.517667517018328</v>
      </c>
      <c r="CC28" s="305">
        <f>Яра!C42</f>
        <v>3431.9</v>
      </c>
      <c r="CD28" s="305">
        <f>Яра!D42</f>
        <v>857.976</v>
      </c>
      <c r="CE28" s="305">
        <f t="shared" si="37"/>
        <v>25.000029138378153</v>
      </c>
      <c r="CF28" s="305">
        <f>Яра!C43</f>
        <v>0</v>
      </c>
      <c r="CG28" s="461">
        <f>Яра!D43</f>
        <v>0</v>
      </c>
      <c r="CH28" s="305" t="e">
        <f t="shared" si="38"/>
        <v>#DIV/0!</v>
      </c>
      <c r="CI28" s="305">
        <f>Яра!C44</f>
        <v>4212.85016</v>
      </c>
      <c r="CJ28" s="305">
        <f>Яра!D44</f>
        <v>225</v>
      </c>
      <c r="CK28" s="305">
        <f t="shared" si="7"/>
        <v>5.3408023417571542</v>
      </c>
      <c r="CL28" s="305">
        <f>Яра!C45</f>
        <v>235.76499999999999</v>
      </c>
      <c r="CM28" s="305">
        <f>Яра!D45</f>
        <v>54.435000000000002</v>
      </c>
      <c r="CN28" s="305">
        <f t="shared" si="8"/>
        <v>23.088668801560878</v>
      </c>
      <c r="CO28" s="305">
        <f>Яра!C47</f>
        <v>3782.9250000000002</v>
      </c>
      <c r="CP28" s="305">
        <f>Яра!D47</f>
        <v>0</v>
      </c>
      <c r="CQ28" s="298">
        <f t="shared" si="39"/>
        <v>0</v>
      </c>
      <c r="CR28" s="317">
        <f>SUM(Яра!C46)</f>
        <v>287.08235999999999</v>
      </c>
      <c r="CS28" s="305">
        <f>Яра!D51</f>
        <v>0</v>
      </c>
      <c r="CT28" s="305">
        <f t="shared" si="9"/>
        <v>0</v>
      </c>
      <c r="CU28" s="305"/>
      <c r="CV28" s="305"/>
      <c r="CW28" s="305"/>
      <c r="CX28" s="313"/>
      <c r="CY28" s="313"/>
      <c r="CZ28" s="305" t="e">
        <f t="shared" si="40"/>
        <v>#DIV/0!</v>
      </c>
      <c r="DA28" s="305"/>
      <c r="DB28" s="305">
        <f>Яра!D46</f>
        <v>0</v>
      </c>
      <c r="DC28" s="305" t="e">
        <f>DB28/DA28</f>
        <v>#DIV/0!</v>
      </c>
      <c r="DD28" s="305"/>
      <c r="DE28" s="305"/>
      <c r="DF28" s="305"/>
      <c r="DG28" s="307">
        <f t="shared" si="41"/>
        <v>15082.269340000001</v>
      </c>
      <c r="DH28" s="307">
        <f t="shared" si="41"/>
        <v>1281.7238</v>
      </c>
      <c r="DI28" s="305">
        <f t="shared" si="42"/>
        <v>8.4982158261868026</v>
      </c>
      <c r="DJ28" s="313">
        <f t="shared" si="43"/>
        <v>1726.4121299999999</v>
      </c>
      <c r="DK28" s="313">
        <f t="shared" si="43"/>
        <v>323.64841999999999</v>
      </c>
      <c r="DL28" s="305">
        <f t="shared" si="44"/>
        <v>18.7468805609006</v>
      </c>
      <c r="DM28" s="305">
        <f>Яра!C59</f>
        <v>1648.8</v>
      </c>
      <c r="DN28" s="305">
        <f>Яра!D59</f>
        <v>318.64242000000002</v>
      </c>
      <c r="DO28" s="305">
        <f t="shared" si="45"/>
        <v>19.325716885007278</v>
      </c>
      <c r="DP28" s="305">
        <f>Яра!C62</f>
        <v>0</v>
      </c>
      <c r="DQ28" s="305">
        <f>Яра!D62</f>
        <v>0</v>
      </c>
      <c r="DR28" s="305" t="e">
        <f t="shared" si="46"/>
        <v>#DIV/0!</v>
      </c>
      <c r="DS28" s="305">
        <f>Яра!C63</f>
        <v>10</v>
      </c>
      <c r="DT28" s="305">
        <f>Яра!D63</f>
        <v>0</v>
      </c>
      <c r="DU28" s="305">
        <f t="shared" si="47"/>
        <v>0</v>
      </c>
      <c r="DV28" s="305">
        <f>Яра!C64</f>
        <v>67.612129999999993</v>
      </c>
      <c r="DW28" s="305">
        <f>Яра!D64</f>
        <v>5.0060000000000002</v>
      </c>
      <c r="DX28" s="305">
        <f t="shared" si="48"/>
        <v>7.4039968863575236</v>
      </c>
      <c r="DY28" s="305">
        <f>Яра!C66</f>
        <v>235.76499999999999</v>
      </c>
      <c r="DZ28" s="305">
        <f>Яра!D65</f>
        <v>41.669559999999997</v>
      </c>
      <c r="EA28" s="305">
        <f t="shared" si="49"/>
        <v>17.67419252221492</v>
      </c>
      <c r="EB28" s="305">
        <f>Яра!C67</f>
        <v>25</v>
      </c>
      <c r="EC28" s="305">
        <f>Яра!D67</f>
        <v>4.5</v>
      </c>
      <c r="ED28" s="305">
        <f t="shared" si="50"/>
        <v>18</v>
      </c>
      <c r="EE28" s="313">
        <f>Яра!C73</f>
        <v>5647.90834</v>
      </c>
      <c r="EF28" s="313">
        <f>Яра!D73</f>
        <v>250</v>
      </c>
      <c r="EG28" s="305">
        <f t="shared" si="51"/>
        <v>4.4264174443029294</v>
      </c>
      <c r="EH28" s="313">
        <f>Яра!C78</f>
        <v>5211.3968700000005</v>
      </c>
      <c r="EI28" s="313">
        <f>Яра!D78</f>
        <v>307.39451000000003</v>
      </c>
      <c r="EJ28" s="305">
        <f t="shared" si="52"/>
        <v>5.8985050969645307</v>
      </c>
      <c r="EK28" s="313">
        <f>Яра!C82</f>
        <v>2213.7869999999998</v>
      </c>
      <c r="EL28" s="318">
        <f>Яра!D82</f>
        <v>342.58631000000003</v>
      </c>
      <c r="EM28" s="305">
        <f t="shared" si="10"/>
        <v>15.475125204005627</v>
      </c>
      <c r="EN28" s="305">
        <f>Яра!C84</f>
        <v>0</v>
      </c>
      <c r="EO28" s="305">
        <f>Яра!D84</f>
        <v>0</v>
      </c>
      <c r="EP28" s="305" t="e">
        <f t="shared" si="11"/>
        <v>#DIV/0!</v>
      </c>
      <c r="EQ28" s="319">
        <f>Яра!C89</f>
        <v>22</v>
      </c>
      <c r="ER28" s="319">
        <f>Яра!D89</f>
        <v>11.925000000000001</v>
      </c>
      <c r="ES28" s="305">
        <f t="shared" si="53"/>
        <v>54.20454545454546</v>
      </c>
      <c r="ET28" s="305">
        <f>Яра!C95</f>
        <v>0</v>
      </c>
      <c r="EU28" s="305">
        <f>Яра!D95</f>
        <v>0</v>
      </c>
      <c r="EV28" s="298" t="e">
        <f t="shared" si="54"/>
        <v>#DIV/0!</v>
      </c>
      <c r="EW28" s="312">
        <f t="shared" si="12"/>
        <v>-455.7468200000003</v>
      </c>
      <c r="EX28" s="312">
        <f t="shared" si="13"/>
        <v>310.82383000000004</v>
      </c>
      <c r="EY28" s="298">
        <f t="shared" si="56"/>
        <v>-68.200987118242509</v>
      </c>
      <c r="EZ28" s="159"/>
      <c r="FA28" s="160"/>
      <c r="FC28" s="160"/>
    </row>
    <row r="29" spans="1:170" s="157" customFormat="1" ht="25.5" customHeight="1">
      <c r="A29" s="341">
        <v>16</v>
      </c>
      <c r="B29" s="342" t="s">
        <v>305</v>
      </c>
      <c r="C29" s="296">
        <f t="shared" si="14"/>
        <v>12987.753439999999</v>
      </c>
      <c r="D29" s="297">
        <f t="shared" si="0"/>
        <v>803.61831000000006</v>
      </c>
      <c r="E29" s="298">
        <f t="shared" si="1"/>
        <v>6.1875082069620824</v>
      </c>
      <c r="F29" s="299">
        <f t="shared" si="15"/>
        <v>1845.98</v>
      </c>
      <c r="G29" s="299">
        <f t="shared" si="3"/>
        <v>244.12430999999998</v>
      </c>
      <c r="H29" s="298">
        <f t="shared" si="16"/>
        <v>13.224645445779476</v>
      </c>
      <c r="I29" s="303">
        <f>Яро!C6</f>
        <v>120</v>
      </c>
      <c r="J29" s="450">
        <f>Яро!D6</f>
        <v>20.907820000000001</v>
      </c>
      <c r="K29" s="298">
        <f t="shared" si="17"/>
        <v>17.423183333333334</v>
      </c>
      <c r="L29" s="298">
        <f>Яро!C8</f>
        <v>204.39599999999999</v>
      </c>
      <c r="M29" s="298">
        <f>Яро!D8</f>
        <v>69.537610000000001</v>
      </c>
      <c r="N29" s="298">
        <f t="shared" si="18"/>
        <v>34.021022916299735</v>
      </c>
      <c r="O29" s="298">
        <f>Яро!C9</f>
        <v>2.1920000000000002</v>
      </c>
      <c r="P29" s="298">
        <f>Яро!D9</f>
        <v>0.44558999999999999</v>
      </c>
      <c r="Q29" s="298">
        <f t="shared" si="19"/>
        <v>20.328010948905106</v>
      </c>
      <c r="R29" s="298">
        <f>Яро!C10</f>
        <v>341.392</v>
      </c>
      <c r="S29" s="298">
        <f>Яро!D10</f>
        <v>84.13937</v>
      </c>
      <c r="T29" s="298">
        <f t="shared" si="20"/>
        <v>24.645970028588838</v>
      </c>
      <c r="U29" s="298">
        <f>Яро!C11</f>
        <v>0</v>
      </c>
      <c r="V29" s="302">
        <f>Яро!D11</f>
        <v>-9.3293700000000008</v>
      </c>
      <c r="W29" s="298" t="e">
        <f t="shared" si="21"/>
        <v>#DIV/0!</v>
      </c>
      <c r="X29" s="303">
        <f>Яро!C13</f>
        <v>10</v>
      </c>
      <c r="Y29" s="303">
        <f>Яро!D13</f>
        <v>0</v>
      </c>
      <c r="Z29" s="298">
        <f t="shared" si="22"/>
        <v>0</v>
      </c>
      <c r="AA29" s="303">
        <f>Яро!C15</f>
        <v>323</v>
      </c>
      <c r="AB29" s="304">
        <f>Яро!D15</f>
        <v>1.23664</v>
      </c>
      <c r="AC29" s="298">
        <f t="shared" si="23"/>
        <v>0.38286068111455107</v>
      </c>
      <c r="AD29" s="303">
        <f>Яро!C16</f>
        <v>520</v>
      </c>
      <c r="AE29" s="303">
        <f>Яро!D16</f>
        <v>33.115879999999997</v>
      </c>
      <c r="AF29" s="298">
        <f t="shared" si="4"/>
        <v>6.3684384615384619</v>
      </c>
      <c r="AG29" s="298">
        <f>Яро!C18</f>
        <v>5</v>
      </c>
      <c r="AH29" s="298">
        <f>Яро!D18</f>
        <v>0.65</v>
      </c>
      <c r="AI29" s="298">
        <f t="shared" si="24"/>
        <v>13</v>
      </c>
      <c r="AJ29" s="298"/>
      <c r="AK29" s="298"/>
      <c r="AL29" s="298" t="e">
        <f>AJ29/AK29*100</f>
        <v>#DIV/0!</v>
      </c>
      <c r="AM29" s="303">
        <v>0</v>
      </c>
      <c r="AN29" s="303">
        <v>0</v>
      </c>
      <c r="AO29" s="298" t="e">
        <f t="shared" si="6"/>
        <v>#DIV/0!</v>
      </c>
      <c r="AP29" s="303">
        <f>Яро!C26</f>
        <v>320</v>
      </c>
      <c r="AQ29" s="306">
        <f>Яро!D27</f>
        <v>43.420769999999997</v>
      </c>
      <c r="AR29" s="298">
        <f t="shared" si="25"/>
        <v>13.568990625</v>
      </c>
      <c r="AS29" s="307">
        <v>0</v>
      </c>
      <c r="AT29" s="306">
        <f>Яро!D28</f>
        <v>0</v>
      </c>
      <c r="AU29" s="298" t="e">
        <f t="shared" si="26"/>
        <v>#DIV/0!</v>
      </c>
      <c r="AV29" s="303"/>
      <c r="AW29" s="303"/>
      <c r="AX29" s="298" t="e">
        <f t="shared" si="27"/>
        <v>#DIV/0!</v>
      </c>
      <c r="AY29" s="298"/>
      <c r="AZ29" s="308">
        <f>Яро!D29</f>
        <v>0</v>
      </c>
      <c r="BA29" s="298" t="e">
        <f t="shared" si="28"/>
        <v>#DIV/0!</v>
      </c>
      <c r="BB29" s="298"/>
      <c r="BC29" s="298"/>
      <c r="BD29" s="298"/>
      <c r="BE29" s="298">
        <f>Яро!C31</f>
        <v>0</v>
      </c>
      <c r="BF29" s="298">
        <f>Яро!D31</f>
        <v>0</v>
      </c>
      <c r="BG29" s="298" t="e">
        <f t="shared" si="29"/>
        <v>#DIV/0!</v>
      </c>
      <c r="BH29" s="298"/>
      <c r="BI29" s="298"/>
      <c r="BJ29" s="298" t="e">
        <f t="shared" si="30"/>
        <v>#DIV/0!</v>
      </c>
      <c r="BK29" s="298"/>
      <c r="BL29" s="298"/>
      <c r="BM29" s="298"/>
      <c r="BN29" s="298">
        <f>Яро!C34</f>
        <v>0</v>
      </c>
      <c r="BO29" s="298">
        <f>Яро!D34</f>
        <v>0</v>
      </c>
      <c r="BP29" s="298" t="e">
        <f t="shared" si="31"/>
        <v>#DIV/0!</v>
      </c>
      <c r="BQ29" s="298">
        <v>0</v>
      </c>
      <c r="BR29" s="298">
        <v>0</v>
      </c>
      <c r="BS29" s="298" t="e">
        <f t="shared" si="32"/>
        <v>#DIV/0!</v>
      </c>
      <c r="BT29" s="298"/>
      <c r="BU29" s="298"/>
      <c r="BV29" s="310" t="e">
        <f t="shared" si="33"/>
        <v>#DIV/0!</v>
      </c>
      <c r="BW29" s="310"/>
      <c r="BX29" s="310"/>
      <c r="BY29" s="310" t="e">
        <f t="shared" si="34"/>
        <v>#DIV/0!</v>
      </c>
      <c r="BZ29" s="303">
        <f t="shared" si="35"/>
        <v>11141.773439999999</v>
      </c>
      <c r="CA29" s="303">
        <f t="shared" si="36"/>
        <v>559.49400000000003</v>
      </c>
      <c r="CB29" s="298">
        <f t="shared" si="55"/>
        <v>5.0215883765089382</v>
      </c>
      <c r="CC29" s="305">
        <f>Яро!C39</f>
        <v>2129.1</v>
      </c>
      <c r="CD29" s="305">
        <f>Яро!D39</f>
        <v>532.27499999999998</v>
      </c>
      <c r="CE29" s="298">
        <f t="shared" si="37"/>
        <v>25</v>
      </c>
      <c r="CF29" s="298">
        <f>Яро!C40</f>
        <v>0</v>
      </c>
      <c r="CG29" s="460">
        <f>Яро!D40</f>
        <v>0</v>
      </c>
      <c r="CH29" s="298" t="e">
        <f t="shared" si="38"/>
        <v>#DIV/0!</v>
      </c>
      <c r="CI29" s="298">
        <f>Яро!C41</f>
        <v>5635.3174399999998</v>
      </c>
      <c r="CJ29" s="298">
        <f>Яро!D41</f>
        <v>0</v>
      </c>
      <c r="CK29" s="298">
        <f t="shared" si="7"/>
        <v>0</v>
      </c>
      <c r="CL29" s="298">
        <f>Яро!C42</f>
        <v>94.305999999999997</v>
      </c>
      <c r="CM29" s="298">
        <f>Яро!D42</f>
        <v>27.219000000000001</v>
      </c>
      <c r="CN29" s="298">
        <f t="shared" si="8"/>
        <v>28.862426568829129</v>
      </c>
      <c r="CO29" s="298">
        <f>Яро!C44</f>
        <v>2407.203</v>
      </c>
      <c r="CP29" s="298">
        <f>Яро!D44</f>
        <v>0</v>
      </c>
      <c r="CQ29" s="298">
        <f t="shared" si="39"/>
        <v>0</v>
      </c>
      <c r="CR29" s="302">
        <f>Яро!C45</f>
        <v>875.84699999999998</v>
      </c>
      <c r="CS29" s="298">
        <f>Яро!D45</f>
        <v>0</v>
      </c>
      <c r="CT29" s="298">
        <f t="shared" si="9"/>
        <v>0</v>
      </c>
      <c r="CU29" s="298"/>
      <c r="CV29" s="298"/>
      <c r="CW29" s="298"/>
      <c r="CX29" s="303"/>
      <c r="CY29" s="303"/>
      <c r="CZ29" s="298" t="e">
        <f t="shared" si="40"/>
        <v>#DIV/0!</v>
      </c>
      <c r="DA29" s="298"/>
      <c r="DB29" s="298"/>
      <c r="DC29" s="298"/>
      <c r="DD29" s="298"/>
      <c r="DE29" s="298"/>
      <c r="DF29" s="298"/>
      <c r="DG29" s="307">
        <f t="shared" si="41"/>
        <v>13303.344789999999</v>
      </c>
      <c r="DH29" s="307">
        <f t="shared" si="41"/>
        <v>483.87306999999998</v>
      </c>
      <c r="DI29" s="298">
        <f t="shared" si="42"/>
        <v>3.6372286642057334</v>
      </c>
      <c r="DJ29" s="303">
        <f t="shared" si="43"/>
        <v>1487.9199999999998</v>
      </c>
      <c r="DK29" s="303">
        <f t="shared" si="43"/>
        <v>199.25842</v>
      </c>
      <c r="DL29" s="298">
        <f t="shared" si="44"/>
        <v>13.391742835636325</v>
      </c>
      <c r="DM29" s="298">
        <f>Яро!C55</f>
        <v>1474.3</v>
      </c>
      <c r="DN29" s="298">
        <f>Яро!D55</f>
        <v>195.63842</v>
      </c>
      <c r="DO29" s="298">
        <f t="shared" si="45"/>
        <v>13.269919283727871</v>
      </c>
      <c r="DP29" s="298">
        <f>Яро!C58</f>
        <v>0</v>
      </c>
      <c r="DQ29" s="298">
        <f>Яро!D58</f>
        <v>0</v>
      </c>
      <c r="DR29" s="298" t="e">
        <f t="shared" si="46"/>
        <v>#DIV/0!</v>
      </c>
      <c r="DS29" s="298">
        <f>Яро!C59</f>
        <v>10</v>
      </c>
      <c r="DT29" s="298">
        <f>Яро!D59</f>
        <v>0</v>
      </c>
      <c r="DU29" s="298">
        <f t="shared" si="47"/>
        <v>0</v>
      </c>
      <c r="DV29" s="298">
        <f>Яро!C60</f>
        <v>3.62</v>
      </c>
      <c r="DW29" s="298">
        <f>Яро!D60</f>
        <v>3.62</v>
      </c>
      <c r="DX29" s="298">
        <f t="shared" si="48"/>
        <v>100</v>
      </c>
      <c r="DY29" s="298">
        <f>Яро!C61</f>
        <v>94.305999999999997</v>
      </c>
      <c r="DZ29" s="298">
        <f>Яро!D61</f>
        <v>0</v>
      </c>
      <c r="EA29" s="298">
        <f t="shared" si="49"/>
        <v>0</v>
      </c>
      <c r="EB29" s="298">
        <f>Яро!C63</f>
        <v>16.8</v>
      </c>
      <c r="EC29" s="298">
        <f>Яро!D63</f>
        <v>1.5</v>
      </c>
      <c r="ED29" s="298">
        <f t="shared" si="50"/>
        <v>8.9285714285714288</v>
      </c>
      <c r="EE29" s="303">
        <f>Яро!C69</f>
        <v>1609.6513499999999</v>
      </c>
      <c r="EF29" s="303">
        <f>Яро!D69</f>
        <v>39</v>
      </c>
      <c r="EG29" s="298">
        <f t="shared" si="51"/>
        <v>2.4228849309510414</v>
      </c>
      <c r="EH29" s="303">
        <f>Яро!C74</f>
        <v>8854.7144399999997</v>
      </c>
      <c r="EI29" s="303">
        <f>Яро!D74</f>
        <v>64.53864999999999</v>
      </c>
      <c r="EJ29" s="298">
        <f t="shared" si="52"/>
        <v>0.72886201398494788</v>
      </c>
      <c r="EK29" s="303">
        <f>Яро!C79</f>
        <v>1224.953</v>
      </c>
      <c r="EL29" s="311">
        <f>Яро!D78</f>
        <v>177.02600000000001</v>
      </c>
      <c r="EM29" s="298">
        <f t="shared" si="10"/>
        <v>14.451656512535585</v>
      </c>
      <c r="EN29" s="298">
        <f>Яро!C80</f>
        <v>0</v>
      </c>
      <c r="EO29" s="298">
        <f>Яро!D80</f>
        <v>0</v>
      </c>
      <c r="EP29" s="298" t="e">
        <f t="shared" si="11"/>
        <v>#DIV/0!</v>
      </c>
      <c r="EQ29" s="299">
        <f>Яро!C85</f>
        <v>15</v>
      </c>
      <c r="ER29" s="299">
        <f>Яро!D85</f>
        <v>2.5499999999999998</v>
      </c>
      <c r="ES29" s="298">
        <f t="shared" si="53"/>
        <v>17</v>
      </c>
      <c r="ET29" s="298">
        <f>Яро!C91</f>
        <v>0</v>
      </c>
      <c r="EU29" s="298">
        <f>Яро!D91</f>
        <v>0</v>
      </c>
      <c r="EV29" s="298" t="e">
        <f t="shared" si="54"/>
        <v>#DIV/0!</v>
      </c>
      <c r="EW29" s="312">
        <f t="shared" si="12"/>
        <v>-315.5913500000006</v>
      </c>
      <c r="EX29" s="312">
        <f t="shared" si="13"/>
        <v>319.74524000000008</v>
      </c>
      <c r="EY29" s="298">
        <f t="shared" si="56"/>
        <v>-101.31622428814968</v>
      </c>
      <c r="EZ29" s="159"/>
      <c r="FA29" s="160"/>
      <c r="FC29" s="160"/>
    </row>
    <row r="30" spans="1:170" s="157" customFormat="1" ht="17.25" customHeight="1">
      <c r="A30" s="348"/>
      <c r="B30" s="349"/>
      <c r="C30" s="330"/>
      <c r="D30" s="331"/>
      <c r="E30" s="298"/>
      <c r="F30" s="299"/>
      <c r="G30" s="303"/>
      <c r="H30" s="298"/>
      <c r="I30" s="303"/>
      <c r="J30" s="451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333"/>
      <c r="W30" s="298"/>
      <c r="X30" s="303"/>
      <c r="Y30" s="303"/>
      <c r="Z30" s="298"/>
      <c r="AA30" s="303"/>
      <c r="AB30" s="303"/>
      <c r="AC30" s="298"/>
      <c r="AD30" s="303"/>
      <c r="AE30" s="303"/>
      <c r="AF30" s="298"/>
      <c r="AG30" s="298"/>
      <c r="AH30" s="298"/>
      <c r="AI30" s="298"/>
      <c r="AJ30" s="298"/>
      <c r="AK30" s="298"/>
      <c r="AL30" s="298"/>
      <c r="AM30" s="303"/>
      <c r="AN30" s="303"/>
      <c r="AO30" s="298"/>
      <c r="AP30" s="303"/>
      <c r="AQ30" s="303"/>
      <c r="AR30" s="298"/>
      <c r="AS30" s="303"/>
      <c r="AT30" s="306"/>
      <c r="AU30" s="298"/>
      <c r="AV30" s="303"/>
      <c r="AW30" s="303"/>
      <c r="AX30" s="298"/>
      <c r="AY30" s="298"/>
      <c r="AZ30" s="308"/>
      <c r="BA30" s="298" t="e">
        <f t="shared" si="28"/>
        <v>#DIV/0!</v>
      </c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310"/>
      <c r="BW30" s="310"/>
      <c r="BX30" s="310"/>
      <c r="BY30" s="310"/>
      <c r="BZ30" s="303"/>
      <c r="CA30" s="303"/>
      <c r="CB30" s="298"/>
      <c r="CC30" s="298"/>
      <c r="CD30" s="298"/>
      <c r="CE30" s="298"/>
      <c r="CF30" s="298"/>
      <c r="CG30" s="460"/>
      <c r="CH30" s="460"/>
      <c r="CI30" s="298"/>
      <c r="CJ30" s="298"/>
      <c r="CK30" s="298"/>
      <c r="CL30" s="298"/>
      <c r="CM30" s="298"/>
      <c r="CN30" s="298"/>
      <c r="CO30" s="298"/>
      <c r="CP30" s="298"/>
      <c r="CQ30" s="298"/>
      <c r="CR30" s="333"/>
      <c r="CS30" s="298"/>
      <c r="CT30" s="298"/>
      <c r="CU30" s="298"/>
      <c r="CV30" s="298"/>
      <c r="CW30" s="298"/>
      <c r="CX30" s="303"/>
      <c r="CY30" s="303"/>
      <c r="CZ30" s="298"/>
      <c r="DA30" s="298"/>
      <c r="DB30" s="298"/>
      <c r="DC30" s="298"/>
      <c r="DD30" s="298"/>
      <c r="DE30" s="298"/>
      <c r="DF30" s="298"/>
      <c r="DG30" s="303"/>
      <c r="DH30" s="303"/>
      <c r="DI30" s="298"/>
      <c r="DJ30" s="303"/>
      <c r="DK30" s="332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309"/>
      <c r="EA30" s="298"/>
      <c r="EB30" s="298"/>
      <c r="EC30" s="298"/>
      <c r="ED30" s="298"/>
      <c r="EE30" s="303"/>
      <c r="EF30" s="303"/>
      <c r="EG30" s="298"/>
      <c r="EH30" s="303"/>
      <c r="EI30" s="303"/>
      <c r="EJ30" s="298"/>
      <c r="EK30" s="303"/>
      <c r="EL30" s="303"/>
      <c r="EM30" s="298"/>
      <c r="EN30" s="298"/>
      <c r="EO30" s="298"/>
      <c r="EP30" s="298"/>
      <c r="EQ30" s="299"/>
      <c r="ER30" s="299"/>
      <c r="ES30" s="298"/>
      <c r="ET30" s="298"/>
      <c r="EU30" s="298"/>
      <c r="EV30" s="298"/>
      <c r="EW30" s="312"/>
      <c r="EX30" s="312"/>
      <c r="EY30" s="298" t="e">
        <f t="shared" si="56"/>
        <v>#DIV/0!</v>
      </c>
      <c r="FA30" s="160"/>
      <c r="FC30" s="160"/>
    </row>
    <row r="31" spans="1:170" s="163" customFormat="1" ht="18.75">
      <c r="A31" s="510" t="s">
        <v>176</v>
      </c>
      <c r="B31" s="511"/>
      <c r="C31" s="334">
        <f>SUM(C14:C29)</f>
        <v>235656.79649000004</v>
      </c>
      <c r="D31" s="334">
        <f>SUM(D14:D29)</f>
        <v>25277.845139999998</v>
      </c>
      <c r="E31" s="335">
        <f>D31/C31*100</f>
        <v>10.726550439665612</v>
      </c>
      <c r="F31" s="336">
        <f>SUM(F14:F29)</f>
        <v>43584.266639999994</v>
      </c>
      <c r="G31" s="337">
        <f>SUM(G14:G29)</f>
        <v>8775.4181399999979</v>
      </c>
      <c r="H31" s="335">
        <f>G31/F31*100</f>
        <v>20.134371452165841</v>
      </c>
      <c r="I31" s="337">
        <f>SUM(I14:I29)</f>
        <v>6540</v>
      </c>
      <c r="J31" s="452">
        <f>SUM(J14:J29)</f>
        <v>1471.8439499999999</v>
      </c>
      <c r="K31" s="335">
        <f>J31/I31*100</f>
        <v>22.505259174311927</v>
      </c>
      <c r="L31" s="335">
        <f>SUM(L14:L29)</f>
        <v>3854.9570000000003</v>
      </c>
      <c r="M31" s="335">
        <f>SUM(M14:M29)</f>
        <v>1311.4865300000004</v>
      </c>
      <c r="N31" s="335">
        <f>M31/L31*100</f>
        <v>34.02078233298063</v>
      </c>
      <c r="O31" s="335">
        <f>SUM(O14:O29)</f>
        <v>41.338000000000001</v>
      </c>
      <c r="P31" s="335">
        <f>SUM(P14:P29)</f>
        <v>8.4036799999999996</v>
      </c>
      <c r="Q31" s="335">
        <f>P31/O31*100</f>
        <v>20.329188639992257</v>
      </c>
      <c r="R31" s="335">
        <f>SUM(R14:R29)</f>
        <v>6438.7049999999999</v>
      </c>
      <c r="S31" s="335">
        <f>SUM(S14:S29)</f>
        <v>1586.8770600000003</v>
      </c>
      <c r="T31" s="335">
        <f>S31/R31*100</f>
        <v>24.645904106493468</v>
      </c>
      <c r="U31" s="335">
        <f>SUM(U14:U29)</f>
        <v>0</v>
      </c>
      <c r="V31" s="335">
        <f>SUM(V14:V29)</f>
        <v>-175.95257999999998</v>
      </c>
      <c r="W31" s="335" t="e">
        <f>V31/U31*100</f>
        <v>#DIV/0!</v>
      </c>
      <c r="X31" s="337">
        <f>SUM(X14:X29)</f>
        <v>465</v>
      </c>
      <c r="Y31" s="337">
        <f>SUM(Y14:Y29)</f>
        <v>393.93417000000011</v>
      </c>
      <c r="Z31" s="335">
        <f>Y31/X31*100</f>
        <v>84.717025806451645</v>
      </c>
      <c r="AA31" s="337">
        <f>SUM(AA14:AA29)</f>
        <v>6780</v>
      </c>
      <c r="AB31" s="337">
        <f>SUM(AB14:AB29)</f>
        <v>523.12360999999987</v>
      </c>
      <c r="AC31" s="335">
        <f>AB31/AA31*100</f>
        <v>7.7156874631268408</v>
      </c>
      <c r="AD31" s="337">
        <f>SUM(AD14:AD29)</f>
        <v>15060.696</v>
      </c>
      <c r="AE31" s="337">
        <f>SUM(AE14:AE29)</f>
        <v>1618.1253100000001</v>
      </c>
      <c r="AF31" s="335">
        <f>AE31/AD31*100</f>
        <v>10.744027434057497</v>
      </c>
      <c r="AG31" s="338">
        <f>SUM(AG14:AG29)</f>
        <v>97</v>
      </c>
      <c r="AH31" s="335">
        <f>SUM(AH14:AH29)</f>
        <v>16.71</v>
      </c>
      <c r="AI31" s="298">
        <f t="shared" si="24"/>
        <v>17.226804123711343</v>
      </c>
      <c r="AJ31" s="337">
        <f>AJ14+AJ15+AJ16+AJ17+AJ18+AJ19+AJ20+AJ21+AJ22+AJ23+AJ24+AJ25+AJ26+AJ27+AJ28+AJ29</f>
        <v>0</v>
      </c>
      <c r="AK31" s="337">
        <f>AK14+AK15+AK16+AK17+AK18+AK19+AK20+AK21+AK22+AK23+AK24+AK25+AK26+AK27+AK28+AK29</f>
        <v>0.36364999999999997</v>
      </c>
      <c r="AL31" s="298" t="e">
        <f>AK31/AJ31*100</f>
        <v>#DIV/0!</v>
      </c>
      <c r="AM31" s="337">
        <f>SUM(AM14:AM29)</f>
        <v>0</v>
      </c>
      <c r="AN31" s="337">
        <f>SUM(AN14:AN29)</f>
        <v>0</v>
      </c>
      <c r="AO31" s="335" t="e">
        <f>AN31/AM31*100</f>
        <v>#DIV/0!</v>
      </c>
      <c r="AP31" s="337">
        <f>SUM(AP14:AP29)</f>
        <v>2284.0106400000004</v>
      </c>
      <c r="AQ31" s="337">
        <f>SUM(AQ14:AQ29)</f>
        <v>425.40551000000005</v>
      </c>
      <c r="AR31" s="335">
        <f>AQ31/AP31*100</f>
        <v>18.625373391430433</v>
      </c>
      <c r="AS31" s="337">
        <f>SUM(AS14:AS29)</f>
        <v>238</v>
      </c>
      <c r="AT31" s="337">
        <f>SUM(AT14:AT29)</f>
        <v>37.295400000000001</v>
      </c>
      <c r="AU31" s="335">
        <f>AT31/AS31*100</f>
        <v>15.670336134453782</v>
      </c>
      <c r="AV31" s="337">
        <f>SUM(AV14:AV29)</f>
        <v>0</v>
      </c>
      <c r="AW31" s="337">
        <f>SUM(AW14:AW29)</f>
        <v>0</v>
      </c>
      <c r="AX31" s="335" t="e">
        <f>AW31/AV31*100</f>
        <v>#DIV/0!</v>
      </c>
      <c r="AY31" s="335">
        <f>SUM(AY14:AY29)</f>
        <v>490</v>
      </c>
      <c r="AZ31" s="335">
        <f>SUM(AZ14:AZ29)</f>
        <v>99.000450000000001</v>
      </c>
      <c r="BA31" s="298">
        <f t="shared" si="28"/>
        <v>20.204173469387754</v>
      </c>
      <c r="BB31" s="298">
        <f>SUM(BB14:BB29)</f>
        <v>0</v>
      </c>
      <c r="BC31" s="298">
        <f>SUM(BC14:BC29)</f>
        <v>0.35255999999999998</v>
      </c>
      <c r="BD31" s="298" t="e">
        <f>BC31/BB31*100</f>
        <v>#DIV/0!</v>
      </c>
      <c r="BE31" s="336">
        <f>SUM(BE14:BE29)</f>
        <v>1294.56</v>
      </c>
      <c r="BF31" s="337">
        <f>SUM(BF14:BF29)</f>
        <v>1458.4014</v>
      </c>
      <c r="BG31" s="337">
        <f t="shared" si="29"/>
        <v>112.65614571746386</v>
      </c>
      <c r="BH31" s="337">
        <f>SUM(BH14:BH29)</f>
        <v>0</v>
      </c>
      <c r="BI31" s="337">
        <f>SUM(BI14:BI29)</f>
        <v>0</v>
      </c>
      <c r="BJ31" s="335" t="e">
        <f>BI31/BH31*100</f>
        <v>#DIV/0!</v>
      </c>
      <c r="BK31" s="335">
        <f>SUM(BK14:BK29)</f>
        <v>0</v>
      </c>
      <c r="BL31" s="335">
        <f>BL15+BL27+BL28+BL19+BL22+BL26+BL18</f>
        <v>0</v>
      </c>
      <c r="BM31" s="335" t="e">
        <f>BL31/BK31*100</f>
        <v>#DIV/0!</v>
      </c>
      <c r="BN31" s="335">
        <f>BN14+BN15+BN16+BN17+BN18+BN19+BN20+BN21+BN22+BN23+BN24+BN25+BN26+BN27+BN28+BN29</f>
        <v>0</v>
      </c>
      <c r="BO31" s="335">
        <f>BO14+BO15+BO16+BO17+BO18+BO19+BO20+BO21+BO22+BO23+BO24+BO25+BO26+BO27+BO28+BO29</f>
        <v>0</v>
      </c>
      <c r="BP31" s="335" t="e">
        <f>BO31/BN31*100</f>
        <v>#DIV/0!</v>
      </c>
      <c r="BQ31" s="337">
        <f>SUM(BQ14:BQ29)</f>
        <v>0</v>
      </c>
      <c r="BR31" s="337">
        <f>SUM(BR14:BR29)</f>
        <v>0.4</v>
      </c>
      <c r="BS31" s="335" t="e">
        <f>BR31/BQ31*100</f>
        <v>#DIV/0!</v>
      </c>
      <c r="BT31" s="335">
        <f t="shared" ref="BT31:BY31" si="57">SUM(BT14:BT29)</f>
        <v>0</v>
      </c>
      <c r="BU31" s="335"/>
      <c r="BV31" s="335" t="e">
        <f t="shared" si="57"/>
        <v>#DIV/0!</v>
      </c>
      <c r="BW31" s="335">
        <f t="shared" si="57"/>
        <v>0</v>
      </c>
      <c r="BX31" s="335">
        <f t="shared" si="57"/>
        <v>0</v>
      </c>
      <c r="BY31" s="339" t="e">
        <f t="shared" si="57"/>
        <v>#DIV/0!</v>
      </c>
      <c r="BZ31" s="336">
        <f>SUM(BZ14:BZ29)</f>
        <v>192072.52984999999</v>
      </c>
      <c r="CA31" s="337">
        <f>SUM(CA14:CA29)</f>
        <v>16502.427</v>
      </c>
      <c r="CB31" s="337">
        <f t="shared" si="55"/>
        <v>8.5917684391868274</v>
      </c>
      <c r="CC31" s="337">
        <f>SUM(CC14:CC29)</f>
        <v>53257.100000000006</v>
      </c>
      <c r="CD31" s="337">
        <f>SUM(CD14:CD29)</f>
        <v>13314.276000000002</v>
      </c>
      <c r="CE31" s="337">
        <f>CD31/CC31*100</f>
        <v>25.000001877683914</v>
      </c>
      <c r="CF31" s="336">
        <f>SUM(CF14:CF29)</f>
        <v>0</v>
      </c>
      <c r="CG31" s="463">
        <f>SUM(CG14:CG29)</f>
        <v>0</v>
      </c>
      <c r="CH31" s="463" t="e">
        <f>CG31/CF31*100</f>
        <v>#DIV/0!</v>
      </c>
      <c r="CI31" s="337">
        <f>SUM(CI14:CI29)</f>
        <v>107028.05121000001</v>
      </c>
      <c r="CJ31" s="337">
        <f>SUM(CJ14:CJ29)</f>
        <v>2417.3960000000002</v>
      </c>
      <c r="CK31" s="337">
        <f>CJ31/CI31*100</f>
        <v>2.2586564668516869</v>
      </c>
      <c r="CL31" s="337">
        <f>SUM(CL14:CL29)</f>
        <v>2469.1</v>
      </c>
      <c r="CM31" s="337">
        <f>SUM(CM14:CM29)</f>
        <v>598.79999999999995</v>
      </c>
      <c r="CN31" s="337">
        <f t="shared" si="8"/>
        <v>24.25175165039893</v>
      </c>
      <c r="CO31" s="468">
        <f>SUM(CO14:CO29)</f>
        <v>22110.713</v>
      </c>
      <c r="CP31" s="453">
        <f>SUM(CP14:CP29)</f>
        <v>0</v>
      </c>
      <c r="CQ31" s="337">
        <f>CP31/CO31*100</f>
        <v>0</v>
      </c>
      <c r="CR31" s="337">
        <f>SUM(CR14:CR29)</f>
        <v>7207.5656400000007</v>
      </c>
      <c r="CS31" s="337">
        <f>SUM(CS14:CS29)</f>
        <v>171.95499999999998</v>
      </c>
      <c r="CT31" s="337">
        <f t="shared" si="9"/>
        <v>2.3857569752219412</v>
      </c>
      <c r="CU31" s="337">
        <f>SUM(CU14:CU29)</f>
        <v>0</v>
      </c>
      <c r="CV31" s="337">
        <f>SUM(CV14:CV29)</f>
        <v>0</v>
      </c>
      <c r="CW31" s="337" t="e">
        <f>CV31/CU31*100</f>
        <v>#DIV/0!</v>
      </c>
      <c r="CX31" s="337">
        <f>SUM(CX14:CX29)</f>
        <v>0</v>
      </c>
      <c r="CY31" s="337">
        <f>SUM(CY14:CY29)</f>
        <v>0</v>
      </c>
      <c r="CZ31" s="335" t="e">
        <f>CY31/CX31*100</f>
        <v>#DIV/0!</v>
      </c>
      <c r="DA31" s="335">
        <f>DA14+DA15+DA16+DA17+DA18+DA19+DA20+DA21+DA22+DA23+DA24+DA25+DA26+DA27+DA28+DA29</f>
        <v>0</v>
      </c>
      <c r="DB31" s="335">
        <f>DB14+DB15+DB16+DB17+DB18+DB19+DB20+DB21+DB22+DB23+DB24+DB25+DB26+DB27+DB28+DB29</f>
        <v>0</v>
      </c>
      <c r="DC31" s="335" t="e">
        <f>DB31/DA31*100</f>
        <v>#DIV/0!</v>
      </c>
      <c r="DD31" s="335">
        <f>DD14+DD15+DD16+DD17+DD18+DD19+DD20+DD21+DD22+DD23+DD24+DD25+DD26+DD27+DD28+DD29</f>
        <v>0</v>
      </c>
      <c r="DE31" s="335">
        <f>DE14+DE15+DE16+DE17+DE18+DE19+DE20+DE21+DE22+DE23+DE24+DE25+DE26+DE27+DE28+DE29</f>
        <v>0</v>
      </c>
      <c r="DF31" s="335">
        <v>0</v>
      </c>
      <c r="DG31" s="336">
        <f>SUM(DG14:DG29)</f>
        <v>244057.32736000002</v>
      </c>
      <c r="DH31" s="336">
        <f>SUM(DH14:DH29)</f>
        <v>20348.305240000002</v>
      </c>
      <c r="DI31" s="335">
        <f>DH31/DG31*100</f>
        <v>8.33751047760388</v>
      </c>
      <c r="DJ31" s="336">
        <f>SUM(DJ14:DJ29)</f>
        <v>26435.138129999999</v>
      </c>
      <c r="DK31" s="459">
        <f>SUM(DK14:DK29)</f>
        <v>4779.4790400000002</v>
      </c>
      <c r="DL31" s="335">
        <f>DK31/DJ31*100</f>
        <v>18.080022947094019</v>
      </c>
      <c r="DM31" s="337">
        <f>SUM(DM14:DM29)</f>
        <v>25974.800000000003</v>
      </c>
      <c r="DN31" s="336">
        <f>SUM(DN14:DN29)</f>
        <v>4585.17904</v>
      </c>
      <c r="DO31" s="335">
        <f>DN31/DM31*100</f>
        <v>17.652413262084789</v>
      </c>
      <c r="DP31" s="337">
        <f>SUM(DP14:DP29)</f>
        <v>0</v>
      </c>
      <c r="DQ31" s="337">
        <f>SUM(DQ14:DQ29)</f>
        <v>0</v>
      </c>
      <c r="DR31" s="335" t="e">
        <f>DQ31/DP31*100</f>
        <v>#DIV/0!</v>
      </c>
      <c r="DS31" s="340">
        <f>SUM(DS14:DS29)</f>
        <v>145</v>
      </c>
      <c r="DT31" s="335">
        <f>SUM(DT14:DT29)</f>
        <v>0</v>
      </c>
      <c r="DU31" s="335">
        <f>DT31/DS31*100</f>
        <v>0</v>
      </c>
      <c r="DV31" s="335">
        <f>SUM(DV14:DV29)</f>
        <v>315.33812999999992</v>
      </c>
      <c r="DW31" s="335">
        <f>SUM(DW14:DW29)</f>
        <v>194.29999999999995</v>
      </c>
      <c r="DX31" s="298">
        <f>DW31/DV31*100</f>
        <v>61.616398879513881</v>
      </c>
      <c r="DY31" s="335">
        <f>SUM(DY14:DY29)</f>
        <v>2404.8000000000002</v>
      </c>
      <c r="DZ31" s="340">
        <f>SUM(DZ14:DZ29)</f>
        <v>331.94897999999995</v>
      </c>
      <c r="EA31" s="337">
        <f t="shared" si="49"/>
        <v>13.803600299401195</v>
      </c>
      <c r="EB31" s="340">
        <f>SUM(EB14:EB29)</f>
        <v>1005.6999999999999</v>
      </c>
      <c r="EC31" s="340">
        <f>SUM(EC14:EC29)</f>
        <v>60.300000000000004</v>
      </c>
      <c r="ED31" s="298">
        <f t="shared" si="50"/>
        <v>5.9958238043154033</v>
      </c>
      <c r="EE31" s="337">
        <f>SUM(EE14:EE29)</f>
        <v>64885.07387</v>
      </c>
      <c r="EF31" s="336">
        <f>SUM(EF14:EF29)</f>
        <v>3070.8581399999998</v>
      </c>
      <c r="EG31" s="335">
        <f>EF31/EE31*100</f>
        <v>4.7327651135183944</v>
      </c>
      <c r="EH31" s="337">
        <f>SUM(EH14:EH29)</f>
        <v>109751.98557999998</v>
      </c>
      <c r="EI31" s="336">
        <f>SUM(EI14:EI29)</f>
        <v>4280.2709599999998</v>
      </c>
      <c r="EJ31" s="335">
        <f>EI31/EH31*100</f>
        <v>3.899948540684981</v>
      </c>
      <c r="EK31" s="336">
        <f>SUM(EK14:EK29)</f>
        <v>39299.629779999996</v>
      </c>
      <c r="EL31" s="336">
        <f>SUM(EL14:EL29)</f>
        <v>7725.2331199999999</v>
      </c>
      <c r="EM31" s="335">
        <f>EL31/EK31*100</f>
        <v>19.657266908736769</v>
      </c>
      <c r="EN31" s="336">
        <f>SUM(EN14:EN29)</f>
        <v>0</v>
      </c>
      <c r="EO31" s="336">
        <f>SUM(EO14:EO29)</f>
        <v>0</v>
      </c>
      <c r="EP31" s="335" t="e">
        <f>EO31/EN31*100</f>
        <v>#DIV/0!</v>
      </c>
      <c r="EQ31" s="337">
        <f>SUM(EQ14:EQ29)</f>
        <v>275</v>
      </c>
      <c r="ER31" s="337">
        <f>SUM(ER14:ER29)</f>
        <v>100.21499999999999</v>
      </c>
      <c r="ES31" s="335">
        <f>ER31/EQ31*100</f>
        <v>36.441818181818178</v>
      </c>
      <c r="ET31" s="335">
        <f>SUM(ET14:ET29)</f>
        <v>0</v>
      </c>
      <c r="EU31" s="338">
        <f>SUM(EU14:EU29)</f>
        <v>0</v>
      </c>
      <c r="EV31" s="298" t="e">
        <f>EU31/ET31*100</f>
        <v>#DIV/0!</v>
      </c>
      <c r="EW31" s="340">
        <f>SUM(EW14:EW29)</f>
        <v>-8400.5308700000023</v>
      </c>
      <c r="EX31" s="335">
        <f>SUM(EX14:EX29)</f>
        <v>4929.5398999999998</v>
      </c>
      <c r="EY31" s="298">
        <f>EX31/EW31*100</f>
        <v>-58.681290221840456</v>
      </c>
    </row>
    <row r="32" spans="1:170" s="165" customFormat="1" ht="27.75" customHeight="1">
      <c r="C32" s="164">
        <v>235656.79649000001</v>
      </c>
      <c r="D32" s="164">
        <v>25277.845140000001</v>
      </c>
      <c r="E32" s="164"/>
      <c r="F32" s="164">
        <v>43584.266640000002</v>
      </c>
      <c r="G32" s="164">
        <v>8775.4181399999998</v>
      </c>
      <c r="H32" s="164"/>
      <c r="I32" s="164">
        <v>6540</v>
      </c>
      <c r="J32" s="164">
        <v>1471.8439499999999</v>
      </c>
      <c r="K32" s="164"/>
      <c r="L32" s="164">
        <v>3854.9569999999999</v>
      </c>
      <c r="M32" s="164">
        <v>1311.4865299999999</v>
      </c>
      <c r="N32" s="164"/>
      <c r="O32" s="164">
        <v>41.338000000000001</v>
      </c>
      <c r="P32" s="164">
        <v>8.4036799999999996</v>
      </c>
      <c r="Q32" s="164"/>
      <c r="R32" s="164">
        <v>6438.7049999999999</v>
      </c>
      <c r="S32" s="164">
        <v>1586.87706</v>
      </c>
      <c r="T32" s="164"/>
      <c r="U32" s="164" t="e">
        <f>#REF!-U31</f>
        <v>#REF!</v>
      </c>
      <c r="V32" s="164">
        <v>-175.95258000000001</v>
      </c>
      <c r="W32" s="164"/>
      <c r="X32" s="164">
        <v>465</v>
      </c>
      <c r="Y32" s="164">
        <v>393.93416999999999</v>
      </c>
      <c r="Z32" s="164"/>
      <c r="AA32" s="164">
        <v>6780</v>
      </c>
      <c r="AB32" s="164">
        <v>523.12360999999999</v>
      </c>
      <c r="AC32" s="164"/>
      <c r="AD32" s="164">
        <v>15060.696</v>
      </c>
      <c r="AE32" s="164">
        <v>1618.1253099999999</v>
      </c>
      <c r="AF32" s="164"/>
      <c r="AG32" s="164">
        <v>97</v>
      </c>
      <c r="AH32" s="164">
        <v>16.71</v>
      </c>
      <c r="AI32" s="164"/>
      <c r="AJ32" s="164" t="e">
        <f>#REF!-AJ31</f>
        <v>#REF!</v>
      </c>
      <c r="AK32" s="164">
        <v>0.36364999999999997</v>
      </c>
      <c r="AL32" s="164"/>
      <c r="AM32" s="164" t="e">
        <f>#REF!-AM31</f>
        <v>#REF!</v>
      </c>
      <c r="AN32" s="164" t="e">
        <f>#REF!-AN31</f>
        <v>#REF!</v>
      </c>
      <c r="AO32" s="164"/>
      <c r="AP32" s="164">
        <v>2284.01064</v>
      </c>
      <c r="AQ32" s="164">
        <v>425.40550999999999</v>
      </c>
      <c r="AR32" s="164"/>
      <c r="AS32" s="164">
        <v>238</v>
      </c>
      <c r="AT32" s="164">
        <v>37.295400000000001</v>
      </c>
      <c r="AU32" s="164"/>
      <c r="AV32" s="164" t="e">
        <f>#REF!-AV31</f>
        <v>#REF!</v>
      </c>
      <c r="AW32" s="164" t="e">
        <f>#REF!-AW31</f>
        <v>#REF!</v>
      </c>
      <c r="AX32" s="164" t="e">
        <f>#REF!-AX31</f>
        <v>#REF!</v>
      </c>
      <c r="AY32" s="164">
        <v>490</v>
      </c>
      <c r="AZ32" s="164">
        <v>99.000450000000001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1294.56</v>
      </c>
      <c r="BF32" s="164">
        <v>1458.4014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 t="e">
        <f>#REF!-BK31</f>
        <v>#REF!</v>
      </c>
      <c r="BL32" s="164" t="e">
        <f>#REF!-BL31</f>
        <v>#REF!</v>
      </c>
      <c r="BM32" s="164" t="e">
        <f>#REF!-BM31</f>
        <v>#REF!</v>
      </c>
      <c r="BN32" s="164">
        <v>0</v>
      </c>
      <c r="BO32" s="164">
        <v>0</v>
      </c>
      <c r="BP32" s="164"/>
      <c r="BQ32" s="164" t="e">
        <f>#REF!-BQ31</f>
        <v>#REF!</v>
      </c>
      <c r="BR32" s="164">
        <v>0.4</v>
      </c>
      <c r="BS32" s="164"/>
      <c r="BT32" s="164" t="e">
        <f>#REF!-BT31</f>
        <v>#REF!</v>
      </c>
      <c r="BU32" s="164" t="e">
        <f>#REF!-BU31</f>
        <v>#REF!</v>
      </c>
      <c r="BV32" s="164" t="e">
        <f>#REF!-BV31</f>
        <v>#REF!</v>
      </c>
      <c r="BW32" s="164" t="e">
        <f>#REF!-BW31</f>
        <v>#REF!</v>
      </c>
      <c r="BX32" s="164" t="e">
        <f>#REF!-BX31</f>
        <v>#REF!</v>
      </c>
      <c r="BY32" s="164" t="e">
        <f>#REF!-BY31</f>
        <v>#REF!</v>
      </c>
      <c r="BZ32" s="164">
        <v>192072.52984999999</v>
      </c>
      <c r="CA32" s="164">
        <v>16502.427</v>
      </c>
      <c r="CB32" s="164"/>
      <c r="CC32" s="164">
        <v>53257.1</v>
      </c>
      <c r="CD32" s="164">
        <v>13314.276</v>
      </c>
      <c r="CE32" s="164"/>
      <c r="CF32" s="164">
        <v>0</v>
      </c>
      <c r="CG32" s="164">
        <v>0</v>
      </c>
      <c r="CH32" s="164"/>
      <c r="CI32" s="164">
        <v>107028.05121000001</v>
      </c>
      <c r="CJ32" s="164">
        <v>2417.3960000000002</v>
      </c>
      <c r="CK32" s="164"/>
      <c r="CL32" s="164">
        <v>2469.1</v>
      </c>
      <c r="CM32" s="164">
        <v>598.79999999999995</v>
      </c>
      <c r="CN32" s="164"/>
      <c r="CO32" s="164">
        <v>22110.713</v>
      </c>
      <c r="CP32" s="164">
        <v>0</v>
      </c>
      <c r="CQ32" s="164"/>
      <c r="CR32" s="164">
        <v>7207.5656399999998</v>
      </c>
      <c r="CS32" s="164">
        <v>171.95500000000001</v>
      </c>
      <c r="CT32" s="164"/>
      <c r="CU32" s="164" t="e">
        <f>#REF!-CU31</f>
        <v>#REF!</v>
      </c>
      <c r="CV32" s="164">
        <v>0</v>
      </c>
      <c r="CW32" s="164"/>
      <c r="CX32" s="164" t="e">
        <f>#REF!-CX31</f>
        <v>#REF!</v>
      </c>
      <c r="CY32" s="164" t="e">
        <f>#REF!-CY31</f>
        <v>#REF!</v>
      </c>
      <c r="CZ32" s="164" t="e">
        <f>#REF!-CZ31</f>
        <v>#REF!</v>
      </c>
      <c r="DA32" s="164" t="e">
        <f>#REF!-DA31</f>
        <v>#REF!</v>
      </c>
      <c r="DB32" s="164" t="e">
        <f>#REF!-DB31</f>
        <v>#REF!</v>
      </c>
      <c r="DC32" s="164" t="e">
        <f>#REF!-DC31</f>
        <v>#REF!</v>
      </c>
      <c r="DD32" s="164" t="e">
        <f>#REF!-DD31</f>
        <v>#REF!</v>
      </c>
      <c r="DE32" s="164" t="e">
        <f>#REF!-DE31</f>
        <v>#REF!</v>
      </c>
      <c r="DF32" s="164"/>
      <c r="DG32" s="164">
        <v>244057.32736</v>
      </c>
      <c r="DH32" s="164">
        <v>20348.305240000002</v>
      </c>
      <c r="DI32" s="164"/>
      <c r="DJ32" s="164">
        <v>26435.138129999999</v>
      </c>
      <c r="DK32" s="164">
        <v>4779.4790400000002</v>
      </c>
      <c r="DL32" s="164"/>
      <c r="DM32" s="164">
        <v>25974.799999999999</v>
      </c>
      <c r="DN32" s="164">
        <v>4585.17904</v>
      </c>
      <c r="DO32" s="164"/>
      <c r="DP32" s="164"/>
      <c r="DQ32" s="164">
        <v>0</v>
      </c>
      <c r="DR32" s="164"/>
      <c r="DS32" s="164">
        <v>145</v>
      </c>
      <c r="DT32" s="164" t="e">
        <f>#REF!-DT31</f>
        <v>#REF!</v>
      </c>
      <c r="DU32" s="164"/>
      <c r="DV32" s="164">
        <v>315.33812999999998</v>
      </c>
      <c r="DW32" s="164">
        <v>194.3</v>
      </c>
      <c r="DX32" s="164"/>
      <c r="DY32" s="164">
        <v>2404.8000000000002</v>
      </c>
      <c r="DZ32" s="164">
        <v>331.94898000000001</v>
      </c>
      <c r="EA32" s="164"/>
      <c r="EB32" s="164">
        <v>1005.7</v>
      </c>
      <c r="EC32" s="164">
        <v>60.3</v>
      </c>
      <c r="ED32" s="164"/>
      <c r="EE32" s="164">
        <v>64885.07387</v>
      </c>
      <c r="EF32" s="164">
        <v>3070.8581399999998</v>
      </c>
      <c r="EG32" s="164"/>
      <c r="EH32" s="164">
        <v>109751.98557999999</v>
      </c>
      <c r="EI32" s="164">
        <v>4280.2709599999998</v>
      </c>
      <c r="EJ32" s="164"/>
      <c r="EK32" s="164">
        <v>39299.629780000003</v>
      </c>
      <c r="EL32" s="164">
        <v>7725.2331199999999</v>
      </c>
      <c r="EM32" s="164"/>
      <c r="EN32" s="164">
        <v>0</v>
      </c>
      <c r="EO32" s="164">
        <v>0</v>
      </c>
      <c r="EP32" s="164"/>
      <c r="EQ32" s="164">
        <v>275</v>
      </c>
      <c r="ER32" s="164">
        <v>100.215</v>
      </c>
      <c r="ES32" s="164"/>
      <c r="ET32" s="164" t="e">
        <f>#REF!-ET31</f>
        <v>#REF!</v>
      </c>
      <c r="EU32" s="164" t="e">
        <f>#REF!-EU31</f>
        <v>#REF!</v>
      </c>
      <c r="EV32" s="164"/>
      <c r="EW32" s="164">
        <v>-8400.5308700000005</v>
      </c>
      <c r="EX32" s="164">
        <v>4929.5398999999998</v>
      </c>
    </row>
    <row r="33" spans="3:155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>
        <f>I32-I31</f>
        <v>0</v>
      </c>
      <c r="J33" s="164">
        <f>J32-J31</f>
        <v>0</v>
      </c>
      <c r="K33" s="164"/>
      <c r="L33" s="164">
        <f>L32-L31</f>
        <v>0</v>
      </c>
      <c r="M33" s="164">
        <f>M32-M31</f>
        <v>0</v>
      </c>
      <c r="N33" s="164"/>
      <c r="O33" s="164">
        <f>O32-O31</f>
        <v>0</v>
      </c>
      <c r="P33" s="164">
        <f>P32-P31</f>
        <v>0</v>
      </c>
      <c r="Q33" s="164"/>
      <c r="R33" s="164">
        <f>R32-R31</f>
        <v>0</v>
      </c>
      <c r="S33" s="164">
        <f>S32-S31</f>
        <v>0</v>
      </c>
      <c r="T33" s="164"/>
      <c r="U33" s="164" t="e">
        <f>U32-U31</f>
        <v>#REF!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>
        <f>AA32-AA31</f>
        <v>0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 t="e">
        <f t="shared" ref="AJ33:AQ33" si="58">AJ32-AJ31</f>
        <v>#REF!</v>
      </c>
      <c r="AK33" s="164">
        <f t="shared" si="58"/>
        <v>0</v>
      </c>
      <c r="AL33" s="164" t="e">
        <f t="shared" si="58"/>
        <v>#DIV/0!</v>
      </c>
      <c r="AM33" s="164" t="e">
        <f t="shared" si="58"/>
        <v>#REF!</v>
      </c>
      <c r="AN33" s="164" t="e">
        <f t="shared" si="58"/>
        <v>#REF!</v>
      </c>
      <c r="AO33" s="164" t="e">
        <f t="shared" si="58"/>
        <v>#DIV/0!</v>
      </c>
      <c r="AP33" s="164">
        <f t="shared" si="58"/>
        <v>0</v>
      </c>
      <c r="AQ33" s="164">
        <f t="shared" si="58"/>
        <v>0</v>
      </c>
      <c r="AR33" s="164"/>
      <c r="AS33" s="164">
        <f>AS32-AS31</f>
        <v>0</v>
      </c>
      <c r="AT33" s="164">
        <f>AT32-AT31</f>
        <v>0</v>
      </c>
      <c r="AU33" s="164"/>
      <c r="AV33" s="164" t="e">
        <f>AV32-AV31</f>
        <v>#REF!</v>
      </c>
      <c r="AW33" s="164" t="e">
        <f>AW32-AW31</f>
        <v>#REF!</v>
      </c>
      <c r="AX33" s="164" t="e">
        <f>AX32-AX31</f>
        <v>#REF!</v>
      </c>
      <c r="AY33" s="164">
        <f>AY32-AY31</f>
        <v>0</v>
      </c>
      <c r="AZ33" s="164">
        <f>AZ32-AZ31</f>
        <v>0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 t="shared" ref="BH33:BO33" si="59">BH32-BH31</f>
        <v>#REF!</v>
      </c>
      <c r="BI33" s="164" t="e">
        <f t="shared" si="59"/>
        <v>#REF!</v>
      </c>
      <c r="BJ33" s="164" t="e">
        <f t="shared" si="59"/>
        <v>#REF!</v>
      </c>
      <c r="BK33" s="164" t="e">
        <f t="shared" si="59"/>
        <v>#REF!</v>
      </c>
      <c r="BL33" s="164" t="e">
        <f t="shared" si="59"/>
        <v>#REF!</v>
      </c>
      <c r="BM33" s="164" t="e">
        <f t="shared" si="59"/>
        <v>#REF!</v>
      </c>
      <c r="BN33" s="164">
        <f t="shared" si="59"/>
        <v>0</v>
      </c>
      <c r="BO33" s="164">
        <f t="shared" si="59"/>
        <v>0</v>
      </c>
      <c r="BP33" s="164"/>
      <c r="BQ33" s="164" t="e">
        <f>BQ32-BQ31</f>
        <v>#REF!</v>
      </c>
      <c r="BR33" s="164">
        <f>BR32-BR31</f>
        <v>0</v>
      </c>
      <c r="BS33" s="164"/>
      <c r="BT33" s="164" t="e">
        <f t="shared" ref="BT33:CA33" si="60">BT32-BT31</f>
        <v>#REF!</v>
      </c>
      <c r="BU33" s="164" t="e">
        <f t="shared" si="60"/>
        <v>#REF!</v>
      </c>
      <c r="BV33" s="164" t="e">
        <f t="shared" si="60"/>
        <v>#REF!</v>
      </c>
      <c r="BW33" s="164" t="e">
        <f t="shared" si="60"/>
        <v>#REF!</v>
      </c>
      <c r="BX33" s="164" t="e">
        <f t="shared" si="60"/>
        <v>#REF!</v>
      </c>
      <c r="BY33" s="164" t="e">
        <f t="shared" si="60"/>
        <v>#REF!</v>
      </c>
      <c r="BZ33" s="164">
        <f t="shared" si="60"/>
        <v>0</v>
      </c>
      <c r="CA33" s="164">
        <f t="shared" si="60"/>
        <v>0</v>
      </c>
      <c r="CB33" s="164"/>
      <c r="CC33" s="164">
        <f>CC32-CC31</f>
        <v>0</v>
      </c>
      <c r="CD33" s="164">
        <f>CD32-CD31</f>
        <v>0</v>
      </c>
      <c r="CE33" s="164"/>
      <c r="CF33" s="164">
        <f>CF32-CF31</f>
        <v>0</v>
      </c>
      <c r="CG33" s="164">
        <f>CG32-CG31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 t="e">
        <f>CU32-CU31</f>
        <v>#REF!</v>
      </c>
      <c r="CV33" s="164">
        <f>CV32-CV31</f>
        <v>0</v>
      </c>
      <c r="CW33" s="164"/>
      <c r="CX33" s="164" t="e">
        <f t="shared" ref="CX33:DH33" si="61">CX32-CX31</f>
        <v>#REF!</v>
      </c>
      <c r="CY33" s="164" t="e">
        <f t="shared" si="61"/>
        <v>#REF!</v>
      </c>
      <c r="CZ33" s="164" t="e">
        <f t="shared" si="61"/>
        <v>#REF!</v>
      </c>
      <c r="DA33" s="164" t="e">
        <f t="shared" si="61"/>
        <v>#REF!</v>
      </c>
      <c r="DB33" s="164" t="e">
        <f t="shared" si="61"/>
        <v>#REF!</v>
      </c>
      <c r="DC33" s="164" t="e">
        <f t="shared" si="61"/>
        <v>#REF!</v>
      </c>
      <c r="DD33" s="164" t="e">
        <f t="shared" si="61"/>
        <v>#REF!</v>
      </c>
      <c r="DE33" s="164" t="e">
        <f t="shared" si="61"/>
        <v>#REF!</v>
      </c>
      <c r="DF33" s="164">
        <f t="shared" si="61"/>
        <v>0</v>
      </c>
      <c r="DG33" s="164">
        <f t="shared" si="61"/>
        <v>0</v>
      </c>
      <c r="DH33" s="164">
        <f t="shared" si="61"/>
        <v>0</v>
      </c>
      <c r="DI33" s="164"/>
      <c r="DJ33" s="164">
        <f>DJ32-DJ31</f>
        <v>0</v>
      </c>
      <c r="DK33" s="164">
        <f>DK32-DK31</f>
        <v>0</v>
      </c>
      <c r="DL33" s="164"/>
      <c r="DM33" s="164">
        <f>DM32-DM31</f>
        <v>0</v>
      </c>
      <c r="DN33" s="164">
        <f>DN32-DN31</f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 t="e">
        <f>DT32-DT31</f>
        <v>#REF!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0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 t="e">
        <f>ET32-ET31</f>
        <v>#REF!</v>
      </c>
      <c r="EU33" s="164" t="e">
        <f>EU32-EU31</f>
        <v>#REF!</v>
      </c>
      <c r="EV33" s="164"/>
      <c r="EW33" s="164">
        <f>EW32-EW31</f>
        <v>0</v>
      </c>
      <c r="EX33" s="164">
        <f>EX32-EX31</f>
        <v>0</v>
      </c>
      <c r="EY33" s="166"/>
    </row>
  </sheetData>
  <customSheetViews>
    <customSheetView guid="{E6F84523-F47F-492E-BB0B-0D2156A983B1}" scale="70" showPageBreaks="1" printArea="1" hiddenColumns="1" state="hidden" view="pageBreakPreview">
      <selection activeCell="BR33" sqref="BR33"/>
      <pageMargins left="0.70866141732283472" right="0.19685039370078741" top="0.28000000000000003" bottom="0.32" header="0.31496062992125984" footer="0.31496062992125984"/>
      <pageSetup paperSize="9" scale="10" fitToWidth="11" orientation="landscape" r:id="rId1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B30CE22D-C12F-4E12-8BB9-3AAE0A6991CC}" scale="75" showPageBreaks="1" fitToPage="1" printArea="1" hiddenColumns="1" view="pageBreakPreview" topLeftCell="AR4">
      <selection activeCell="CA16" sqref="CA16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8" fitToWidth="7" orientation="landscape" r:id="rId3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4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5BFCA170-DEAE-4D2C-98A0-1E68B427AC01}" scale="75" showPageBreaks="1" printArea="1" hiddenColumns="1" view="pageBreakPreview" topLeftCell="A10">
      <pane xSplit="2" ySplit="4" topLeftCell="BP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61528DAC-5C4C-48F4-ADE2-8A724B05A086}" scale="70" showPageBreaks="1" printArea="1" hiddenColumns="1" view="pageBreakPreview">
      <selection activeCell="BR33" sqref="BR33"/>
      <pageMargins left="0.70866141732283472" right="0.19685039370078741" top="0.28000000000000003" bottom="0.32" header="0.31496062992125984" footer="0.31496062992125984"/>
      <pageSetup paperSize="9" scale="10" fitToWidth="11" orientation="landscape" r:id="rId10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4" type="noConversion"/>
  <pageMargins left="0.70866141732283472" right="0.19685039370078741" top="0.28000000000000003" bottom="0.32" header="0.31496062992125984" footer="0.31496062992125984"/>
  <pageSetup paperSize="9" scale="10" fitToWidth="11" orientation="landscape" r:id="rId11"/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344</v>
      </c>
      <c r="AO1" t="s">
        <v>345</v>
      </c>
      <c r="AP1" t="s">
        <v>346</v>
      </c>
      <c r="AS1" t="s">
        <v>347</v>
      </c>
      <c r="AW1">
        <v>187.4</v>
      </c>
      <c r="AX1" t="s">
        <v>348</v>
      </c>
      <c r="AY1" t="s">
        <v>349</v>
      </c>
    </row>
    <row r="2" spans="32:51">
      <c r="AF2" t="s">
        <v>350</v>
      </c>
      <c r="AJ2" t="s">
        <v>351</v>
      </c>
    </row>
    <row r="3" spans="32:51">
      <c r="AF3" t="s">
        <v>353</v>
      </c>
      <c r="AH3" t="s">
        <v>352</v>
      </c>
      <c r="AJ3" t="s">
        <v>353</v>
      </c>
      <c r="AN3" t="s">
        <v>352</v>
      </c>
      <c r="AO3" t="s">
        <v>352</v>
      </c>
      <c r="AP3" t="s">
        <v>352</v>
      </c>
      <c r="AS3" t="s">
        <v>354</v>
      </c>
      <c r="AT3" t="s">
        <v>355</v>
      </c>
      <c r="AU3" t="s">
        <v>356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357</v>
      </c>
      <c r="AU4" t="s">
        <v>358</v>
      </c>
      <c r="AV4" t="s">
        <v>359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360</v>
      </c>
      <c r="AU5" t="s">
        <v>358</v>
      </c>
      <c r="AV5" t="s">
        <v>361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362</v>
      </c>
      <c r="AU6" t="s">
        <v>358</v>
      </c>
      <c r="AV6" t="s">
        <v>361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363</v>
      </c>
      <c r="AU7" t="s">
        <v>358</v>
      </c>
      <c r="AV7" t="s">
        <v>364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365</v>
      </c>
      <c r="AU8" t="s">
        <v>358</v>
      </c>
      <c r="AV8" t="s">
        <v>366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367</v>
      </c>
      <c r="AU9" t="s">
        <v>358</v>
      </c>
      <c r="AV9" t="s">
        <v>368</v>
      </c>
      <c r="AW9" t="s">
        <v>369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370</v>
      </c>
      <c r="AU10" t="s">
        <v>358</v>
      </c>
      <c r="AV10" t="s">
        <v>371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372</v>
      </c>
      <c r="AU11" t="s">
        <v>358</v>
      </c>
      <c r="AV11" t="s">
        <v>373</v>
      </c>
      <c r="AW11" t="s">
        <v>369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374</v>
      </c>
      <c r="AU12" t="s">
        <v>358</v>
      </c>
      <c r="AV12" t="s">
        <v>375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376</v>
      </c>
      <c r="AU13" t="s">
        <v>358</v>
      </c>
      <c r="AV13" t="s">
        <v>377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378</v>
      </c>
      <c r="AU14" t="s">
        <v>358</v>
      </c>
      <c r="AV14" t="s">
        <v>364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379</v>
      </c>
      <c r="AU15" t="s">
        <v>358</v>
      </c>
      <c r="AV15" t="s">
        <v>380</v>
      </c>
      <c r="AW15" t="s">
        <v>381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382</v>
      </c>
      <c r="AU16" t="s">
        <v>358</v>
      </c>
      <c r="AV16" t="s">
        <v>361</v>
      </c>
      <c r="AW16" t="s">
        <v>383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384</v>
      </c>
      <c r="AU17" t="s">
        <v>358</v>
      </c>
      <c r="AV17" t="s">
        <v>385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386</v>
      </c>
      <c r="AU18" t="s">
        <v>358</v>
      </c>
      <c r="AV18" t="s">
        <v>361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387</v>
      </c>
      <c r="AU19" t="s">
        <v>388</v>
      </c>
      <c r="AV19" t="s">
        <v>371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389</v>
      </c>
      <c r="AY20" t="s">
        <v>390</v>
      </c>
    </row>
    <row r="82" hidden="1"/>
    <row r="83" hidden="1"/>
    <row r="84" hidden="1"/>
  </sheetData>
  <customSheetViews>
    <customSheetView guid="{E6F84523-F47F-492E-BB0B-0D2156A983B1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6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</customSheetViews>
  <pageMargins left="0.7" right="0.7" top="0.75" bottom="0.75" header="0.3" footer="0.3"/>
  <pageSetup paperSize="9" orientation="portrait" verticalDpi="0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E6F84523-F47F-492E-BB0B-0D2156A983B1}" state="hidden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B30CE22D-C12F-4E12-8BB9-3AAE0A6991CC}" showPageBreaks="1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customSheetViews>
    <customSheetView guid="{E6F84523-F47F-492E-BB0B-0D2156A983B1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B30CE22D-C12F-4E12-8BB9-3AAE0A6991CC}" showPageBreaks="1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61528DAC-5C4C-48F4-ADE2-8A724B05A086}" state="hidden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E6F84523-F47F-492E-BB0B-0D2156A983B1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61528DAC-5C4C-48F4-ADE2-8A724B05A08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E6F84523-F47F-492E-BB0B-0D2156A983B1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36"/>
  <sheetViews>
    <sheetView view="pageBreakPreview" zoomScale="60" workbookViewId="0">
      <selection activeCell="E76" sqref="E76"/>
    </sheetView>
  </sheetViews>
  <sheetFormatPr defaultRowHeight="15.75"/>
  <cols>
    <col min="1" max="1" width="18.8554687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32" t="s">
        <v>399</v>
      </c>
      <c r="B1" s="432"/>
      <c r="C1" s="432"/>
      <c r="D1" s="432"/>
      <c r="E1" s="432"/>
      <c r="F1" s="432"/>
    </row>
    <row r="2" spans="1:6" ht="20.25">
      <c r="A2" s="432" t="s">
        <v>433</v>
      </c>
      <c r="B2" s="432"/>
      <c r="C2" s="432"/>
      <c r="D2" s="432"/>
      <c r="E2" s="432"/>
      <c r="F2" s="432"/>
    </row>
    <row r="3" spans="1:6" ht="81">
      <c r="A3" s="357" t="s">
        <v>0</v>
      </c>
      <c r="B3" s="357" t="s">
        <v>1</v>
      </c>
      <c r="C3" s="358" t="s">
        <v>410</v>
      </c>
      <c r="D3" s="359" t="s">
        <v>415</v>
      </c>
      <c r="E3" s="358" t="s">
        <v>2</v>
      </c>
      <c r="F3" s="360" t="s">
        <v>3</v>
      </c>
    </row>
    <row r="4" spans="1:6" s="6" customFormat="1" ht="20.25">
      <c r="A4" s="361"/>
      <c r="B4" s="362" t="s">
        <v>4</v>
      </c>
      <c r="C4" s="363">
        <f>C5+C12+C17+C22+C24+C28+C7</f>
        <v>164323.60000000003</v>
      </c>
      <c r="D4" s="363">
        <f>D5+D12+D17+D22+D24+D28+D7</f>
        <v>42175.188549999992</v>
      </c>
      <c r="E4" s="363">
        <f>SUM(D4/C4*100)</f>
        <v>25.665935112181078</v>
      </c>
      <c r="F4" s="363">
        <f>SUM(D4-C4)</f>
        <v>-122148.41145000004</v>
      </c>
    </row>
    <row r="5" spans="1:6" s="6" customFormat="1" ht="20.25">
      <c r="A5" s="361">
        <v>1010000</v>
      </c>
      <c r="B5" s="362" t="s">
        <v>5</v>
      </c>
      <c r="C5" s="363">
        <f>C6</f>
        <v>135138.20000000001</v>
      </c>
      <c r="D5" s="363">
        <f>D6</f>
        <v>30473.09996</v>
      </c>
      <c r="E5" s="363">
        <f t="shared" ref="E5:E71" si="0">SUM(D5/C5*100)</f>
        <v>22.549582545867857</v>
      </c>
      <c r="F5" s="363">
        <f t="shared" ref="F5:F71" si="1">SUM(D5-C5)</f>
        <v>-104665.10004000002</v>
      </c>
    </row>
    <row r="6" spans="1:6" ht="20.25">
      <c r="A6" s="364">
        <v>1010200001</v>
      </c>
      <c r="B6" s="365" t="s">
        <v>225</v>
      </c>
      <c r="C6" s="366">
        <v>135138.20000000001</v>
      </c>
      <c r="D6" s="367">
        <v>30473.09996</v>
      </c>
      <c r="E6" s="366">
        <f t="shared" si="0"/>
        <v>22.549582545867857</v>
      </c>
      <c r="F6" s="366">
        <f t="shared" si="1"/>
        <v>-104665.10004000002</v>
      </c>
    </row>
    <row r="7" spans="1:6" ht="40.5">
      <c r="A7" s="361">
        <v>1030000</v>
      </c>
      <c r="B7" s="368" t="s">
        <v>267</v>
      </c>
      <c r="C7" s="363">
        <f>C8+C10+C9</f>
        <v>5934.2</v>
      </c>
      <c r="D7" s="363">
        <f>D8+D10+D9+D11</f>
        <v>1567.9677299999998</v>
      </c>
      <c r="E7" s="366">
        <f t="shared" si="0"/>
        <v>26.422562940244681</v>
      </c>
      <c r="F7" s="366">
        <f t="shared" si="1"/>
        <v>-4366.2322700000004</v>
      </c>
    </row>
    <row r="8" spans="1:6" ht="20.25">
      <c r="A8" s="364">
        <v>1030223001</v>
      </c>
      <c r="B8" s="365" t="s">
        <v>269</v>
      </c>
      <c r="C8" s="366">
        <v>2500</v>
      </c>
      <c r="D8" s="367">
        <v>753.02387999999996</v>
      </c>
      <c r="E8" s="366">
        <f t="shared" si="0"/>
        <v>30.120955199999997</v>
      </c>
      <c r="F8" s="366">
        <f>SUM(D8-C8)</f>
        <v>-1746.97612</v>
      </c>
    </row>
    <row r="9" spans="1:6" ht="20.25">
      <c r="A9" s="364">
        <v>1030224001</v>
      </c>
      <c r="B9" s="365" t="s">
        <v>275</v>
      </c>
      <c r="C9" s="366">
        <v>21.5</v>
      </c>
      <c r="D9" s="367">
        <v>4.8251900000000001</v>
      </c>
      <c r="E9" s="366">
        <f t="shared" si="0"/>
        <v>22.442744186046511</v>
      </c>
      <c r="F9" s="366">
        <f>SUM(D9-C9)</f>
        <v>-16.674810000000001</v>
      </c>
    </row>
    <row r="10" spans="1:6" ht="20.25">
      <c r="A10" s="364">
        <v>1030225001</v>
      </c>
      <c r="B10" s="365" t="s">
        <v>268</v>
      </c>
      <c r="C10" s="366">
        <v>3412.7</v>
      </c>
      <c r="D10" s="367">
        <v>911.14644999999996</v>
      </c>
      <c r="E10" s="366">
        <f t="shared" si="0"/>
        <v>26.698697512233714</v>
      </c>
      <c r="F10" s="366">
        <f t="shared" si="1"/>
        <v>-2501.5535499999996</v>
      </c>
    </row>
    <row r="11" spans="1:6" ht="20.25">
      <c r="A11" s="364">
        <v>1030226001</v>
      </c>
      <c r="B11" s="365" t="s">
        <v>277</v>
      </c>
      <c r="C11" s="366">
        <v>0</v>
      </c>
      <c r="D11" s="367">
        <v>-101.02779</v>
      </c>
      <c r="E11" s="366"/>
      <c r="F11" s="366">
        <f t="shared" si="1"/>
        <v>-101.02779</v>
      </c>
    </row>
    <row r="12" spans="1:6" s="6" customFormat="1" ht="20.25">
      <c r="A12" s="361">
        <v>1050000</v>
      </c>
      <c r="B12" s="362" t="s">
        <v>6</v>
      </c>
      <c r="C12" s="363">
        <f>SUM(C13:C16)</f>
        <v>16500</v>
      </c>
      <c r="D12" s="363">
        <f>SUM(D13:D16)</f>
        <v>4567.8223099999996</v>
      </c>
      <c r="E12" s="363">
        <f t="shared" si="0"/>
        <v>27.683771575757572</v>
      </c>
      <c r="F12" s="363">
        <f t="shared" si="1"/>
        <v>-11932.17769</v>
      </c>
    </row>
    <row r="13" spans="1:6" s="6" customFormat="1" ht="20.25">
      <c r="A13" s="364">
        <v>1050100000</v>
      </c>
      <c r="B13" s="369" t="s">
        <v>403</v>
      </c>
      <c r="C13" s="366">
        <v>13100</v>
      </c>
      <c r="D13" s="366">
        <v>2703.9421499999999</v>
      </c>
      <c r="E13" s="366">
        <f t="shared" si="0"/>
        <v>20.640779770992363</v>
      </c>
      <c r="F13" s="366">
        <f t="shared" si="1"/>
        <v>-10396.057850000001</v>
      </c>
    </row>
    <row r="14" spans="1:6" ht="20.25">
      <c r="A14" s="364">
        <v>1050200000</v>
      </c>
      <c r="B14" s="369" t="s">
        <v>233</v>
      </c>
      <c r="C14" s="370">
        <v>0</v>
      </c>
      <c r="D14" s="367">
        <v>0.29969000000000001</v>
      </c>
      <c r="E14" s="366"/>
      <c r="F14" s="366">
        <f t="shared" si="1"/>
        <v>0.29969000000000001</v>
      </c>
    </row>
    <row r="15" spans="1:6" ht="23.25" customHeight="1">
      <c r="A15" s="364">
        <v>1050300000</v>
      </c>
      <c r="B15" s="369" t="s">
        <v>226</v>
      </c>
      <c r="C15" s="370">
        <v>1500</v>
      </c>
      <c r="D15" s="367">
        <v>919.17972999999995</v>
      </c>
      <c r="E15" s="366">
        <f t="shared" si="0"/>
        <v>61.278648666666669</v>
      </c>
      <c r="F15" s="366">
        <f t="shared" si="1"/>
        <v>-580.82027000000005</v>
      </c>
    </row>
    <row r="16" spans="1:6" ht="40.5">
      <c r="A16" s="364">
        <v>1050400002</v>
      </c>
      <c r="B16" s="365" t="s">
        <v>254</v>
      </c>
      <c r="C16" s="370">
        <v>1900</v>
      </c>
      <c r="D16" s="367">
        <v>944.40074000000004</v>
      </c>
      <c r="E16" s="366">
        <f t="shared" si="0"/>
        <v>49.705302105263158</v>
      </c>
      <c r="F16" s="366">
        <f t="shared" si="1"/>
        <v>-955.59925999999996</v>
      </c>
    </row>
    <row r="17" spans="1:6" s="6" customFormat="1" ht="24" customHeight="1">
      <c r="A17" s="361">
        <v>1060000</v>
      </c>
      <c r="B17" s="362" t="s">
        <v>133</v>
      </c>
      <c r="C17" s="363">
        <f>SUM(C18:C21)</f>
        <v>2731.2</v>
      </c>
      <c r="D17" s="363">
        <f>SUM(D18:D21)</f>
        <v>203.47613000000001</v>
      </c>
      <c r="E17" s="363">
        <f t="shared" si="0"/>
        <v>7.4500633421206803</v>
      </c>
      <c r="F17" s="363">
        <f t="shared" si="1"/>
        <v>-2527.7238699999998</v>
      </c>
    </row>
    <row r="18" spans="1:6" s="6" customFormat="1" ht="18" customHeight="1">
      <c r="A18" s="364">
        <v>1060100000</v>
      </c>
      <c r="B18" s="369" t="s">
        <v>8</v>
      </c>
      <c r="C18" s="366"/>
      <c r="D18" s="367"/>
      <c r="E18" s="363"/>
      <c r="F18" s="363">
        <f t="shared" si="1"/>
        <v>0</v>
      </c>
    </row>
    <row r="19" spans="1:6" s="6" customFormat="1" ht="2.25" hidden="1" customHeight="1">
      <c r="A19" s="364">
        <v>1060200000</v>
      </c>
      <c r="B19" s="369" t="s">
        <v>120</v>
      </c>
      <c r="C19" s="366"/>
      <c r="D19" s="367"/>
      <c r="E19" s="363" t="e">
        <f t="shared" si="0"/>
        <v>#DIV/0!</v>
      </c>
      <c r="F19" s="363">
        <f t="shared" si="1"/>
        <v>0</v>
      </c>
    </row>
    <row r="20" spans="1:6" s="6" customFormat="1" ht="21.75" customHeight="1">
      <c r="A20" s="364">
        <v>1060400000</v>
      </c>
      <c r="B20" s="369" t="s">
        <v>266</v>
      </c>
      <c r="C20" s="366">
        <v>2731.2</v>
      </c>
      <c r="D20" s="367">
        <v>203.47613000000001</v>
      </c>
      <c r="E20" s="366">
        <f t="shared" si="0"/>
        <v>7.4500633421206803</v>
      </c>
      <c r="F20" s="366">
        <f t="shared" si="1"/>
        <v>-2527.7238699999998</v>
      </c>
    </row>
    <row r="21" spans="1:6" ht="31.5" customHeight="1">
      <c r="A21" s="364">
        <v>1060600000</v>
      </c>
      <c r="B21" s="369" t="s">
        <v>7</v>
      </c>
      <c r="C21" s="366"/>
      <c r="D21" s="367"/>
      <c r="E21" s="366"/>
      <c r="F21" s="366">
        <f t="shared" si="1"/>
        <v>0</v>
      </c>
    </row>
    <row r="22" spans="1:6" s="6" customFormat="1" ht="42" customHeight="1">
      <c r="A22" s="361">
        <v>1070000</v>
      </c>
      <c r="B22" s="368" t="s">
        <v>9</v>
      </c>
      <c r="C22" s="363">
        <f>SUM(C23)</f>
        <v>1320</v>
      </c>
      <c r="D22" s="363">
        <f>SUM(D23)</f>
        <v>4760.2740000000003</v>
      </c>
      <c r="E22" s="363">
        <f t="shared" si="0"/>
        <v>360.62681818181818</v>
      </c>
      <c r="F22" s="363">
        <f t="shared" si="1"/>
        <v>3440.2740000000003</v>
      </c>
    </row>
    <row r="23" spans="1:6" ht="41.25" customHeight="1">
      <c r="A23" s="364">
        <v>1070102001</v>
      </c>
      <c r="B23" s="365" t="s">
        <v>234</v>
      </c>
      <c r="C23" s="366">
        <v>1320</v>
      </c>
      <c r="D23" s="367">
        <v>4760.2740000000003</v>
      </c>
      <c r="E23" s="366">
        <f t="shared" si="0"/>
        <v>360.62681818181818</v>
      </c>
      <c r="F23" s="366">
        <f t="shared" si="1"/>
        <v>3440.2740000000003</v>
      </c>
    </row>
    <row r="24" spans="1:6" s="6" customFormat="1" ht="20.25">
      <c r="A24" s="361">
        <v>1080000</v>
      </c>
      <c r="B24" s="362" t="s">
        <v>10</v>
      </c>
      <c r="C24" s="363">
        <f>C25+C26+C27</f>
        <v>2700</v>
      </c>
      <c r="D24" s="363">
        <f>D25+D26+D27</f>
        <v>602.54841999999996</v>
      </c>
      <c r="E24" s="363">
        <f t="shared" si="0"/>
        <v>22.316608148148148</v>
      </c>
      <c r="F24" s="363">
        <f t="shared" si="1"/>
        <v>-2097.4515799999999</v>
      </c>
    </row>
    <row r="25" spans="1:6" ht="34.5" customHeight="1">
      <c r="A25" s="364">
        <v>1080300001</v>
      </c>
      <c r="B25" s="365" t="s">
        <v>235</v>
      </c>
      <c r="C25" s="366">
        <v>2700</v>
      </c>
      <c r="D25" s="437">
        <v>602.54841999999996</v>
      </c>
      <c r="E25" s="366">
        <f t="shared" si="0"/>
        <v>22.316608148148148</v>
      </c>
      <c r="F25" s="366">
        <f t="shared" si="1"/>
        <v>-2097.4515799999999</v>
      </c>
    </row>
    <row r="26" spans="1:6" ht="33.75" hidden="1" customHeight="1">
      <c r="A26" s="364">
        <v>1080600001</v>
      </c>
      <c r="B26" s="365" t="s">
        <v>224</v>
      </c>
      <c r="C26" s="366">
        <v>0</v>
      </c>
      <c r="D26" s="367">
        <v>0</v>
      </c>
      <c r="E26" s="366"/>
      <c r="F26" s="366">
        <f t="shared" si="1"/>
        <v>0</v>
      </c>
    </row>
    <row r="27" spans="1:6" ht="87.75" hidden="1" customHeight="1">
      <c r="A27" s="364">
        <v>1080700001</v>
      </c>
      <c r="B27" s="365" t="s">
        <v>223</v>
      </c>
      <c r="C27" s="366">
        <v>0</v>
      </c>
      <c r="D27" s="367"/>
      <c r="E27" s="366"/>
      <c r="F27" s="366">
        <f t="shared" si="1"/>
        <v>0</v>
      </c>
    </row>
    <row r="28" spans="1:6" s="15" customFormat="1" ht="40.5">
      <c r="A28" s="361">
        <v>109000000</v>
      </c>
      <c r="B28" s="368" t="s">
        <v>227</v>
      </c>
      <c r="C28" s="363">
        <f>C29+C30+C31+C32</f>
        <v>0</v>
      </c>
      <c r="D28" s="363">
        <f>D29+D30+D31+D32</f>
        <v>0</v>
      </c>
      <c r="E28" s="366"/>
      <c r="F28" s="363">
        <f t="shared" si="1"/>
        <v>0</v>
      </c>
    </row>
    <row r="29" spans="1:6" s="15" customFormat="1" ht="17.25" customHeight="1">
      <c r="A29" s="364">
        <v>1090100000</v>
      </c>
      <c r="B29" s="365" t="s">
        <v>122</v>
      </c>
      <c r="C29" s="366">
        <v>0</v>
      </c>
      <c r="D29" s="367">
        <v>0</v>
      </c>
      <c r="E29" s="366"/>
      <c r="F29" s="366">
        <f t="shared" si="1"/>
        <v>0</v>
      </c>
    </row>
    <row r="30" spans="1:6" s="15" customFormat="1" ht="17.25" customHeight="1">
      <c r="A30" s="364">
        <v>1090400000</v>
      </c>
      <c r="B30" s="365" t="s">
        <v>123</v>
      </c>
      <c r="C30" s="366">
        <v>0</v>
      </c>
      <c r="D30" s="367">
        <v>0</v>
      </c>
      <c r="E30" s="366"/>
      <c r="F30" s="366">
        <f t="shared" si="1"/>
        <v>0</v>
      </c>
    </row>
    <row r="31" spans="1:6" s="15" customFormat="1" ht="33.75" customHeight="1">
      <c r="A31" s="364">
        <v>1090600000</v>
      </c>
      <c r="B31" s="365" t="s">
        <v>124</v>
      </c>
      <c r="C31" s="366">
        <v>0</v>
      </c>
      <c r="D31" s="367">
        <v>0</v>
      </c>
      <c r="E31" s="366"/>
      <c r="F31" s="366">
        <f t="shared" si="1"/>
        <v>0</v>
      </c>
    </row>
    <row r="32" spans="1:6" s="15" customFormat="1" ht="1.5" customHeight="1">
      <c r="A32" s="364">
        <v>1090700000</v>
      </c>
      <c r="B32" s="365" t="s">
        <v>125</v>
      </c>
      <c r="C32" s="366">
        <v>0</v>
      </c>
      <c r="D32" s="367">
        <v>0</v>
      </c>
      <c r="E32" s="366" t="e">
        <f t="shared" si="0"/>
        <v>#DIV/0!</v>
      </c>
      <c r="F32" s="366">
        <f t="shared" si="1"/>
        <v>0</v>
      </c>
    </row>
    <row r="33" spans="1:6" s="6" customFormat="1" ht="33.75" customHeight="1">
      <c r="A33" s="361"/>
      <c r="B33" s="362" t="s">
        <v>12</v>
      </c>
      <c r="C33" s="363">
        <f>C34+C43+C45+C48+C51+C53+C58</f>
        <v>15690</v>
      </c>
      <c r="D33" s="363">
        <f>D34+D43+D45+D48+D51+D53+D58</f>
        <v>5519.5742099999998</v>
      </c>
      <c r="E33" s="363">
        <f t="shared" si="0"/>
        <v>35.178930592734226</v>
      </c>
      <c r="F33" s="363">
        <f t="shared" si="1"/>
        <v>-10170.425790000001</v>
      </c>
    </row>
    <row r="34" spans="1:6" s="6" customFormat="1" ht="60.75" customHeight="1">
      <c r="A34" s="361">
        <v>1110000</v>
      </c>
      <c r="B34" s="368" t="s">
        <v>126</v>
      </c>
      <c r="C34" s="363">
        <f>SUM(C35:C42)</f>
        <v>9140</v>
      </c>
      <c r="D34" s="363">
        <f>SUM(D35+D37+D38+D40+D41+D42)</f>
        <v>2398.3397899999995</v>
      </c>
      <c r="E34" s="363">
        <f t="shared" si="0"/>
        <v>26.240041466083149</v>
      </c>
      <c r="F34" s="363">
        <f t="shared" si="1"/>
        <v>-6741.66021</v>
      </c>
    </row>
    <row r="35" spans="1:6" s="6" customFormat="1" ht="34.5" customHeight="1">
      <c r="A35" s="364">
        <v>1110105005</v>
      </c>
      <c r="B35" s="365" t="s">
        <v>306</v>
      </c>
      <c r="C35" s="366">
        <v>10</v>
      </c>
      <c r="D35" s="366">
        <v>44.585999999999999</v>
      </c>
      <c r="E35" s="366">
        <f t="shared" si="0"/>
        <v>445.85999999999996</v>
      </c>
      <c r="F35" s="366">
        <f t="shared" si="1"/>
        <v>34.585999999999999</v>
      </c>
    </row>
    <row r="36" spans="1:6" ht="27.75" hidden="1" customHeight="1">
      <c r="A36" s="364">
        <v>1110305005</v>
      </c>
      <c r="B36" s="369" t="s">
        <v>236</v>
      </c>
      <c r="C36" s="366">
        <v>0</v>
      </c>
      <c r="D36" s="367">
        <v>0</v>
      </c>
      <c r="E36" s="366"/>
      <c r="F36" s="366">
        <f t="shared" si="1"/>
        <v>0</v>
      </c>
    </row>
    <row r="37" spans="1:6" ht="20.25">
      <c r="A37" s="371">
        <v>1110501101</v>
      </c>
      <c r="B37" s="372" t="s">
        <v>222</v>
      </c>
      <c r="C37" s="370">
        <v>8300</v>
      </c>
      <c r="D37" s="367">
        <v>2163.4771799999999</v>
      </c>
      <c r="E37" s="366">
        <f t="shared" si="0"/>
        <v>26.065990120481924</v>
      </c>
      <c r="F37" s="366">
        <f t="shared" si="1"/>
        <v>-6136.5228200000001</v>
      </c>
    </row>
    <row r="38" spans="1:6" ht="18.75" customHeight="1">
      <c r="A38" s="364">
        <v>1110503505</v>
      </c>
      <c r="B38" s="369" t="s">
        <v>221</v>
      </c>
      <c r="C38" s="370">
        <v>250</v>
      </c>
      <c r="D38" s="367">
        <v>63.734340000000003</v>
      </c>
      <c r="E38" s="366">
        <f t="shared" si="0"/>
        <v>25.493735999999998</v>
      </c>
      <c r="F38" s="366">
        <f t="shared" si="1"/>
        <v>-186.26566</v>
      </c>
    </row>
    <row r="39" spans="1:6" ht="131.25" hidden="1" customHeight="1">
      <c r="A39" s="364">
        <v>1110502000</v>
      </c>
      <c r="B39" s="365" t="s">
        <v>263</v>
      </c>
      <c r="C39" s="373">
        <v>0</v>
      </c>
      <c r="D39" s="367">
        <v>0</v>
      </c>
      <c r="E39" s="366" t="e">
        <f t="shared" si="0"/>
        <v>#DIV/0!</v>
      </c>
      <c r="F39" s="366">
        <f t="shared" si="1"/>
        <v>0</v>
      </c>
    </row>
    <row r="40" spans="1:6" s="15" customFormat="1" ht="20.25">
      <c r="A40" s="364">
        <v>1110701505</v>
      </c>
      <c r="B40" s="369" t="s">
        <v>237</v>
      </c>
      <c r="C40" s="370">
        <v>50</v>
      </c>
      <c r="D40" s="367">
        <v>13.106999999999999</v>
      </c>
      <c r="E40" s="366">
        <f t="shared" si="0"/>
        <v>26.213999999999999</v>
      </c>
      <c r="F40" s="366">
        <f t="shared" si="1"/>
        <v>-36.893000000000001</v>
      </c>
    </row>
    <row r="41" spans="1:6" s="15" customFormat="1" ht="20.25">
      <c r="A41" s="364">
        <v>1110903000</v>
      </c>
      <c r="B41" s="369" t="s">
        <v>392</v>
      </c>
      <c r="C41" s="370">
        <v>0</v>
      </c>
      <c r="D41" s="367">
        <v>0</v>
      </c>
      <c r="E41" s="366"/>
      <c r="F41" s="366">
        <f>SUM(D41-C41)</f>
        <v>0</v>
      </c>
    </row>
    <row r="42" spans="1:6" s="15" customFormat="1" ht="20.25">
      <c r="A42" s="364">
        <v>1110904505</v>
      </c>
      <c r="B42" s="369" t="s">
        <v>318</v>
      </c>
      <c r="C42" s="370">
        <v>530</v>
      </c>
      <c r="D42" s="367">
        <v>113.43527</v>
      </c>
      <c r="E42" s="366">
        <f t="shared" si="0"/>
        <v>21.402881132075471</v>
      </c>
      <c r="F42" s="366">
        <f t="shared" si="1"/>
        <v>-416.56473</v>
      </c>
    </row>
    <row r="43" spans="1:6" s="15" customFormat="1" ht="40.5">
      <c r="A43" s="361">
        <v>1120000</v>
      </c>
      <c r="B43" s="368" t="s">
        <v>127</v>
      </c>
      <c r="C43" s="374">
        <f>C44</f>
        <v>1400</v>
      </c>
      <c r="D43" s="374">
        <f>D44</f>
        <v>317.70154000000002</v>
      </c>
      <c r="E43" s="363">
        <f t="shared" si="0"/>
        <v>22.692967142857146</v>
      </c>
      <c r="F43" s="363">
        <f t="shared" si="1"/>
        <v>-1082.29846</v>
      </c>
    </row>
    <row r="44" spans="1:6" s="15" customFormat="1" ht="40.5">
      <c r="A44" s="364">
        <v>1120100001</v>
      </c>
      <c r="B44" s="365" t="s">
        <v>238</v>
      </c>
      <c r="C44" s="366">
        <v>1400</v>
      </c>
      <c r="D44" s="367">
        <v>317.70154000000002</v>
      </c>
      <c r="E44" s="366">
        <f t="shared" si="0"/>
        <v>22.692967142857146</v>
      </c>
      <c r="F44" s="366">
        <f t="shared" si="1"/>
        <v>-1082.29846</v>
      </c>
    </row>
    <row r="45" spans="1:6" s="182" customFormat="1" ht="21.75" customHeight="1">
      <c r="A45" s="375">
        <v>1130000</v>
      </c>
      <c r="B45" s="376" t="s">
        <v>128</v>
      </c>
      <c r="C45" s="363">
        <f>C46+C47</f>
        <v>50</v>
      </c>
      <c r="D45" s="363">
        <f>D46+D47</f>
        <v>0.76173999999999997</v>
      </c>
      <c r="E45" s="363">
        <f t="shared" si="0"/>
        <v>1.5234799999999999</v>
      </c>
      <c r="F45" s="363">
        <f t="shared" si="1"/>
        <v>-49.238259999999997</v>
      </c>
    </row>
    <row r="46" spans="1:6" s="15" customFormat="1" ht="36" customHeight="1">
      <c r="A46" s="364">
        <v>1130200000</v>
      </c>
      <c r="B46" s="365" t="s">
        <v>316</v>
      </c>
      <c r="C46" s="366">
        <v>50</v>
      </c>
      <c r="D46" s="366">
        <v>0.76173999999999997</v>
      </c>
      <c r="E46" s="366">
        <f>SUM(D46/C46*100)</f>
        <v>1.5234799999999999</v>
      </c>
      <c r="F46" s="366">
        <f>SUM(D46-C46)</f>
        <v>-49.238259999999997</v>
      </c>
    </row>
    <row r="47" spans="1:6" ht="25.5" customHeight="1">
      <c r="A47" s="364">
        <v>1130305005</v>
      </c>
      <c r="B47" s="365" t="s">
        <v>220</v>
      </c>
      <c r="C47" s="366">
        <v>0</v>
      </c>
      <c r="D47" s="367">
        <v>0</v>
      </c>
      <c r="E47" s="366"/>
      <c r="F47" s="366">
        <f t="shared" si="1"/>
        <v>0</v>
      </c>
    </row>
    <row r="48" spans="1:6" ht="20.25" customHeight="1">
      <c r="A48" s="377">
        <v>1140000</v>
      </c>
      <c r="B48" s="378" t="s">
        <v>129</v>
      </c>
      <c r="C48" s="363">
        <f>C49+C50</f>
        <v>3500</v>
      </c>
      <c r="D48" s="363">
        <f>D49+D50</f>
        <v>2337.7159200000001</v>
      </c>
      <c r="E48" s="363">
        <f t="shared" si="0"/>
        <v>66.791883428571424</v>
      </c>
      <c r="F48" s="363">
        <f t="shared" si="1"/>
        <v>-1162.2840799999999</v>
      </c>
    </row>
    <row r="49" spans="1:8" ht="20.25">
      <c r="A49" s="371">
        <v>1140200000</v>
      </c>
      <c r="B49" s="379" t="s">
        <v>218</v>
      </c>
      <c r="C49" s="366">
        <v>1000</v>
      </c>
      <c r="D49" s="367">
        <v>0</v>
      </c>
      <c r="E49" s="366">
        <f t="shared" si="0"/>
        <v>0</v>
      </c>
      <c r="F49" s="366">
        <f t="shared" si="1"/>
        <v>-1000</v>
      </c>
    </row>
    <row r="50" spans="1:8" ht="24" customHeight="1">
      <c r="A50" s="364">
        <v>1140600000</v>
      </c>
      <c r="B50" s="365" t="s">
        <v>219</v>
      </c>
      <c r="C50" s="366">
        <v>2500</v>
      </c>
      <c r="D50" s="367">
        <v>2337.7159200000001</v>
      </c>
      <c r="E50" s="366">
        <f t="shared" si="0"/>
        <v>93.508636800000005</v>
      </c>
      <c r="F50" s="366">
        <f t="shared" si="1"/>
        <v>-162.2840799999999</v>
      </c>
    </row>
    <row r="51" spans="1:8" ht="0.75" hidden="1" customHeight="1">
      <c r="A51" s="361">
        <v>1150000000</v>
      </c>
      <c r="B51" s="368" t="s">
        <v>231</v>
      </c>
      <c r="C51" s="363">
        <f>C52</f>
        <v>0</v>
      </c>
      <c r="D51" s="363">
        <f>D52</f>
        <v>0</v>
      </c>
      <c r="E51" s="363" t="e">
        <f t="shared" si="0"/>
        <v>#DIV/0!</v>
      </c>
      <c r="F51" s="363">
        <f t="shared" si="1"/>
        <v>0</v>
      </c>
    </row>
    <row r="52" spans="1:8" ht="61.5" hidden="1" customHeight="1">
      <c r="A52" s="364">
        <v>1150205005</v>
      </c>
      <c r="B52" s="365" t="s">
        <v>232</v>
      </c>
      <c r="C52" s="366">
        <v>0</v>
      </c>
      <c r="D52" s="367">
        <v>0</v>
      </c>
      <c r="E52" s="366" t="e">
        <f t="shared" si="0"/>
        <v>#DIV/0!</v>
      </c>
      <c r="F52" s="366">
        <f t="shared" si="1"/>
        <v>0</v>
      </c>
    </row>
    <row r="53" spans="1:8" ht="40.5">
      <c r="A53" s="361">
        <v>1160000</v>
      </c>
      <c r="B53" s="368" t="s">
        <v>131</v>
      </c>
      <c r="C53" s="363">
        <f>SUM(C54:C57)</f>
        <v>1600</v>
      </c>
      <c r="D53" s="363">
        <f>SUM(D54:D57)</f>
        <v>465.05522000000002</v>
      </c>
      <c r="E53" s="363">
        <f>SUM(D53/C53*100)</f>
        <v>29.065951249999998</v>
      </c>
      <c r="F53" s="363">
        <f t="shared" si="1"/>
        <v>-1134.94478</v>
      </c>
      <c r="H53" s="147"/>
    </row>
    <row r="54" spans="1:8" ht="36.75" customHeight="1">
      <c r="A54" s="364">
        <v>1160100001</v>
      </c>
      <c r="B54" s="365" t="s">
        <v>405</v>
      </c>
      <c r="C54" s="366">
        <v>1065</v>
      </c>
      <c r="D54" s="380">
        <v>354.37608</v>
      </c>
      <c r="E54" s="366">
        <f>SUM(D54/C54*100)</f>
        <v>33.274749295774647</v>
      </c>
      <c r="F54" s="366">
        <f t="shared" si="1"/>
        <v>-710.62392</v>
      </c>
    </row>
    <row r="55" spans="1:8" ht="39.75" customHeight="1">
      <c r="A55" s="364">
        <v>1160709000</v>
      </c>
      <c r="B55" s="365" t="s">
        <v>404</v>
      </c>
      <c r="C55" s="366">
        <v>300</v>
      </c>
      <c r="D55" s="381">
        <v>21.082470000000001</v>
      </c>
      <c r="E55" s="366">
        <f t="shared" si="0"/>
        <v>7.0274900000000002</v>
      </c>
      <c r="F55" s="366">
        <f t="shared" si="1"/>
        <v>-278.91753</v>
      </c>
    </row>
    <row r="56" spans="1:8" ht="41.25" customHeight="1">
      <c r="A56" s="364">
        <v>1161012000</v>
      </c>
      <c r="B56" s="365" t="s">
        <v>406</v>
      </c>
      <c r="C56" s="382">
        <v>235</v>
      </c>
      <c r="D56" s="381">
        <v>49.596670000000003</v>
      </c>
      <c r="E56" s="366">
        <f t="shared" si="0"/>
        <v>21.104965957446808</v>
      </c>
      <c r="F56" s="366">
        <f t="shared" si="1"/>
        <v>-185.40332999999998</v>
      </c>
    </row>
    <row r="57" spans="1:8" ht="41.25" customHeight="1">
      <c r="A57" s="364">
        <v>1161100001</v>
      </c>
      <c r="B57" s="365" t="s">
        <v>408</v>
      </c>
      <c r="C57" s="382">
        <v>0</v>
      </c>
      <c r="D57" s="381">
        <v>40</v>
      </c>
      <c r="E57" s="366" t="e">
        <f t="shared" si="0"/>
        <v>#DIV/0!</v>
      </c>
      <c r="F57" s="366">
        <f t="shared" si="1"/>
        <v>40</v>
      </c>
    </row>
    <row r="58" spans="1:8" ht="25.5" customHeight="1">
      <c r="A58" s="361">
        <v>1170000</v>
      </c>
      <c r="B58" s="368" t="s">
        <v>132</v>
      </c>
      <c r="C58" s="363">
        <f>C59+C60</f>
        <v>0</v>
      </c>
      <c r="D58" s="363">
        <f>D59+D60</f>
        <v>0</v>
      </c>
      <c r="E58" s="366" t="e">
        <f t="shared" si="0"/>
        <v>#DIV/0!</v>
      </c>
      <c r="F58" s="363">
        <f t="shared" si="1"/>
        <v>0</v>
      </c>
    </row>
    <row r="59" spans="1:8" ht="20.25">
      <c r="A59" s="364">
        <v>1170105005</v>
      </c>
      <c r="B59" s="365" t="s">
        <v>15</v>
      </c>
      <c r="C59" s="366">
        <v>0</v>
      </c>
      <c r="D59" s="366">
        <v>0</v>
      </c>
      <c r="E59" s="366" t="e">
        <f t="shared" si="0"/>
        <v>#DIV/0!</v>
      </c>
      <c r="F59" s="366">
        <f t="shared" si="1"/>
        <v>0</v>
      </c>
    </row>
    <row r="60" spans="1:8" ht="20.25">
      <c r="A60" s="364">
        <v>1170505005</v>
      </c>
      <c r="B60" s="369" t="s">
        <v>217</v>
      </c>
      <c r="C60" s="366">
        <v>0</v>
      </c>
      <c r="D60" s="367">
        <v>0</v>
      </c>
      <c r="E60" s="366" t="e">
        <f t="shared" si="0"/>
        <v>#DIV/0!</v>
      </c>
      <c r="F60" s="366">
        <f t="shared" si="1"/>
        <v>0</v>
      </c>
    </row>
    <row r="61" spans="1:8" s="6" customFormat="1" ht="20.25">
      <c r="A61" s="361">
        <v>100000</v>
      </c>
      <c r="B61" s="362" t="s">
        <v>16</v>
      </c>
      <c r="C61" s="470">
        <f>SUM(C4,C33)</f>
        <v>180013.60000000003</v>
      </c>
      <c r="D61" s="470">
        <f>SUM(D4,D33)</f>
        <v>47694.762759999991</v>
      </c>
      <c r="E61" s="363">
        <f>SUM(D61/C61*100)</f>
        <v>26.495088571085727</v>
      </c>
      <c r="F61" s="363">
        <f>SUM(D61-C61)</f>
        <v>-132318.83724000005</v>
      </c>
      <c r="G61" s="93"/>
      <c r="H61" s="93"/>
    </row>
    <row r="62" spans="1:8" s="6" customFormat="1" ht="30" customHeight="1">
      <c r="A62" s="361">
        <v>200000</v>
      </c>
      <c r="B62" s="362" t="s">
        <v>17</v>
      </c>
      <c r="C62" s="479">
        <f>C63+C66+C67+C68+C70+C65+C69</f>
        <v>765367.21286999993</v>
      </c>
      <c r="D62" s="479">
        <f>D63+D66+D67+D68+D70+D65+D69</f>
        <v>163299.66571999999</v>
      </c>
      <c r="E62" s="363">
        <f t="shared" si="0"/>
        <v>21.336119835556239</v>
      </c>
      <c r="F62" s="363">
        <f t="shared" si="1"/>
        <v>-602067.54715</v>
      </c>
      <c r="G62" s="93"/>
      <c r="H62" s="93"/>
    </row>
    <row r="63" spans="1:8" ht="21.75" customHeight="1">
      <c r="A63" s="371">
        <v>2021000000</v>
      </c>
      <c r="B63" s="372" t="s">
        <v>18</v>
      </c>
      <c r="C63" s="370">
        <v>1796.8</v>
      </c>
      <c r="D63" s="383">
        <v>449.1</v>
      </c>
      <c r="E63" s="366">
        <f t="shared" si="0"/>
        <v>24.994434550311666</v>
      </c>
      <c r="F63" s="366">
        <f t="shared" si="1"/>
        <v>-1347.6999999999998</v>
      </c>
    </row>
    <row r="64" spans="1:8" ht="0.75" customHeight="1">
      <c r="A64" s="371">
        <v>2020100905</v>
      </c>
      <c r="B64" s="379" t="s">
        <v>262</v>
      </c>
      <c r="C64" s="370">
        <v>0</v>
      </c>
      <c r="D64" s="383" t="s">
        <v>400</v>
      </c>
      <c r="E64" s="366" t="e">
        <f t="shared" si="0"/>
        <v>#VALUE!</v>
      </c>
      <c r="F64" s="366" t="e">
        <f t="shared" si="1"/>
        <v>#VALUE!</v>
      </c>
    </row>
    <row r="65" spans="1:8" ht="0.75" customHeight="1">
      <c r="A65" s="371">
        <v>2021500200</v>
      </c>
      <c r="B65" s="372" t="s">
        <v>228</v>
      </c>
      <c r="C65" s="370"/>
      <c r="D65" s="383"/>
      <c r="E65" s="366" t="e">
        <f t="shared" si="0"/>
        <v>#DIV/0!</v>
      </c>
      <c r="F65" s="366">
        <f t="shared" si="1"/>
        <v>0</v>
      </c>
    </row>
    <row r="66" spans="1:8" ht="20.25">
      <c r="A66" s="371">
        <v>2022000000</v>
      </c>
      <c r="B66" s="372" t="s">
        <v>19</v>
      </c>
      <c r="C66" s="370">
        <v>275355.49472999998</v>
      </c>
      <c r="D66" s="367">
        <v>31357.096949999999</v>
      </c>
      <c r="E66" s="366">
        <f t="shared" si="0"/>
        <v>11.387859530730346</v>
      </c>
      <c r="F66" s="366">
        <f t="shared" si="1"/>
        <v>-243998.39777999997</v>
      </c>
    </row>
    <row r="67" spans="1:8" ht="20.25">
      <c r="A67" s="371">
        <v>2023000000</v>
      </c>
      <c r="B67" s="372" t="s">
        <v>20</v>
      </c>
      <c r="C67" s="370">
        <v>443643.88199999998</v>
      </c>
      <c r="D67" s="384">
        <v>119088.07988</v>
      </c>
      <c r="E67" s="366">
        <f t="shared" si="0"/>
        <v>26.843169648398309</v>
      </c>
      <c r="F67" s="366">
        <f t="shared" si="1"/>
        <v>-324555.80212000001</v>
      </c>
    </row>
    <row r="68" spans="1:8" ht="19.5" customHeight="1">
      <c r="A68" s="371">
        <v>2024000000</v>
      </c>
      <c r="B68" s="379" t="s">
        <v>21</v>
      </c>
      <c r="C68" s="370">
        <v>44583.199999999997</v>
      </c>
      <c r="D68" s="385">
        <v>10568.615</v>
      </c>
      <c r="E68" s="366">
        <f t="shared" si="0"/>
        <v>23.705375567478335</v>
      </c>
      <c r="F68" s="366">
        <f t="shared" si="1"/>
        <v>-34014.584999999999</v>
      </c>
    </row>
    <row r="69" spans="1:8" ht="20.25">
      <c r="A69" s="371">
        <v>2180500005</v>
      </c>
      <c r="B69" s="379" t="s">
        <v>311</v>
      </c>
      <c r="C69" s="370">
        <v>0</v>
      </c>
      <c r="D69" s="385">
        <v>1848.9377500000001</v>
      </c>
      <c r="E69" s="366" t="e">
        <f t="shared" si="0"/>
        <v>#DIV/0!</v>
      </c>
      <c r="F69" s="366">
        <f t="shared" si="1"/>
        <v>1848.9377500000001</v>
      </c>
    </row>
    <row r="70" spans="1:8" ht="16.5" customHeight="1">
      <c r="A70" s="364">
        <v>2196001005</v>
      </c>
      <c r="B70" s="369" t="s">
        <v>23</v>
      </c>
      <c r="C70" s="367">
        <v>-12.16386</v>
      </c>
      <c r="D70" s="367">
        <v>-12.16386</v>
      </c>
      <c r="E70" s="366">
        <f t="shared" si="0"/>
        <v>100</v>
      </c>
      <c r="F70" s="366">
        <f>SUM(D70-C70)</f>
        <v>0</v>
      </c>
    </row>
    <row r="71" spans="1:8" s="6" customFormat="1" ht="22.5" hidden="1" customHeight="1">
      <c r="A71" s="364">
        <v>3000000000</v>
      </c>
      <c r="B71" s="368" t="s">
        <v>24</v>
      </c>
      <c r="C71" s="374">
        <v>0</v>
      </c>
      <c r="D71" s="386">
        <v>0</v>
      </c>
      <c r="E71" s="366" t="e">
        <f t="shared" si="0"/>
        <v>#DIV/0!</v>
      </c>
      <c r="F71" s="363">
        <f t="shared" si="1"/>
        <v>0</v>
      </c>
    </row>
    <row r="72" spans="1:8" s="6" customFormat="1" ht="22.5" customHeight="1">
      <c r="A72" s="361"/>
      <c r="B72" s="362" t="s">
        <v>25</v>
      </c>
      <c r="C72" s="478">
        <f>C61+C62</f>
        <v>945380.81287000002</v>
      </c>
      <c r="D72" s="478">
        <f>D61+D62</f>
        <v>210994.42847999997</v>
      </c>
      <c r="E72" s="366">
        <f>SUM(D72/C72*100)</f>
        <v>22.318458932909817</v>
      </c>
      <c r="F72" s="363">
        <f>SUM(D73-C72)</f>
        <v>-938091.30861000007</v>
      </c>
      <c r="G72" s="208"/>
      <c r="H72" s="93"/>
    </row>
    <row r="73" spans="1:8" s="6" customFormat="1" ht="20.25">
      <c r="A73" s="361"/>
      <c r="B73" s="387" t="s">
        <v>307</v>
      </c>
      <c r="C73" s="388">
        <f>C72-C133</f>
        <v>-44088.807959999889</v>
      </c>
      <c r="D73" s="363">
        <f>D72-D133</f>
        <v>7289.504259999987</v>
      </c>
      <c r="E73" s="389"/>
      <c r="F73" s="389"/>
      <c r="G73" s="93"/>
      <c r="H73" s="93"/>
    </row>
    <row r="74" spans="1:8" ht="20.25">
      <c r="A74" s="390"/>
      <c r="B74" s="391"/>
      <c r="C74" s="392"/>
      <c r="D74" s="392"/>
      <c r="E74" s="393"/>
      <c r="F74" s="393"/>
    </row>
    <row r="75" spans="1:8" ht="81">
      <c r="A75" s="394" t="s">
        <v>0</v>
      </c>
      <c r="B75" s="394" t="s">
        <v>26</v>
      </c>
      <c r="C75" s="358" t="s">
        <v>410</v>
      </c>
      <c r="D75" s="359" t="s">
        <v>415</v>
      </c>
      <c r="E75" s="358" t="s">
        <v>2</v>
      </c>
      <c r="F75" s="360" t="s">
        <v>3</v>
      </c>
    </row>
    <row r="76" spans="1:8" ht="20.25">
      <c r="A76" s="395">
        <v>1</v>
      </c>
      <c r="B76" s="394">
        <v>2</v>
      </c>
      <c r="C76" s="396">
        <v>3</v>
      </c>
      <c r="D76" s="480">
        <v>4</v>
      </c>
      <c r="E76" s="396">
        <v>5</v>
      </c>
      <c r="F76" s="396">
        <v>6</v>
      </c>
    </row>
    <row r="77" spans="1:8" s="6" customFormat="1" ht="22.5" customHeight="1">
      <c r="A77" s="397" t="s">
        <v>27</v>
      </c>
      <c r="B77" s="398" t="s">
        <v>28</v>
      </c>
      <c r="C77" s="389">
        <f>SUM(C78+C79+C80+C81+C82+C83+C84)</f>
        <v>45976.278740000002</v>
      </c>
      <c r="D77" s="389">
        <f>SUM(D78:D84)</f>
        <v>9302.1956800000007</v>
      </c>
      <c r="E77" s="399">
        <f>SUM(D77/C77*100)</f>
        <v>20.232598059109471</v>
      </c>
      <c r="F77" s="399">
        <f>SUM(D77-C77)</f>
        <v>-36674.083060000004</v>
      </c>
    </row>
    <row r="78" spans="1:8" s="6" customFormat="1" ht="40.5">
      <c r="A78" s="400" t="s">
        <v>29</v>
      </c>
      <c r="B78" s="401" t="s">
        <v>30</v>
      </c>
      <c r="C78" s="402">
        <v>50</v>
      </c>
      <c r="D78" s="402">
        <v>0</v>
      </c>
      <c r="E78" s="399">
        <f>SUM(D78/C78*100)</f>
        <v>0</v>
      </c>
      <c r="F78" s="399">
        <f>SUM(D78-C78)</f>
        <v>-50</v>
      </c>
    </row>
    <row r="79" spans="1:8" ht="21.75" customHeight="1">
      <c r="A79" s="400" t="s">
        <v>31</v>
      </c>
      <c r="B79" s="403" t="s">
        <v>32</v>
      </c>
      <c r="C79" s="402">
        <v>27841.028999999999</v>
      </c>
      <c r="D79" s="402">
        <v>4698.5528800000002</v>
      </c>
      <c r="E79" s="404">
        <f t="shared" ref="E79:E133" si="2">SUM(D79/C79*100)</f>
        <v>16.876362148827187</v>
      </c>
      <c r="F79" s="404">
        <f t="shared" ref="F79:F133" si="3">SUM(D79-C79)</f>
        <v>-23142.476119999999</v>
      </c>
    </row>
    <row r="80" spans="1:8" ht="19.5" customHeight="1">
      <c r="A80" s="400" t="s">
        <v>33</v>
      </c>
      <c r="B80" s="403" t="s">
        <v>34</v>
      </c>
      <c r="C80" s="402">
        <v>91.7</v>
      </c>
      <c r="D80" s="402">
        <v>0</v>
      </c>
      <c r="E80" s="404">
        <f t="shared" si="2"/>
        <v>0</v>
      </c>
      <c r="F80" s="404">
        <f t="shared" si="3"/>
        <v>-91.7</v>
      </c>
    </row>
    <row r="81" spans="1:7" ht="38.25" customHeight="1">
      <c r="A81" s="400" t="s">
        <v>35</v>
      </c>
      <c r="B81" s="403" t="s">
        <v>36</v>
      </c>
      <c r="C81" s="405">
        <v>5867.48182</v>
      </c>
      <c r="D81" s="405">
        <v>1281.3108</v>
      </c>
      <c r="E81" s="404">
        <f t="shared" si="2"/>
        <v>21.837490755105566</v>
      </c>
      <c r="F81" s="404">
        <f t="shared" si="3"/>
        <v>-4586.1710199999998</v>
      </c>
    </row>
    <row r="82" spans="1:7" ht="18.75" customHeight="1">
      <c r="A82" s="400" t="s">
        <v>37</v>
      </c>
      <c r="B82" s="403" t="s">
        <v>38</v>
      </c>
      <c r="C82" s="402"/>
      <c r="D82" s="402">
        <v>0</v>
      </c>
      <c r="E82" s="404" t="e">
        <f t="shared" si="2"/>
        <v>#DIV/0!</v>
      </c>
      <c r="F82" s="404">
        <f t="shared" si="3"/>
        <v>0</v>
      </c>
    </row>
    <row r="83" spans="1:7" ht="24.75" customHeight="1">
      <c r="A83" s="400" t="s">
        <v>39</v>
      </c>
      <c r="B83" s="403" t="s">
        <v>40</v>
      </c>
      <c r="C83" s="405">
        <v>838.34691999999995</v>
      </c>
      <c r="D83" s="405">
        <v>0</v>
      </c>
      <c r="E83" s="404">
        <f t="shared" si="2"/>
        <v>0</v>
      </c>
      <c r="F83" s="404">
        <f t="shared" si="3"/>
        <v>-838.34691999999995</v>
      </c>
    </row>
    <row r="84" spans="1:7" ht="24" customHeight="1">
      <c r="A84" s="400" t="s">
        <v>41</v>
      </c>
      <c r="B84" s="403" t="s">
        <v>42</v>
      </c>
      <c r="C84" s="402">
        <v>11287.721</v>
      </c>
      <c r="D84" s="402">
        <v>3322.3319999999999</v>
      </c>
      <c r="E84" s="404">
        <f t="shared" si="2"/>
        <v>29.43315129776861</v>
      </c>
      <c r="F84" s="404">
        <f t="shared" si="3"/>
        <v>-7965.3889999999992</v>
      </c>
    </row>
    <row r="85" spans="1:7" s="6" customFormat="1" ht="20.25">
      <c r="A85" s="406" t="s">
        <v>43</v>
      </c>
      <c r="B85" s="407" t="s">
        <v>44</v>
      </c>
      <c r="C85" s="389">
        <f>C86</f>
        <v>2404.8000000000002</v>
      </c>
      <c r="D85" s="389">
        <f>D86</f>
        <v>598.79999999999995</v>
      </c>
      <c r="E85" s="399">
        <f t="shared" si="2"/>
        <v>24.900199600798402</v>
      </c>
      <c r="F85" s="399">
        <f t="shared" si="3"/>
        <v>-1806.0000000000002</v>
      </c>
    </row>
    <row r="86" spans="1:7" ht="20.25">
      <c r="A86" s="408" t="s">
        <v>45</v>
      </c>
      <c r="B86" s="409" t="s">
        <v>46</v>
      </c>
      <c r="C86" s="402">
        <v>2404.8000000000002</v>
      </c>
      <c r="D86" s="402">
        <v>598.79999999999995</v>
      </c>
      <c r="E86" s="404">
        <f t="shared" si="2"/>
        <v>24.900199600798402</v>
      </c>
      <c r="F86" s="404">
        <f t="shared" si="3"/>
        <v>-1806.0000000000002</v>
      </c>
    </row>
    <row r="87" spans="1:7" s="6" customFormat="1" ht="21" customHeight="1">
      <c r="A87" s="397" t="s">
        <v>47</v>
      </c>
      <c r="B87" s="398" t="s">
        <v>48</v>
      </c>
      <c r="C87" s="389">
        <f>SUM(C89:C92)</f>
        <v>5230.16</v>
      </c>
      <c r="D87" s="389">
        <f>SUM(D89:D92)</f>
        <v>891.57157000000007</v>
      </c>
      <c r="E87" s="399">
        <f t="shared" si="2"/>
        <v>17.046736046315985</v>
      </c>
      <c r="F87" s="399">
        <f t="shared" si="3"/>
        <v>-4338.5884299999998</v>
      </c>
    </row>
    <row r="88" spans="1:7" ht="23.25" customHeight="1">
      <c r="A88" s="400" t="s">
        <v>49</v>
      </c>
      <c r="B88" s="403" t="s">
        <v>50</v>
      </c>
      <c r="C88" s="402"/>
      <c r="D88" s="402"/>
      <c r="E88" s="404" t="e">
        <f t="shared" si="2"/>
        <v>#DIV/0!</v>
      </c>
      <c r="F88" s="404">
        <f t="shared" si="3"/>
        <v>0</v>
      </c>
    </row>
    <row r="89" spans="1:7" ht="20.25">
      <c r="A89" s="410" t="s">
        <v>51</v>
      </c>
      <c r="B89" s="403" t="s">
        <v>313</v>
      </c>
      <c r="C89" s="402">
        <v>1254.8</v>
      </c>
      <c r="D89" s="402">
        <v>313.7</v>
      </c>
      <c r="E89" s="404">
        <f t="shared" si="2"/>
        <v>25</v>
      </c>
      <c r="F89" s="404">
        <f t="shared" si="3"/>
        <v>-941.09999999999991</v>
      </c>
    </row>
    <row r="90" spans="1:7" ht="36.75" customHeight="1">
      <c r="A90" s="411" t="s">
        <v>53</v>
      </c>
      <c r="B90" s="412" t="s">
        <v>54</v>
      </c>
      <c r="C90" s="402">
        <v>3168.1</v>
      </c>
      <c r="D90" s="402">
        <v>570.61157000000003</v>
      </c>
      <c r="E90" s="404">
        <f t="shared" si="2"/>
        <v>18.011160316909187</v>
      </c>
      <c r="F90" s="404">
        <f t="shared" si="3"/>
        <v>-2597.4884299999999</v>
      </c>
    </row>
    <row r="91" spans="1:7" ht="21" customHeight="1">
      <c r="A91" s="411" t="s">
        <v>215</v>
      </c>
      <c r="B91" s="412" t="s">
        <v>216</v>
      </c>
      <c r="C91" s="402">
        <v>0</v>
      </c>
      <c r="D91" s="402">
        <v>0</v>
      </c>
      <c r="E91" s="404" t="e">
        <f t="shared" si="2"/>
        <v>#DIV/0!</v>
      </c>
      <c r="F91" s="404">
        <f t="shared" si="3"/>
        <v>0</v>
      </c>
    </row>
    <row r="92" spans="1:7" ht="34.5" customHeight="1">
      <c r="A92" s="411" t="s">
        <v>340</v>
      </c>
      <c r="B92" s="412" t="s">
        <v>341</v>
      </c>
      <c r="C92" s="413">
        <v>807.26</v>
      </c>
      <c r="D92" s="402">
        <v>7.26</v>
      </c>
      <c r="E92" s="404">
        <f t="shared" si="2"/>
        <v>0.89933850308450813</v>
      </c>
      <c r="F92" s="404">
        <f t="shared" si="3"/>
        <v>-800</v>
      </c>
    </row>
    <row r="93" spans="1:7" s="6" customFormat="1" ht="27" customHeight="1">
      <c r="A93" s="397" t="s">
        <v>55</v>
      </c>
      <c r="B93" s="398" t="s">
        <v>56</v>
      </c>
      <c r="C93" s="414">
        <f>SUM(C94:C98)</f>
        <v>134574.03227</v>
      </c>
      <c r="D93" s="414">
        <f>SUM(D94:D98)</f>
        <v>12910.466829999999</v>
      </c>
      <c r="E93" s="399">
        <f t="shared" si="2"/>
        <v>9.5935795429666069</v>
      </c>
      <c r="F93" s="399">
        <f t="shared" si="3"/>
        <v>-121663.56543999999</v>
      </c>
    </row>
    <row r="94" spans="1:7" ht="27" customHeight="1">
      <c r="A94" s="400" t="s">
        <v>397</v>
      </c>
      <c r="B94" s="401" t="s">
        <v>398</v>
      </c>
      <c r="C94" s="415">
        <v>200</v>
      </c>
      <c r="D94" s="415">
        <v>33.75</v>
      </c>
      <c r="E94" s="404">
        <f t="shared" si="2"/>
        <v>16.875</v>
      </c>
      <c r="F94" s="404">
        <f t="shared" si="3"/>
        <v>-166.25</v>
      </c>
    </row>
    <row r="95" spans="1:7" s="6" customFormat="1" ht="20.25" customHeight="1">
      <c r="A95" s="400" t="s">
        <v>57</v>
      </c>
      <c r="B95" s="403" t="s">
        <v>310</v>
      </c>
      <c r="C95" s="415">
        <v>21182.336569999999</v>
      </c>
      <c r="D95" s="402">
        <v>16.2</v>
      </c>
      <c r="E95" s="404">
        <f t="shared" si="2"/>
        <v>7.6478815009216897E-2</v>
      </c>
      <c r="F95" s="404">
        <f t="shared" si="3"/>
        <v>-21166.136569999999</v>
      </c>
      <c r="G95" s="50"/>
    </row>
    <row r="96" spans="1:7" s="6" customFormat="1" ht="20.25" customHeight="1">
      <c r="A96" s="400" t="s">
        <v>59</v>
      </c>
      <c r="B96" s="403" t="s">
        <v>393</v>
      </c>
      <c r="C96" s="415">
        <v>496</v>
      </c>
      <c r="D96" s="402"/>
      <c r="E96" s="404"/>
      <c r="F96" s="404"/>
      <c r="G96" s="50"/>
    </row>
    <row r="97" spans="1:6" ht="26.25" customHeight="1">
      <c r="A97" s="400" t="s">
        <v>61</v>
      </c>
      <c r="B97" s="403" t="s">
        <v>62</v>
      </c>
      <c r="C97" s="415">
        <v>108822.64969999999</v>
      </c>
      <c r="D97" s="402">
        <v>12716.24253</v>
      </c>
      <c r="E97" s="404">
        <f t="shared" si="2"/>
        <v>11.685290300370255</v>
      </c>
      <c r="F97" s="404">
        <f t="shared" si="3"/>
        <v>-96106.407169999991</v>
      </c>
    </row>
    <row r="98" spans="1:6" ht="20.25">
      <c r="A98" s="400" t="s">
        <v>63</v>
      </c>
      <c r="B98" s="403" t="s">
        <v>64</v>
      </c>
      <c r="C98" s="415">
        <v>3873.0459999999998</v>
      </c>
      <c r="D98" s="402">
        <v>144.27430000000001</v>
      </c>
      <c r="E98" s="404">
        <f t="shared" si="2"/>
        <v>3.7250861466659582</v>
      </c>
      <c r="F98" s="404">
        <f t="shared" si="3"/>
        <v>-3728.7716999999998</v>
      </c>
    </row>
    <row r="99" spans="1:6" s="6" customFormat="1" ht="20.25">
      <c r="A99" s="397" t="s">
        <v>65</v>
      </c>
      <c r="B99" s="398" t="s">
        <v>66</v>
      </c>
      <c r="C99" s="389">
        <f>SUM(C100:C102)</f>
        <v>108149.30068999999</v>
      </c>
      <c r="D99" s="389">
        <f>SUM(D100:D102)</f>
        <v>79.329729999999998</v>
      </c>
      <c r="E99" s="399">
        <f t="shared" si="2"/>
        <v>7.3352050816668124E-2</v>
      </c>
      <c r="F99" s="399">
        <f t="shared" si="3"/>
        <v>-108069.97095999999</v>
      </c>
    </row>
    <row r="100" spans="1:6" ht="20.25">
      <c r="A100" s="400" t="s">
        <v>67</v>
      </c>
      <c r="B100" s="416" t="s">
        <v>68</v>
      </c>
      <c r="C100" s="402">
        <v>35778.325700000001</v>
      </c>
      <c r="D100" s="402">
        <v>51.329729999999998</v>
      </c>
      <c r="E100" s="404">
        <f t="shared" si="2"/>
        <v>0.1434659923172425</v>
      </c>
      <c r="F100" s="404">
        <f t="shared" si="3"/>
        <v>-35726.995970000004</v>
      </c>
    </row>
    <row r="101" spans="1:6" ht="23.25" customHeight="1">
      <c r="A101" s="400" t="s">
        <v>69</v>
      </c>
      <c r="B101" s="416" t="s">
        <v>70</v>
      </c>
      <c r="C101" s="402">
        <v>40064.438119999999</v>
      </c>
      <c r="D101" s="402">
        <v>28</v>
      </c>
      <c r="E101" s="404">
        <f t="shared" si="2"/>
        <v>6.9887414659691727E-2</v>
      </c>
      <c r="F101" s="404">
        <f t="shared" si="3"/>
        <v>-40036.438119999999</v>
      </c>
    </row>
    <row r="102" spans="1:6" ht="19.5" customHeight="1">
      <c r="A102" s="400" t="s">
        <v>71</v>
      </c>
      <c r="B102" s="403" t="s">
        <v>72</v>
      </c>
      <c r="C102" s="402">
        <v>32306.53687</v>
      </c>
      <c r="D102" s="402">
        <v>0</v>
      </c>
      <c r="E102" s="404">
        <f t="shared" si="2"/>
        <v>0</v>
      </c>
      <c r="F102" s="404">
        <f t="shared" si="3"/>
        <v>-32306.53687</v>
      </c>
    </row>
    <row r="103" spans="1:6" s="6" customFormat="1" ht="20.25">
      <c r="A103" s="397" t="s">
        <v>73</v>
      </c>
      <c r="B103" s="417" t="s">
        <v>74</v>
      </c>
      <c r="C103" s="414">
        <f>SUM(C104)</f>
        <v>50</v>
      </c>
      <c r="D103" s="414">
        <f>SUM(D104)</f>
        <v>0</v>
      </c>
      <c r="E103" s="399">
        <f t="shared" si="2"/>
        <v>0</v>
      </c>
      <c r="F103" s="399">
        <f t="shared" si="3"/>
        <v>-50</v>
      </c>
    </row>
    <row r="104" spans="1:6" ht="40.5">
      <c r="A104" s="400" t="s">
        <v>75</v>
      </c>
      <c r="B104" s="416" t="s">
        <v>76</v>
      </c>
      <c r="C104" s="404">
        <v>50</v>
      </c>
      <c r="D104" s="405">
        <v>0</v>
      </c>
      <c r="E104" s="404">
        <f t="shared" si="2"/>
        <v>0</v>
      </c>
      <c r="F104" s="404">
        <f t="shared" si="3"/>
        <v>-50</v>
      </c>
    </row>
    <row r="105" spans="1:6" s="6" customFormat="1" ht="20.25">
      <c r="A105" s="397" t="s">
        <v>77</v>
      </c>
      <c r="B105" s="417" t="s">
        <v>78</v>
      </c>
      <c r="C105" s="414">
        <f>SUM(C106:C110)</f>
        <v>520377.0637</v>
      </c>
      <c r="D105" s="414">
        <f>D106+D107+D109+D110+D108</f>
        <v>130268.83759999998</v>
      </c>
      <c r="E105" s="399">
        <f t="shared" si="2"/>
        <v>25.03354715016814</v>
      </c>
      <c r="F105" s="399">
        <f t="shared" si="3"/>
        <v>-390108.22610000003</v>
      </c>
    </row>
    <row r="106" spans="1:6" ht="20.25">
      <c r="A106" s="400" t="s">
        <v>79</v>
      </c>
      <c r="B106" s="416" t="s">
        <v>247</v>
      </c>
      <c r="C106" s="415">
        <v>107534.53934</v>
      </c>
      <c r="D106" s="402">
        <v>21910.696499999998</v>
      </c>
      <c r="E106" s="404">
        <f t="shared" si="2"/>
        <v>20.375496686439796</v>
      </c>
      <c r="F106" s="404">
        <f t="shared" si="3"/>
        <v>-85623.842839999998</v>
      </c>
    </row>
    <row r="107" spans="1:6" ht="20.25">
      <c r="A107" s="400" t="s">
        <v>80</v>
      </c>
      <c r="B107" s="416" t="s">
        <v>248</v>
      </c>
      <c r="C107" s="415">
        <v>382162.01536000002</v>
      </c>
      <c r="D107" s="402">
        <v>100786.10464999999</v>
      </c>
      <c r="E107" s="404">
        <f t="shared" si="2"/>
        <v>26.372611771753029</v>
      </c>
      <c r="F107" s="404">
        <f t="shared" si="3"/>
        <v>-281375.91071000003</v>
      </c>
    </row>
    <row r="108" spans="1:6" ht="20.25">
      <c r="A108" s="400" t="s">
        <v>319</v>
      </c>
      <c r="B108" s="416" t="s">
        <v>320</v>
      </c>
      <c r="C108" s="415">
        <v>23817.409</v>
      </c>
      <c r="D108" s="402">
        <v>7081.0246299999999</v>
      </c>
      <c r="E108" s="404">
        <f t="shared" si="2"/>
        <v>29.730457372588258</v>
      </c>
      <c r="F108" s="404">
        <f t="shared" si="3"/>
        <v>-16736.38437</v>
      </c>
    </row>
    <row r="109" spans="1:6" ht="20.25">
      <c r="A109" s="400" t="s">
        <v>81</v>
      </c>
      <c r="B109" s="416" t="s">
        <v>249</v>
      </c>
      <c r="C109" s="415">
        <v>4000</v>
      </c>
      <c r="D109" s="402">
        <v>24.63</v>
      </c>
      <c r="E109" s="404">
        <f t="shared" si="2"/>
        <v>0.61575000000000002</v>
      </c>
      <c r="F109" s="404">
        <f t="shared" si="3"/>
        <v>-3975.37</v>
      </c>
    </row>
    <row r="110" spans="1:6" ht="20.25">
      <c r="A110" s="400" t="s">
        <v>82</v>
      </c>
      <c r="B110" s="416" t="s">
        <v>250</v>
      </c>
      <c r="C110" s="415">
        <v>2863.1</v>
      </c>
      <c r="D110" s="402">
        <v>466.38182</v>
      </c>
      <c r="E110" s="404">
        <f t="shared" si="2"/>
        <v>16.289400300373721</v>
      </c>
      <c r="F110" s="404">
        <f t="shared" si="3"/>
        <v>-2396.7181799999998</v>
      </c>
    </row>
    <row r="111" spans="1:6" s="6" customFormat="1" ht="20.25">
      <c r="A111" s="397" t="s">
        <v>83</v>
      </c>
      <c r="B111" s="398" t="s">
        <v>84</v>
      </c>
      <c r="C111" s="389">
        <f>SUM(C112:C113)</f>
        <v>58179.476999999999</v>
      </c>
      <c r="D111" s="389">
        <f>SUM(D112:D113)</f>
        <v>10247.09512</v>
      </c>
      <c r="E111" s="399">
        <f t="shared" si="2"/>
        <v>17.612903464223304</v>
      </c>
      <c r="F111" s="399">
        <f t="shared" si="3"/>
        <v>-47932.381880000001</v>
      </c>
    </row>
    <row r="112" spans="1:6" ht="20.25">
      <c r="A112" s="400" t="s">
        <v>85</v>
      </c>
      <c r="B112" s="403" t="s">
        <v>230</v>
      </c>
      <c r="C112" s="402">
        <v>57379.476999999999</v>
      </c>
      <c r="D112" s="402">
        <v>10122.09453</v>
      </c>
      <c r="E112" s="404">
        <f t="shared" si="2"/>
        <v>17.640618317242591</v>
      </c>
      <c r="F112" s="404">
        <f t="shared" si="3"/>
        <v>-47257.382469999997</v>
      </c>
    </row>
    <row r="113" spans="1:7" ht="40.5">
      <c r="A113" s="400" t="s">
        <v>259</v>
      </c>
      <c r="B113" s="403" t="s">
        <v>260</v>
      </c>
      <c r="C113" s="402">
        <v>800</v>
      </c>
      <c r="D113" s="402">
        <v>125.00059</v>
      </c>
      <c r="E113" s="404">
        <f t="shared" si="2"/>
        <v>15.625073750000002</v>
      </c>
      <c r="F113" s="404">
        <f t="shared" si="3"/>
        <v>-674.99941000000001</v>
      </c>
    </row>
    <row r="114" spans="1:7" s="6" customFormat="1" ht="20.25">
      <c r="A114" s="418">
        <v>1000</v>
      </c>
      <c r="B114" s="398" t="s">
        <v>86</v>
      </c>
      <c r="C114" s="389">
        <f>SUM(C115:C118)</f>
        <v>47042.641430000003</v>
      </c>
      <c r="D114" s="454">
        <f>D115+D116+D117+D118</f>
        <v>23801.260689999999</v>
      </c>
      <c r="E114" s="399">
        <f t="shared" si="2"/>
        <v>50.595077075798457</v>
      </c>
      <c r="F114" s="399">
        <f t="shared" si="3"/>
        <v>-23241.380740000004</v>
      </c>
      <c r="G114" s="93"/>
    </row>
    <row r="115" spans="1:7" ht="20.25">
      <c r="A115" s="419">
        <v>1001</v>
      </c>
      <c r="B115" s="420" t="s">
        <v>87</v>
      </c>
      <c r="C115" s="402">
        <v>60</v>
      </c>
      <c r="D115" s="402">
        <v>0</v>
      </c>
      <c r="E115" s="404">
        <f t="shared" si="2"/>
        <v>0</v>
      </c>
      <c r="F115" s="404">
        <f t="shared" si="3"/>
        <v>-60</v>
      </c>
    </row>
    <row r="116" spans="1:7" ht="20.25">
      <c r="A116" s="419">
        <v>1003</v>
      </c>
      <c r="B116" s="420" t="s">
        <v>88</v>
      </c>
      <c r="C116" s="402">
        <v>10236.448490000001</v>
      </c>
      <c r="D116" s="402">
        <v>2712.3240900000001</v>
      </c>
      <c r="E116" s="404">
        <f t="shared" si="2"/>
        <v>26.496729726620249</v>
      </c>
      <c r="F116" s="404">
        <f t="shared" si="3"/>
        <v>-7524.1244000000006</v>
      </c>
    </row>
    <row r="117" spans="1:7" ht="20.25">
      <c r="A117" s="419">
        <v>1004</v>
      </c>
      <c r="B117" s="420" t="s">
        <v>89</v>
      </c>
      <c r="C117" s="402">
        <v>36684.392939999998</v>
      </c>
      <c r="D117" s="455">
        <v>21078.1018</v>
      </c>
      <c r="E117" s="404">
        <f t="shared" si="2"/>
        <v>57.457954488915149</v>
      </c>
      <c r="F117" s="404">
        <f t="shared" si="3"/>
        <v>-15606.291139999998</v>
      </c>
    </row>
    <row r="118" spans="1:7" ht="33.75" customHeight="1">
      <c r="A118" s="400" t="s">
        <v>90</v>
      </c>
      <c r="B118" s="403" t="s">
        <v>91</v>
      </c>
      <c r="C118" s="402">
        <v>61.8</v>
      </c>
      <c r="D118" s="402">
        <v>10.8348</v>
      </c>
      <c r="E118" s="404">
        <f t="shared" si="2"/>
        <v>17.532038834951457</v>
      </c>
      <c r="F118" s="404">
        <f t="shared" si="3"/>
        <v>-50.965199999999996</v>
      </c>
    </row>
    <row r="119" spans="1:7" ht="20.25">
      <c r="A119" s="397" t="s">
        <v>92</v>
      </c>
      <c r="B119" s="398" t="s">
        <v>93</v>
      </c>
      <c r="C119" s="389">
        <f>C120+C121</f>
        <v>6712.9120000000003</v>
      </c>
      <c r="D119" s="389">
        <f>D120+D121</f>
        <v>2291.0909999999999</v>
      </c>
      <c r="E119" s="404">
        <f t="shared" si="2"/>
        <v>34.129614688826543</v>
      </c>
      <c r="F119" s="389">
        <f>F120+F121+F122+F123+F124</f>
        <v>-4421.8209999999999</v>
      </c>
    </row>
    <row r="120" spans="1:7" ht="20.25">
      <c r="A120" s="400" t="s">
        <v>94</v>
      </c>
      <c r="B120" s="403" t="s">
        <v>95</v>
      </c>
      <c r="C120" s="402">
        <v>300</v>
      </c>
      <c r="D120" s="402">
        <v>80.849999999999994</v>
      </c>
      <c r="E120" s="404">
        <f t="shared" si="2"/>
        <v>26.949999999999996</v>
      </c>
      <c r="F120" s="404">
        <f t="shared" ref="F120:F128" si="4">SUM(D120-C120)</f>
        <v>-219.15</v>
      </c>
    </row>
    <row r="121" spans="1:7" ht="18" customHeight="1">
      <c r="A121" s="400" t="s">
        <v>96</v>
      </c>
      <c r="B121" s="403" t="s">
        <v>97</v>
      </c>
      <c r="C121" s="402">
        <v>6412.9120000000003</v>
      </c>
      <c r="D121" s="402">
        <v>2210.241</v>
      </c>
      <c r="E121" s="404">
        <f t="shared" si="2"/>
        <v>34.465481516041386</v>
      </c>
      <c r="F121" s="404">
        <f t="shared" si="4"/>
        <v>-4202.6710000000003</v>
      </c>
    </row>
    <row r="122" spans="1:7" ht="15.75" hidden="1" customHeight="1">
      <c r="A122" s="400" t="s">
        <v>98</v>
      </c>
      <c r="B122" s="403" t="s">
        <v>99</v>
      </c>
      <c r="C122" s="402"/>
      <c r="D122" s="402"/>
      <c r="E122" s="404" t="e">
        <f t="shared" si="2"/>
        <v>#DIV/0!</v>
      </c>
      <c r="F122" s="404"/>
    </row>
    <row r="123" spans="1:7" ht="15.75" hidden="1" customHeight="1">
      <c r="A123" s="400" t="s">
        <v>100</v>
      </c>
      <c r="B123" s="403" t="s">
        <v>101</v>
      </c>
      <c r="C123" s="402"/>
      <c r="D123" s="402"/>
      <c r="E123" s="404" t="e">
        <f t="shared" si="2"/>
        <v>#DIV/0!</v>
      </c>
      <c r="F123" s="404"/>
    </row>
    <row r="124" spans="1:7" ht="0.75" customHeight="1">
      <c r="A124" s="400" t="s">
        <v>102</v>
      </c>
      <c r="B124" s="403" t="s">
        <v>103</v>
      </c>
      <c r="C124" s="402"/>
      <c r="D124" s="402"/>
      <c r="E124" s="404" t="e">
        <f t="shared" si="2"/>
        <v>#DIV/0!</v>
      </c>
      <c r="F124" s="404"/>
    </row>
    <row r="125" spans="1:7" ht="20.25" customHeight="1">
      <c r="A125" s="397" t="s">
        <v>104</v>
      </c>
      <c r="B125" s="398" t="s">
        <v>105</v>
      </c>
      <c r="C125" s="389">
        <f>C126</f>
        <v>45</v>
      </c>
      <c r="D125" s="456">
        <f>D126</f>
        <v>0</v>
      </c>
      <c r="E125" s="404">
        <f>SUM(D125/C125*100)</f>
        <v>0</v>
      </c>
      <c r="F125" s="404">
        <f t="shared" si="4"/>
        <v>-45</v>
      </c>
    </row>
    <row r="126" spans="1:7" ht="22.5" customHeight="1">
      <c r="A126" s="400" t="s">
        <v>106</v>
      </c>
      <c r="B126" s="403" t="s">
        <v>107</v>
      </c>
      <c r="C126" s="402">
        <v>45</v>
      </c>
      <c r="D126" s="402">
        <v>0</v>
      </c>
      <c r="E126" s="404">
        <f t="shared" si="2"/>
        <v>0</v>
      </c>
      <c r="F126" s="404">
        <f t="shared" si="4"/>
        <v>-45</v>
      </c>
    </row>
    <row r="127" spans="1:7" ht="19.5" customHeight="1">
      <c r="A127" s="397" t="s">
        <v>108</v>
      </c>
      <c r="B127" s="407" t="s">
        <v>109</v>
      </c>
      <c r="C127" s="421">
        <f>C128</f>
        <v>0</v>
      </c>
      <c r="D127" s="421">
        <v>0</v>
      </c>
      <c r="E127" s="404"/>
      <c r="F127" s="399">
        <f t="shared" si="4"/>
        <v>0</v>
      </c>
    </row>
    <row r="128" spans="1:7" ht="37.5" customHeight="1">
      <c r="A128" s="400" t="s">
        <v>110</v>
      </c>
      <c r="B128" s="409" t="s">
        <v>111</v>
      </c>
      <c r="C128" s="405">
        <v>0</v>
      </c>
      <c r="D128" s="405">
        <v>0</v>
      </c>
      <c r="E128" s="399"/>
      <c r="F128" s="404">
        <f t="shared" si="4"/>
        <v>0</v>
      </c>
    </row>
    <row r="129" spans="1:8" s="6" customFormat="1" ht="19.5" customHeight="1">
      <c r="A129" s="418">
        <v>1400</v>
      </c>
      <c r="B129" s="422" t="s">
        <v>112</v>
      </c>
      <c r="C129" s="414">
        <f>C130+C131+C132</f>
        <v>60727.955000000002</v>
      </c>
      <c r="D129" s="414">
        <f>D130+D131+D132</f>
        <v>13314.276</v>
      </c>
      <c r="E129" s="399">
        <f t="shared" si="2"/>
        <v>21.924459666063182</v>
      </c>
      <c r="F129" s="399">
        <f t="shared" si="3"/>
        <v>-47413.679000000004</v>
      </c>
    </row>
    <row r="130" spans="1:8" ht="40.5" customHeight="1">
      <c r="A130" s="419">
        <v>1401</v>
      </c>
      <c r="B130" s="420" t="s">
        <v>113</v>
      </c>
      <c r="C130" s="415">
        <v>53257.1</v>
      </c>
      <c r="D130" s="402">
        <v>13314.276</v>
      </c>
      <c r="E130" s="404">
        <f t="shared" si="2"/>
        <v>25.000001877683914</v>
      </c>
      <c r="F130" s="404">
        <f t="shared" si="3"/>
        <v>-39942.824000000001</v>
      </c>
    </row>
    <row r="131" spans="1:8" ht="24.75" customHeight="1">
      <c r="A131" s="419">
        <v>1402</v>
      </c>
      <c r="B131" s="420" t="s">
        <v>114</v>
      </c>
      <c r="C131" s="415">
        <v>0</v>
      </c>
      <c r="D131" s="402">
        <v>0</v>
      </c>
      <c r="E131" s="404" t="e">
        <f t="shared" si="2"/>
        <v>#DIV/0!</v>
      </c>
      <c r="F131" s="404">
        <f t="shared" si="3"/>
        <v>0</v>
      </c>
    </row>
    <row r="132" spans="1:8" ht="27" customHeight="1">
      <c r="A132" s="419">
        <v>1403</v>
      </c>
      <c r="B132" s="420" t="s">
        <v>115</v>
      </c>
      <c r="C132" s="415">
        <v>7470.8549999999996</v>
      </c>
      <c r="D132" s="402">
        <v>0</v>
      </c>
      <c r="E132" s="404">
        <f t="shared" si="2"/>
        <v>0</v>
      </c>
      <c r="F132" s="404">
        <f t="shared" si="3"/>
        <v>-7470.8549999999996</v>
      </c>
    </row>
    <row r="133" spans="1:8" s="6" customFormat="1" ht="20.25">
      <c r="A133" s="418"/>
      <c r="B133" s="423" t="s">
        <v>116</v>
      </c>
      <c r="C133" s="478">
        <f>C77+C85+C87+C93+C99+C103+C105+C111+C114+C119+C125+C127+C129</f>
        <v>989469.62082999991</v>
      </c>
      <c r="D133" s="478">
        <f>D77+D85+D87+D93+D99+D103+D105+D111+D114+D119+D125+D127+D129</f>
        <v>203704.92421999999</v>
      </c>
      <c r="E133" s="399">
        <f t="shared" si="2"/>
        <v>20.587284332097589</v>
      </c>
      <c r="F133" s="399">
        <f t="shared" si="3"/>
        <v>-785764.69660999998</v>
      </c>
      <c r="G133" s="93"/>
      <c r="H133" s="93"/>
    </row>
    <row r="134" spans="1:8" ht="20.25">
      <c r="A134" s="424"/>
      <c r="B134" s="425"/>
      <c r="C134" s="426"/>
      <c r="D134" s="439"/>
      <c r="E134" s="427"/>
      <c r="F134" s="427"/>
    </row>
    <row r="135" spans="1:8" s="65" customFormat="1" ht="20.25">
      <c r="A135" s="428" t="s">
        <v>117</v>
      </c>
      <c r="B135" s="428"/>
      <c r="C135" s="429"/>
      <c r="D135" s="429"/>
      <c r="E135" s="430"/>
      <c r="F135" s="430"/>
    </row>
    <row r="136" spans="1:8" s="65" customFormat="1" ht="20.25">
      <c r="A136" s="431" t="s">
        <v>118</v>
      </c>
      <c r="B136" s="431"/>
      <c r="C136" s="429" t="s">
        <v>119</v>
      </c>
      <c r="D136" s="429"/>
      <c r="E136" s="430"/>
      <c r="F136" s="430"/>
    </row>
  </sheetData>
  <customSheetViews>
    <customSheetView guid="{E6F84523-F47F-492E-BB0B-0D2156A983B1}" scale="60" showPageBreaks="1" printArea="1" hiddenRows="1" state="hidden" view="pageBreakPreview">
      <selection activeCell="E76" sqref="E76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B30CE22D-C12F-4E12-8BB9-3AAE0A6991CC}" scale="60" showPageBreaks="1" hiddenRow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4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6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8"/>
      <headerFooter alignWithMargins="0"/>
    </customSheetView>
    <customSheetView guid="{5BFCA170-DEAE-4D2C-98A0-1E68B427AC01}" scale="67" showPageBreaks="1" hiddenRows="1" view="pageBreakPreview" topLeftCell="A110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9"/>
      <headerFooter alignWithMargins="0"/>
    </customSheetView>
    <customSheetView guid="{61528DAC-5C4C-48F4-ADE2-8A724B05A086}" scale="60" showPageBreaks="1" printArea="1" hiddenRows="1" view="pageBreakPreview" topLeftCell="A63">
      <selection activeCell="E76" sqref="E76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0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42" orientation="portrait" r:id="rId11"/>
  <headerFooter alignWithMargins="0"/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zoomScale="70" zoomScaleNormal="100" zoomScaleSheetLayoutView="70" workbookViewId="0">
      <selection activeCell="C85" sqref="C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6" t="s">
        <v>414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101.56356</v>
      </c>
      <c r="E4" s="5">
        <f>SUM(D4/C4*100)</f>
        <v>16.54749498997996</v>
      </c>
      <c r="F4" s="5">
        <f>SUM(D4-C4)</f>
        <v>-512.20643999999993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16.686699999999998</v>
      </c>
      <c r="E5" s="5">
        <f t="shared" ref="E5:E47" si="0">SUM(D5/C5*100)</f>
        <v>20.600864197530864</v>
      </c>
      <c r="F5" s="5">
        <f t="shared" ref="F5:F47" si="1">SUM(D5-C5)</f>
        <v>-64.313299999999998</v>
      </c>
    </row>
    <row r="6" spans="1:6">
      <c r="A6" s="7">
        <v>1010200001</v>
      </c>
      <c r="B6" s="8" t="s">
        <v>225</v>
      </c>
      <c r="C6" s="9">
        <v>81</v>
      </c>
      <c r="D6" s="10">
        <v>16.686699999999998</v>
      </c>
      <c r="E6" s="9">
        <f t="shared" ref="E6:E11" si="2">SUM(D6/C6*100)</f>
        <v>20.600864197530864</v>
      </c>
      <c r="F6" s="9">
        <f t="shared" si="1"/>
        <v>-64.313299999999998</v>
      </c>
    </row>
    <row r="7" spans="1:6" ht="31.5">
      <c r="A7" s="3">
        <v>1030000000</v>
      </c>
      <c r="B7" s="13" t="s">
        <v>267</v>
      </c>
      <c r="C7" s="5">
        <f>C8+C10+C9</f>
        <v>286.77</v>
      </c>
      <c r="D7" s="5">
        <f>D8+D10+D9+D11</f>
        <v>75.772589999999994</v>
      </c>
      <c r="E7" s="9">
        <f t="shared" si="2"/>
        <v>26.422774348781253</v>
      </c>
      <c r="F7" s="9">
        <f t="shared" si="1"/>
        <v>-210.99741</v>
      </c>
    </row>
    <row r="8" spans="1:6">
      <c r="A8" s="7">
        <v>1030223001</v>
      </c>
      <c r="B8" s="8" t="s">
        <v>269</v>
      </c>
      <c r="C8" s="9">
        <v>106.965</v>
      </c>
      <c r="D8" s="10">
        <v>36.390149999999998</v>
      </c>
      <c r="E8" s="9">
        <f t="shared" si="2"/>
        <v>34.020614219604539</v>
      </c>
      <c r="F8" s="9">
        <f t="shared" si="1"/>
        <v>-70.574849999999998</v>
      </c>
    </row>
    <row r="9" spans="1:6">
      <c r="A9" s="7">
        <v>1030224001</v>
      </c>
      <c r="B9" s="8" t="s">
        <v>273</v>
      </c>
      <c r="C9" s="9">
        <v>1.147</v>
      </c>
      <c r="D9" s="10">
        <v>0.23318</v>
      </c>
      <c r="E9" s="9">
        <f t="shared" si="2"/>
        <v>20.329555361813426</v>
      </c>
      <c r="F9" s="9">
        <f t="shared" si="1"/>
        <v>-0.91382000000000008</v>
      </c>
    </row>
    <row r="10" spans="1:6">
      <c r="A10" s="7">
        <v>1030225001</v>
      </c>
      <c r="B10" s="8" t="s">
        <v>268</v>
      </c>
      <c r="C10" s="9">
        <v>178.65799999999999</v>
      </c>
      <c r="D10" s="10">
        <v>44.031469999999999</v>
      </c>
      <c r="E10" s="9">
        <f t="shared" si="2"/>
        <v>24.645674976771261</v>
      </c>
      <c r="F10" s="9">
        <f t="shared" si="1"/>
        <v>-134.62653</v>
      </c>
    </row>
    <row r="11" spans="1:6">
      <c r="A11" s="7">
        <v>1030226001</v>
      </c>
      <c r="B11" s="8" t="s">
        <v>274</v>
      </c>
      <c r="C11" s="9">
        <v>0</v>
      </c>
      <c r="D11" s="10">
        <v>-4.8822099999999997</v>
      </c>
      <c r="E11" s="9" t="e">
        <f t="shared" si="2"/>
        <v>#DIV/0!</v>
      </c>
      <c r="F11" s="9">
        <f t="shared" si="1"/>
        <v>-4.8822099999999997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233</v>
      </c>
      <c r="D14" s="5">
        <f>D15+D16</f>
        <v>8.50427</v>
      </c>
      <c r="E14" s="5">
        <f t="shared" si="0"/>
        <v>3.6499012875536483</v>
      </c>
      <c r="F14" s="5">
        <f t="shared" si="1"/>
        <v>-224.49573000000001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0.48771999999999999</v>
      </c>
      <c r="E15" s="9">
        <f t="shared" si="0"/>
        <v>0.56711627906976747</v>
      </c>
      <c r="F15" s="9">
        <f>SUM(D15-C15)</f>
        <v>-85.512280000000004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8.0165500000000005</v>
      </c>
      <c r="E16" s="9">
        <f t="shared" si="0"/>
        <v>5.4534353741496604</v>
      </c>
      <c r="F16" s="9">
        <f t="shared" si="1"/>
        <v>-138.98345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0.6</v>
      </c>
      <c r="E17" s="9">
        <f t="shared" si="0"/>
        <v>20</v>
      </c>
      <c r="F17" s="5">
        <f t="shared" si="1"/>
        <v>-2.4</v>
      </c>
    </row>
    <row r="18" spans="1:6" ht="18.75" customHeight="1">
      <c r="A18" s="7">
        <v>1080402001</v>
      </c>
      <c r="B18" s="8" t="s">
        <v>224</v>
      </c>
      <c r="C18" s="9">
        <v>3</v>
      </c>
      <c r="D18" s="10">
        <v>0.6</v>
      </c>
      <c r="E18" s="9">
        <f t="shared" si="0"/>
        <v>20</v>
      </c>
      <c r="F18" s="9">
        <f t="shared" si="1"/>
        <v>-2.4</v>
      </c>
    </row>
    <row r="19" spans="1:6" ht="15" hidden="1" customHeight="1">
      <c r="A19" s="7">
        <v>1080714001</v>
      </c>
      <c r="B19" s="8" t="s">
        <v>223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227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50</v>
      </c>
      <c r="D25" s="5">
        <f>D26+D31+D34+D29</f>
        <v>0.35255999999999998</v>
      </c>
      <c r="E25" s="5">
        <f t="shared" si="0"/>
        <v>0.70511999999999997</v>
      </c>
      <c r="F25" s="5">
        <f t="shared" si="1"/>
        <v>-49.647440000000003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50</v>
      </c>
      <c r="D26" s="5">
        <f>D27+D28</f>
        <v>0</v>
      </c>
      <c r="E26" s="5">
        <f t="shared" si="0"/>
        <v>0</v>
      </c>
      <c r="F26" s="5">
        <f t="shared" si="1"/>
        <v>-50</v>
      </c>
    </row>
    <row r="27" spans="1:6" ht="22.5" customHeight="1">
      <c r="A27" s="16">
        <v>1110502000</v>
      </c>
      <c r="B27" s="17" t="s">
        <v>222</v>
      </c>
      <c r="C27" s="12">
        <v>50</v>
      </c>
      <c r="D27" s="10">
        <v>0</v>
      </c>
      <c r="E27" s="9">
        <f t="shared" si="0"/>
        <v>0</v>
      </c>
      <c r="F27" s="9">
        <f t="shared" si="1"/>
        <v>-50</v>
      </c>
    </row>
    <row r="28" spans="1:6" hidden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128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30.75" customHeight="1">
      <c r="A30" s="7">
        <v>1130200000</v>
      </c>
      <c r="B30" s="8" t="s">
        <v>416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5.5" customHeight="1">
      <c r="A31" s="70">
        <v>1140000000</v>
      </c>
      <c r="B31" s="71" t="s">
        <v>129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132</v>
      </c>
      <c r="C34" s="5">
        <v>0</v>
      </c>
      <c r="D34" s="24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16</v>
      </c>
      <c r="C37" s="125">
        <f>C25+C4</f>
        <v>663.77</v>
      </c>
      <c r="D37" s="125">
        <f>SUM(D4,D25)</f>
        <v>101.91611999999999</v>
      </c>
      <c r="E37" s="5">
        <f t="shared" si="0"/>
        <v>15.35413170224626</v>
      </c>
      <c r="F37" s="5">
        <f t="shared" si="1"/>
        <v>-561.85388</v>
      </c>
    </row>
    <row r="38" spans="1:11" s="6" customFormat="1">
      <c r="A38" s="3">
        <v>2000000000</v>
      </c>
      <c r="B38" s="4" t="s">
        <v>17</v>
      </c>
      <c r="C38" s="187">
        <f>C39+C40+C41+C42+C43+C44</f>
        <v>6553.1417199999996</v>
      </c>
      <c r="D38" s="187">
        <f>D39+D40+D41+D42+D43+D45+D44</f>
        <v>487.12199999999996</v>
      </c>
      <c r="E38" s="5">
        <f t="shared" si="0"/>
        <v>7.4334116491532249</v>
      </c>
      <c r="F38" s="5">
        <f t="shared" si="1"/>
        <v>-6066.0197199999993</v>
      </c>
      <c r="G38" s="19"/>
    </row>
    <row r="39" spans="1:11" ht="13.5" customHeight="1">
      <c r="A39" s="16">
        <v>2021000000</v>
      </c>
      <c r="B39" s="17" t="s">
        <v>18</v>
      </c>
      <c r="C39" s="219">
        <v>1839.6</v>
      </c>
      <c r="D39" s="20">
        <v>459.9</v>
      </c>
      <c r="E39" s="9">
        <f t="shared" si="0"/>
        <v>25</v>
      </c>
      <c r="F39" s="9">
        <f t="shared" si="1"/>
        <v>-1379.6999999999998</v>
      </c>
    </row>
    <row r="40" spans="1:11" ht="15" hidden="1" customHeight="1">
      <c r="A40" s="16">
        <v>2021500200</v>
      </c>
      <c r="B40" s="17" t="s">
        <v>228</v>
      </c>
      <c r="C40" s="216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6">
        <v>3143.1107200000001</v>
      </c>
      <c r="D41" s="10">
        <v>0</v>
      </c>
      <c r="E41" s="9">
        <f t="shared" si="0"/>
        <v>0</v>
      </c>
      <c r="F41" s="9">
        <f t="shared" si="1"/>
        <v>-3143.1107200000001</v>
      </c>
    </row>
    <row r="42" spans="1:11" ht="19.5" customHeight="1">
      <c r="A42" s="16">
        <v>2023000000</v>
      </c>
      <c r="B42" s="17" t="s">
        <v>20</v>
      </c>
      <c r="C42" s="216">
        <v>94.305000000000007</v>
      </c>
      <c r="D42" s="180">
        <v>27.222000000000001</v>
      </c>
      <c r="E42" s="9">
        <f t="shared" si="0"/>
        <v>28.865913790361063</v>
      </c>
      <c r="F42" s="9">
        <f t="shared" si="1"/>
        <v>-67.082999999999998</v>
      </c>
    </row>
    <row r="43" spans="1:11">
      <c r="A43" s="7">
        <v>2070500010</v>
      </c>
      <c r="B43" s="17" t="s">
        <v>289</v>
      </c>
      <c r="C43" s="216">
        <v>434.851</v>
      </c>
      <c r="D43" s="181">
        <v>0</v>
      </c>
      <c r="E43" s="9">
        <f t="shared" si="0"/>
        <v>0</v>
      </c>
      <c r="F43" s="9">
        <f t="shared" si="1"/>
        <v>-434.851</v>
      </c>
    </row>
    <row r="44" spans="1:11" ht="15.75" customHeight="1">
      <c r="A44" s="16">
        <v>2024000000</v>
      </c>
      <c r="B44" s="18" t="s">
        <v>21</v>
      </c>
      <c r="C44" s="216">
        <v>1041.2750000000001</v>
      </c>
      <c r="D44" s="181">
        <v>0</v>
      </c>
      <c r="E44" s="9">
        <f t="shared" si="0"/>
        <v>0</v>
      </c>
      <c r="F44" s="9">
        <f t="shared" si="1"/>
        <v>-1041.2750000000001</v>
      </c>
    </row>
    <row r="45" spans="1:11" ht="17.25" customHeight="1">
      <c r="A45" s="7">
        <v>2190000010</v>
      </c>
      <c r="B45" s="11" t="s">
        <v>23</v>
      </c>
      <c r="C45" s="224">
        <v>0</v>
      </c>
      <c r="D45" s="213">
        <v>0</v>
      </c>
      <c r="E45" s="5" t="e">
        <f t="shared" si="0"/>
        <v>#DIV/0!</v>
      </c>
      <c r="F45" s="5">
        <f>SUM(D45-C45)</f>
        <v>0</v>
      </c>
    </row>
    <row r="46" spans="1:11" s="438" customFormat="1" ht="17.25" customHeight="1">
      <c r="A46" s="3">
        <v>3000000000</v>
      </c>
      <c r="B46" s="13" t="s">
        <v>24</v>
      </c>
      <c r="C46" s="225">
        <v>0</v>
      </c>
      <c r="D46" s="226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0"/>
      <c r="B47" s="271" t="s">
        <v>25</v>
      </c>
      <c r="C47" s="473">
        <f>C37+C38</f>
        <v>7216.9117200000001</v>
      </c>
      <c r="D47" s="464">
        <f>D37+D38</f>
        <v>589.03811999999994</v>
      </c>
      <c r="E47" s="272">
        <f t="shared" si="0"/>
        <v>8.1619138885628484</v>
      </c>
      <c r="F47" s="272">
        <f t="shared" si="1"/>
        <v>-6627.8735999999999</v>
      </c>
      <c r="G47" s="193"/>
      <c r="H47" s="193"/>
      <c r="K47" s="128"/>
    </row>
    <row r="48" spans="1:11" s="6" customFormat="1">
      <c r="A48" s="3"/>
      <c r="B48" s="21" t="s">
        <v>308</v>
      </c>
      <c r="C48" s="469">
        <f>C47-C94</f>
        <v>-85.87996000000112</v>
      </c>
      <c r="D48" s="5">
        <f>D47-D94</f>
        <v>247.12396999999993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410</v>
      </c>
      <c r="D50" s="472" t="s">
        <v>415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1196.3500000000001</v>
      </c>
      <c r="D52" s="22">
        <f>D54+D57+D58+D59</f>
        <v>219.88345000000001</v>
      </c>
      <c r="E52" s="34">
        <f>SUM(D52/C52*100)</f>
        <v>18.379525222551926</v>
      </c>
      <c r="F52" s="34">
        <f>SUM(D52-C52)</f>
        <v>-976.4665500000001</v>
      </c>
    </row>
    <row r="53" spans="1:6" s="6" customFormat="1" ht="31.5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1183.7</v>
      </c>
      <c r="D54" s="91">
        <v>217.23345</v>
      </c>
      <c r="E54" s="38">
        <f>SUM(D54/C54*100)</f>
        <v>18.352069781194562</v>
      </c>
      <c r="F54" s="38">
        <f t="shared" ref="F54:F94" si="3">SUM(D54-C54)</f>
        <v>-966.4665500000001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10</v>
      </c>
      <c r="D58" s="102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94.305000000000007</v>
      </c>
      <c r="D60" s="22">
        <f>D61</f>
        <v>16.46782</v>
      </c>
      <c r="E60" s="34">
        <f t="shared" si="4"/>
        <v>17.462297863315833</v>
      </c>
      <c r="F60" s="34">
        <f t="shared" si="3"/>
        <v>-77.837180000000004</v>
      </c>
    </row>
    <row r="61" spans="1:6">
      <c r="A61" s="43" t="s">
        <v>45</v>
      </c>
      <c r="B61" s="44" t="s">
        <v>46</v>
      </c>
      <c r="C61" s="91">
        <v>94.305000000000007</v>
      </c>
      <c r="D61" s="91">
        <v>16.46782</v>
      </c>
      <c r="E61" s="38">
        <f t="shared" si="4"/>
        <v>17.462297863315833</v>
      </c>
      <c r="F61" s="38">
        <f t="shared" si="3"/>
        <v>-77.837180000000004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0</v>
      </c>
      <c r="E62" s="34">
        <f t="shared" si="4"/>
        <v>0</v>
      </c>
      <c r="F62" s="34">
        <f t="shared" si="3"/>
        <v>-18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0</v>
      </c>
      <c r="E65" s="34">
        <f t="shared" si="4"/>
        <v>0</v>
      </c>
      <c r="F65" s="34">
        <f t="shared" si="3"/>
        <v>-3</v>
      </c>
    </row>
    <row r="66" spans="1:7" ht="15.75" customHeight="1">
      <c r="A66" s="46" t="s">
        <v>215</v>
      </c>
      <c r="B66" s="47" t="s">
        <v>216</v>
      </c>
      <c r="C66" s="91">
        <v>13</v>
      </c>
      <c r="D66" s="91">
        <v>0</v>
      </c>
      <c r="E66" s="38">
        <f t="shared" si="4"/>
        <v>0</v>
      </c>
      <c r="F66" s="38">
        <f t="shared" si="3"/>
        <v>-13</v>
      </c>
    </row>
    <row r="67" spans="1:7" ht="15.75" customHeight="1">
      <c r="A67" s="46" t="s">
        <v>340</v>
      </c>
      <c r="B67" s="47" t="s">
        <v>394</v>
      </c>
      <c r="C67" s="91">
        <v>2</v>
      </c>
      <c r="D67" s="91">
        <v>0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866.10996</v>
      </c>
      <c r="D68" s="103">
        <f>D71+D72+D69+D70</f>
        <v>0</v>
      </c>
      <c r="E68" s="34">
        <f t="shared" si="4"/>
        <v>0</v>
      </c>
      <c r="F68" s="34">
        <f t="shared" si="3"/>
        <v>-866.10996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0</v>
      </c>
      <c r="E71" s="38">
        <f t="shared" si="4"/>
        <v>0</v>
      </c>
      <c r="F71" s="38">
        <f t="shared" si="3"/>
        <v>-851.65995999999996</v>
      </c>
    </row>
    <row r="72" spans="1:7">
      <c r="A72" s="35" t="s">
        <v>63</v>
      </c>
      <c r="B72" s="39" t="s">
        <v>64</v>
      </c>
      <c r="C72" s="104">
        <v>14.45</v>
      </c>
      <c r="D72" s="91">
        <v>0</v>
      </c>
      <c r="E72" s="38">
        <f t="shared" si="4"/>
        <v>0</v>
      </c>
      <c r="F72" s="38">
        <f t="shared" si="3"/>
        <v>-14.45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4831.4267200000004</v>
      </c>
      <c r="D73" s="22">
        <f>D76</f>
        <v>33.56288</v>
      </c>
      <c r="E73" s="34">
        <f t="shared" si="4"/>
        <v>0.69467844479694385</v>
      </c>
      <c r="F73" s="34">
        <f t="shared" si="3"/>
        <v>-4797.86384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4348.5517200000004</v>
      </c>
      <c r="D75" s="91"/>
      <c r="E75" s="38">
        <f t="shared" si="4"/>
        <v>0</v>
      </c>
      <c r="F75" s="38">
        <f t="shared" si="3"/>
        <v>-4348.5517200000004</v>
      </c>
    </row>
    <row r="76" spans="1:7" ht="16.5" customHeight="1">
      <c r="A76" s="35" t="s">
        <v>71</v>
      </c>
      <c r="B76" s="39" t="s">
        <v>72</v>
      </c>
      <c r="C76" s="91">
        <v>482.875</v>
      </c>
      <c r="D76" s="91">
        <v>33.56288</v>
      </c>
      <c r="E76" s="38">
        <f t="shared" si="4"/>
        <v>6.950635257571836</v>
      </c>
      <c r="F76" s="38">
        <f t="shared" si="3"/>
        <v>-449.31211999999999</v>
      </c>
    </row>
    <row r="77" spans="1:7" s="6" customFormat="1">
      <c r="A77" s="30" t="s">
        <v>83</v>
      </c>
      <c r="B77" s="31" t="s">
        <v>84</v>
      </c>
      <c r="C77" s="22">
        <f>C78</f>
        <v>286.60000000000002</v>
      </c>
      <c r="D77" s="22">
        <f>D78</f>
        <v>72</v>
      </c>
      <c r="E77" s="34">
        <f t="shared" si="4"/>
        <v>25.122121423586879</v>
      </c>
      <c r="F77" s="34">
        <f t="shared" si="3"/>
        <v>-214.60000000000002</v>
      </c>
    </row>
    <row r="78" spans="1:7" ht="14.25" customHeight="1">
      <c r="A78" s="35" t="s">
        <v>85</v>
      </c>
      <c r="B78" s="39" t="s">
        <v>230</v>
      </c>
      <c r="C78" s="91">
        <v>286.60000000000002</v>
      </c>
      <c r="D78" s="91">
        <v>72</v>
      </c>
      <c r="E78" s="38">
        <f t="shared" si="4"/>
        <v>25.122121423586879</v>
      </c>
      <c r="F78" s="38">
        <f t="shared" si="3"/>
        <v>-214.60000000000002</v>
      </c>
    </row>
    <row r="79" spans="1:7" s="6" customFormat="1" ht="0.75" hidden="1" customHeight="1">
      <c r="A79" s="52">
        <v>1000</v>
      </c>
      <c r="B79" s="31" t="s">
        <v>86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87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88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89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90</v>
      </c>
      <c r="B83" s="39" t="s">
        <v>91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92</v>
      </c>
      <c r="B84" s="31" t="s">
        <v>93</v>
      </c>
      <c r="C84" s="22">
        <f>C85</f>
        <v>10</v>
      </c>
      <c r="D84" s="22">
        <f>D85</f>
        <v>0</v>
      </c>
      <c r="E84" s="38">
        <f t="shared" si="4"/>
        <v>0</v>
      </c>
      <c r="F84" s="22">
        <f>F85+F86+F87+F88+F89</f>
        <v>-10</v>
      </c>
    </row>
    <row r="85" spans="1:7" ht="16.5" customHeight="1">
      <c r="A85" s="35" t="s">
        <v>94</v>
      </c>
      <c r="B85" s="39" t="s">
        <v>95</v>
      </c>
      <c r="C85" s="91">
        <v>10</v>
      </c>
      <c r="D85" s="91">
        <v>0</v>
      </c>
      <c r="E85" s="38">
        <v>0</v>
      </c>
      <c r="F85" s="38">
        <f>SUM(D85-C85)</f>
        <v>-10</v>
      </c>
    </row>
    <row r="86" spans="1:7" ht="14.25" hidden="1" customHeight="1">
      <c r="A86" s="35" t="s">
        <v>96</v>
      </c>
      <c r="B86" s="39" t="s">
        <v>97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98</v>
      </c>
      <c r="B87" s="39" t="s">
        <v>99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100</v>
      </c>
      <c r="B88" s="39" t="s">
        <v>101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102</v>
      </c>
      <c r="B89" s="39" t="s">
        <v>103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112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113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114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115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116</v>
      </c>
      <c r="C94" s="457">
        <f>C52+C60+C62+C68+C73+C77+C84</f>
        <v>7302.7916800000012</v>
      </c>
      <c r="D94" s="457">
        <f>D52+D60+D62+D68+D73+D77+D79+D84+D90</f>
        <v>341.91415000000001</v>
      </c>
      <c r="E94" s="126">
        <f t="shared" si="4"/>
        <v>4.6819649934201593</v>
      </c>
      <c r="F94" s="34">
        <f t="shared" si="3"/>
        <v>-6960.8775300000016</v>
      </c>
      <c r="G94" s="193"/>
    </row>
    <row r="95" spans="1:7">
      <c r="C95" s="124"/>
      <c r="D95" s="100"/>
    </row>
    <row r="96" spans="1:7" s="65" customFormat="1" ht="16.5" customHeight="1">
      <c r="A96" s="63" t="s">
        <v>117</v>
      </c>
      <c r="B96" s="63"/>
      <c r="C96" s="178"/>
      <c r="D96" s="178"/>
    </row>
    <row r="97" spans="1:3" s="65" customFormat="1" ht="20.25" customHeight="1">
      <c r="A97" s="66" t="s">
        <v>118</v>
      </c>
      <c r="B97" s="66"/>
      <c r="C97" s="65" t="s">
        <v>119</v>
      </c>
    </row>
    <row r="98" spans="1:3" ht="13.5" customHeight="1"/>
    <row r="100" spans="1:3" ht="5.25" customHeight="1"/>
    <row r="142" hidden="1"/>
  </sheetData>
  <customSheetViews>
    <customSheetView guid="{E6F84523-F47F-492E-BB0B-0D2156A983B1}" scale="70" showPageBreaks="1" printArea="1" hiddenRows="1" state="hidden" view="pageBreakPreview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2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4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6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7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8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9"/>
      <headerFooter alignWithMargins="0"/>
    </customSheetView>
    <customSheetView guid="{61528DAC-5C4C-48F4-ADE2-8A724B05A086}" scale="70" showPageBreaks="1" printArea="1" hiddenRows="1" view="pageBreakPreview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zoomScale="70" zoomScaleNormal="100" zoomScaleSheetLayoutView="70" workbookViewId="0">
      <selection activeCell="C45" sqref="C45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417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737.15354000000002</v>
      </c>
      <c r="E4" s="5">
        <f>SUM(D4/C4*100)</f>
        <v>19.964075939768172</v>
      </c>
      <c r="F4" s="5">
        <f>SUM(D4-C4)</f>
        <v>-2955.2464600000003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117.49565</v>
      </c>
      <c r="E5" s="5">
        <f t="shared" ref="E5:E53" si="0">SUM(D5/C5*100)</f>
        <v>29.670618686868689</v>
      </c>
      <c r="F5" s="5">
        <f t="shared" ref="F5:F53" si="1">SUM(D5-C5)</f>
        <v>-278.50434999999999</v>
      </c>
    </row>
    <row r="6" spans="1:6">
      <c r="A6" s="7">
        <v>1010200001</v>
      </c>
      <c r="B6" s="8" t="s">
        <v>225</v>
      </c>
      <c r="C6" s="9">
        <v>396</v>
      </c>
      <c r="D6" s="10">
        <v>117.49565</v>
      </c>
      <c r="E6" s="9">
        <f t="shared" ref="E6:E11" si="2">SUM(D6/C6*100)</f>
        <v>29.670618686868689</v>
      </c>
      <c r="F6" s="9">
        <f t="shared" si="1"/>
        <v>-278.50434999999999</v>
      </c>
    </row>
    <row r="7" spans="1:6" ht="31.5">
      <c r="A7" s="3">
        <v>1030000000</v>
      </c>
      <c r="B7" s="13" t="s">
        <v>267</v>
      </c>
      <c r="C7" s="5">
        <f>C8+C10+C9</f>
        <v>823.4</v>
      </c>
      <c r="D7" s="5">
        <f>D8+D10+D9+D11</f>
        <v>217.56487999999999</v>
      </c>
      <c r="E7" s="5">
        <f t="shared" si="2"/>
        <v>26.422744717026958</v>
      </c>
      <c r="F7" s="5">
        <f t="shared" si="1"/>
        <v>-605.83511999999996</v>
      </c>
    </row>
    <row r="8" spans="1:6">
      <c r="A8" s="7">
        <v>1030223001</v>
      </c>
      <c r="B8" s="8" t="s">
        <v>269</v>
      </c>
      <c r="C8" s="9">
        <v>307.12799999999999</v>
      </c>
      <c r="D8" s="10">
        <v>104.48656</v>
      </c>
      <c r="E8" s="9">
        <f t="shared" si="2"/>
        <v>34.020525644031153</v>
      </c>
      <c r="F8" s="9">
        <f t="shared" si="1"/>
        <v>-202.64143999999999</v>
      </c>
    </row>
    <row r="9" spans="1:6">
      <c r="A9" s="7">
        <v>1030224001</v>
      </c>
      <c r="B9" s="8" t="s">
        <v>275</v>
      </c>
      <c r="C9" s="9">
        <v>3.294</v>
      </c>
      <c r="D9" s="10">
        <v>0.66952</v>
      </c>
      <c r="E9" s="9">
        <f t="shared" si="2"/>
        <v>20.325440194292653</v>
      </c>
      <c r="F9" s="9">
        <f t="shared" si="1"/>
        <v>-2.6244800000000001</v>
      </c>
    </row>
    <row r="10" spans="1:6">
      <c r="A10" s="7">
        <v>1030225001</v>
      </c>
      <c r="B10" s="8" t="s">
        <v>268</v>
      </c>
      <c r="C10" s="9">
        <v>512.97799999999995</v>
      </c>
      <c r="D10" s="10">
        <v>126.42701</v>
      </c>
      <c r="E10" s="9">
        <f t="shared" si="2"/>
        <v>24.645698256065561</v>
      </c>
      <c r="F10" s="9">
        <f t="shared" si="1"/>
        <v>-386.55098999999996</v>
      </c>
    </row>
    <row r="11" spans="1:6">
      <c r="A11" s="7">
        <v>1030226001</v>
      </c>
      <c r="B11" s="8" t="s">
        <v>277</v>
      </c>
      <c r="C11" s="9">
        <v>0</v>
      </c>
      <c r="D11" s="10">
        <v>-14.01821</v>
      </c>
      <c r="E11" s="9" t="e">
        <f t="shared" si="2"/>
        <v>#DIV/0!</v>
      </c>
      <c r="F11" s="9">
        <f t="shared" si="1"/>
        <v>-14.01821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49.607089999999999</v>
      </c>
      <c r="E12" s="5">
        <f t="shared" si="0"/>
        <v>110.23797777777777</v>
      </c>
      <c r="F12" s="5">
        <f t="shared" si="1"/>
        <v>4.6070899999999995</v>
      </c>
    </row>
    <row r="13" spans="1:6" ht="15.75" customHeight="1">
      <c r="A13" s="7">
        <v>1050300000</v>
      </c>
      <c r="B13" s="11" t="s">
        <v>226</v>
      </c>
      <c r="C13" s="12">
        <v>45</v>
      </c>
      <c r="D13" s="10">
        <v>49.607089999999999</v>
      </c>
      <c r="E13" s="9">
        <f t="shared" si="0"/>
        <v>110.23797777777777</v>
      </c>
      <c r="F13" s="9">
        <f t="shared" si="1"/>
        <v>4.6070899999999995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2418</v>
      </c>
      <c r="D14" s="227">
        <f>D15+D16</f>
        <v>349.66591999999997</v>
      </c>
      <c r="E14" s="5">
        <f t="shared" si="0"/>
        <v>14.460956162117453</v>
      </c>
      <c r="F14" s="5">
        <f t="shared" si="1"/>
        <v>-2068.3340800000001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1.8615600000000001</v>
      </c>
      <c r="E15" s="5">
        <f t="shared" si="0"/>
        <v>0.18197067448680351</v>
      </c>
      <c r="F15" s="9">
        <f>SUM(D15-C15)</f>
        <v>-1021.1384399999999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347.80435999999997</v>
      </c>
      <c r="E16" s="5">
        <f t="shared" si="0"/>
        <v>24.932212186379925</v>
      </c>
      <c r="F16" s="9">
        <f t="shared" si="1"/>
        <v>-1047.1956399999999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2.82</v>
      </c>
      <c r="E17" s="5">
        <f t="shared" si="0"/>
        <v>28.199999999999996</v>
      </c>
      <c r="F17" s="5">
        <f t="shared" si="1"/>
        <v>-7.18</v>
      </c>
    </row>
    <row r="18" spans="1:6" ht="18" customHeight="1">
      <c r="A18" s="7">
        <v>1080400001</v>
      </c>
      <c r="B18" s="8" t="s">
        <v>224</v>
      </c>
      <c r="C18" s="9">
        <v>10</v>
      </c>
      <c r="D18" s="10">
        <v>2.82</v>
      </c>
      <c r="E18" s="9">
        <f t="shared" si="0"/>
        <v>28.199999999999996</v>
      </c>
      <c r="F18" s="9">
        <f t="shared" si="1"/>
        <v>-7.18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30.471</v>
      </c>
      <c r="E25" s="5">
        <f t="shared" si="0"/>
        <v>10.8825</v>
      </c>
      <c r="F25" s="5">
        <f t="shared" si="1"/>
        <v>-249.529</v>
      </c>
    </row>
    <row r="26" spans="1:6" s="6" customFormat="1" ht="30.75" customHeight="1">
      <c r="A26" s="68">
        <v>1110000000</v>
      </c>
      <c r="B26" s="69" t="s">
        <v>126</v>
      </c>
      <c r="C26" s="5">
        <f>C28+C29</f>
        <v>250</v>
      </c>
      <c r="D26" s="5">
        <f>D28+D29</f>
        <v>0</v>
      </c>
      <c r="E26" s="5">
        <f t="shared" si="0"/>
        <v>0</v>
      </c>
      <c r="F26" s="5">
        <f t="shared" si="1"/>
        <v>-250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314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221</v>
      </c>
      <c r="C29" s="12">
        <v>50</v>
      </c>
      <c r="D29" s="10">
        <v>0</v>
      </c>
      <c r="E29" s="9">
        <f>SUM(D29/C29*100)</f>
        <v>0</v>
      </c>
      <c r="F29" s="9">
        <f t="shared" si="1"/>
        <v>-50</v>
      </c>
    </row>
    <row r="30" spans="1:6" s="15" customFormat="1" ht="35.25" customHeight="1">
      <c r="A30" s="68">
        <v>1130000000</v>
      </c>
      <c r="B30" s="69" t="s">
        <v>128</v>
      </c>
      <c r="C30" s="5">
        <f>C31</f>
        <v>30</v>
      </c>
      <c r="D30" s="5">
        <f>D31+D32</f>
        <v>7.6709999999999994</v>
      </c>
      <c r="E30" s="5">
        <f t="shared" si="0"/>
        <v>25.569999999999997</v>
      </c>
      <c r="F30" s="5">
        <f t="shared" si="1"/>
        <v>-22.329000000000001</v>
      </c>
    </row>
    <row r="31" spans="1:6" ht="18" customHeight="1">
      <c r="A31" s="7">
        <v>1130206510</v>
      </c>
      <c r="B31" s="8" t="s">
        <v>411</v>
      </c>
      <c r="C31" s="9">
        <v>30</v>
      </c>
      <c r="D31" s="10">
        <v>6.9029999999999996</v>
      </c>
      <c r="E31" s="9">
        <f>SUM(D31/C31*100)</f>
        <v>23.01</v>
      </c>
      <c r="F31" s="9">
        <f t="shared" si="1"/>
        <v>-23.097000000000001</v>
      </c>
    </row>
    <row r="32" spans="1:6" ht="18" customHeight="1">
      <c r="A32" s="7">
        <v>1130299000</v>
      </c>
      <c r="B32" s="8" t="s">
        <v>316</v>
      </c>
      <c r="C32" s="9"/>
      <c r="D32" s="10">
        <v>0.76800000000000002</v>
      </c>
      <c r="E32" s="9"/>
      <c r="F32" s="9"/>
    </row>
    <row r="33" spans="1:7" ht="18.75" customHeight="1">
      <c r="A33" s="70">
        <v>1140000000</v>
      </c>
      <c r="B33" s="71" t="s">
        <v>129</v>
      </c>
      <c r="C33" s="5">
        <f>C34+C35</f>
        <v>0</v>
      </c>
      <c r="D33" s="5">
        <f>D34+D35</f>
        <v>22.8</v>
      </c>
      <c r="E33" s="5" t="e">
        <f t="shared" si="0"/>
        <v>#DIV/0!</v>
      </c>
      <c r="F33" s="5">
        <f t="shared" si="1"/>
        <v>22.8</v>
      </c>
    </row>
    <row r="34" spans="1:7" ht="14.25" customHeight="1">
      <c r="A34" s="16">
        <v>1140200000</v>
      </c>
      <c r="B34" s="18" t="s">
        <v>130</v>
      </c>
      <c r="C34" s="9">
        <v>0</v>
      </c>
      <c r="D34" s="10">
        <v>22.8</v>
      </c>
      <c r="E34" s="9" t="e">
        <f t="shared" si="0"/>
        <v>#DIV/0!</v>
      </c>
      <c r="F34" s="9">
        <f t="shared" si="1"/>
        <v>22.8</v>
      </c>
    </row>
    <row r="35" spans="1:7" ht="15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6.5" customHeight="1">
      <c r="A36" s="99">
        <v>1160000000</v>
      </c>
      <c r="B36" s="13" t="s">
        <v>241</v>
      </c>
      <c r="C36" s="5">
        <f>C37</f>
        <v>0</v>
      </c>
      <c r="D36" s="14">
        <f>D37</f>
        <v>0</v>
      </c>
      <c r="E36" s="9" t="e">
        <f t="shared" si="0"/>
        <v>#DIV/0!</v>
      </c>
      <c r="F36" s="9">
        <f t="shared" si="1"/>
        <v>0</v>
      </c>
    </row>
    <row r="37" spans="1:7" ht="46.5" customHeight="1">
      <c r="A37" s="7">
        <v>1160701010</v>
      </c>
      <c r="B37" s="8" t="s">
        <v>402</v>
      </c>
      <c r="C37" s="9">
        <v>0</v>
      </c>
      <c r="D37" s="10">
        <v>0</v>
      </c>
      <c r="E37" s="9" t="e">
        <f t="shared" si="0"/>
        <v>#DIV/0!</v>
      </c>
      <c r="F37" s="9">
        <f t="shared" si="1"/>
        <v>0</v>
      </c>
    </row>
    <row r="38" spans="1:7" ht="24.75" customHeight="1">
      <c r="A38" s="3">
        <v>1170000000</v>
      </c>
      <c r="B38" s="13" t="s">
        <v>132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22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43.5" customHeight="1">
      <c r="A40" s="7">
        <v>1170505005</v>
      </c>
      <c r="B40" s="11" t="s">
        <v>217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767.62454000000002</v>
      </c>
      <c r="E41" s="5">
        <f t="shared" si="0"/>
        <v>19.323948746349814</v>
      </c>
      <c r="F41" s="5">
        <f t="shared" si="1"/>
        <v>-3204.7754599999998</v>
      </c>
    </row>
    <row r="42" spans="1:7" s="6" customFormat="1" ht="20.25" customHeight="1">
      <c r="A42" s="3">
        <v>2000000000</v>
      </c>
      <c r="B42" s="4" t="s">
        <v>17</v>
      </c>
      <c r="C42" s="443">
        <f>C43+C44+C45+C47+C48+C46+C49</f>
        <v>26110.08798</v>
      </c>
      <c r="D42" s="443">
        <f>D43+D44+D45+D47+D48+D46+D49</f>
        <v>1455.4859999999999</v>
      </c>
      <c r="E42" s="5">
        <f t="shared" si="0"/>
        <v>5.5744201287827293</v>
      </c>
      <c r="F42" s="5">
        <f t="shared" si="1"/>
        <v>-24654.601979999999</v>
      </c>
      <c r="G42" s="19"/>
    </row>
    <row r="43" spans="1:7" ht="17.25" customHeight="1">
      <c r="A43" s="16">
        <v>2021000000</v>
      </c>
      <c r="B43" s="17" t="s">
        <v>18</v>
      </c>
      <c r="C43" s="444">
        <v>5604.2</v>
      </c>
      <c r="D43" s="445">
        <v>1401.0509999999999</v>
      </c>
      <c r="E43" s="9">
        <f t="shared" si="0"/>
        <v>25.000017843760038</v>
      </c>
      <c r="F43" s="9">
        <f t="shared" si="1"/>
        <v>-4203.1489999999994</v>
      </c>
    </row>
    <row r="44" spans="1:7" ht="27.75" hidden="1" customHeight="1">
      <c r="A44" s="16">
        <v>2021500200</v>
      </c>
      <c r="B44" s="17" t="s">
        <v>228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20121.684079999999</v>
      </c>
      <c r="D45" s="10">
        <v>0</v>
      </c>
      <c r="E45" s="9">
        <f t="shared" si="0"/>
        <v>0</v>
      </c>
      <c r="F45" s="9">
        <f t="shared" si="1"/>
        <v>-20121.684079999999</v>
      </c>
    </row>
    <row r="46" spans="1:7" ht="23.25" hidden="1" customHeight="1">
      <c r="A46" s="16">
        <v>2022999910</v>
      </c>
      <c r="B46" s="18" t="s">
        <v>332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257.20389999999998</v>
      </c>
      <c r="D47" s="180">
        <v>54.435000000000002</v>
      </c>
      <c r="E47" s="9">
        <f t="shared" si="0"/>
        <v>21.164142534386148</v>
      </c>
      <c r="F47" s="9">
        <f t="shared" si="1"/>
        <v>-202.76889999999997</v>
      </c>
    </row>
    <row r="48" spans="1:7" ht="14.25" customHeight="1">
      <c r="A48" s="16">
        <v>2020400000</v>
      </c>
      <c r="B48" s="17" t="s">
        <v>21</v>
      </c>
      <c r="C48" s="12">
        <v>127</v>
      </c>
      <c r="D48" s="181">
        <v>0</v>
      </c>
      <c r="E48" s="9">
        <f t="shared" si="0"/>
        <v>0</v>
      </c>
      <c r="F48" s="9">
        <f t="shared" si="1"/>
        <v>-127</v>
      </c>
    </row>
    <row r="49" spans="1:8" ht="16.5" customHeight="1">
      <c r="A49" s="7">
        <v>2070500010</v>
      </c>
      <c r="B49" s="17" t="s">
        <v>333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6"/>
      <c r="D50" s="265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4">
        <v>0</v>
      </c>
      <c r="D51" s="264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7">
        <v>0</v>
      </c>
      <c r="D52" s="264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7">
        <f>SUM(C41,C42,C52)</f>
        <v>30082.487980000002</v>
      </c>
      <c r="D53" s="465">
        <f>D41+D42</f>
        <v>2223.1105399999997</v>
      </c>
      <c r="E53" s="5">
        <f t="shared" si="0"/>
        <v>7.390048793430946</v>
      </c>
      <c r="F53" s="5">
        <f t="shared" si="1"/>
        <v>-27859.377440000004</v>
      </c>
      <c r="G53" s="93"/>
      <c r="H53" s="93"/>
    </row>
    <row r="54" spans="1:8" s="6" customFormat="1">
      <c r="A54" s="3"/>
      <c r="B54" s="21" t="s">
        <v>307</v>
      </c>
      <c r="C54" s="5">
        <f>C53-C102</f>
        <v>-1077.1081400000003</v>
      </c>
      <c r="D54" s="5">
        <f>D53-D102</f>
        <v>73.202739999999721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410</v>
      </c>
      <c r="D56" s="472" t="s">
        <v>415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74">
        <f>C59+C60+C61+C62+C63+C65+C64</f>
        <v>2004.712</v>
      </c>
      <c r="D58" s="101">
        <f>D59+D60+D61+D62+D63+D65+D64</f>
        <v>321.35309000000001</v>
      </c>
      <c r="E58" s="34">
        <f>SUM(D58/C58*100)</f>
        <v>16.029888083674862</v>
      </c>
      <c r="F58" s="34">
        <f>SUM(D58-C58)</f>
        <v>-1683.3589099999999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1987.4</v>
      </c>
      <c r="D60" s="91">
        <v>314.04109</v>
      </c>
      <c r="E60" s="38">
        <f t="shared" ref="E60:E102" si="3">SUM(D60/C60*100)</f>
        <v>15.801604609036932</v>
      </c>
      <c r="F60" s="38">
        <f t="shared" ref="F60:F102" si="4">SUM(D60-C60)</f>
        <v>-1673.3589100000002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10</v>
      </c>
      <c r="D64" s="102">
        <v>0</v>
      </c>
      <c r="E64" s="38">
        <f t="shared" si="3"/>
        <v>0</v>
      </c>
      <c r="F64" s="38">
        <f t="shared" si="4"/>
        <v>-10</v>
      </c>
    </row>
    <row r="65" spans="1:7" ht="18" customHeight="1">
      <c r="A65" s="35" t="s">
        <v>41</v>
      </c>
      <c r="B65" s="39" t="s">
        <v>42</v>
      </c>
      <c r="C65" s="91">
        <v>7.3120000000000003</v>
      </c>
      <c r="D65" s="91">
        <v>7.3120000000000003</v>
      </c>
      <c r="E65" s="38">
        <f t="shared" si="3"/>
        <v>100</v>
      </c>
      <c r="F65" s="38">
        <f t="shared" si="4"/>
        <v>0</v>
      </c>
    </row>
    <row r="66" spans="1:7" s="6" customFormat="1" ht="15.75" customHeight="1">
      <c r="A66" s="41" t="s">
        <v>43</v>
      </c>
      <c r="B66" s="42" t="s">
        <v>44</v>
      </c>
      <c r="C66" s="475">
        <f>C67</f>
        <v>235.76499999999999</v>
      </c>
      <c r="D66" s="22">
        <f>D67</f>
        <v>33.179630000000003</v>
      </c>
      <c r="E66" s="34">
        <f t="shared" si="3"/>
        <v>14.073178800924651</v>
      </c>
      <c r="F66" s="34">
        <f t="shared" si="4"/>
        <v>-202.58536999999998</v>
      </c>
    </row>
    <row r="67" spans="1:7">
      <c r="A67" s="43" t="s">
        <v>45</v>
      </c>
      <c r="B67" s="44" t="s">
        <v>46</v>
      </c>
      <c r="C67" s="91">
        <v>235.76499999999999</v>
      </c>
      <c r="D67" s="91">
        <v>33.179630000000003</v>
      </c>
      <c r="E67" s="38">
        <f t="shared" si="3"/>
        <v>14.073178800924651</v>
      </c>
      <c r="F67" s="38">
        <f t="shared" si="4"/>
        <v>-202.58536999999998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23</v>
      </c>
      <c r="D68" s="22">
        <f>D71+D73+D72</f>
        <v>0</v>
      </c>
      <c r="E68" s="34">
        <f t="shared" si="3"/>
        <v>0</v>
      </c>
      <c r="F68" s="34">
        <f t="shared" si="4"/>
        <v>-23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14</v>
      </c>
      <c r="D71" s="91">
        <v>0</v>
      </c>
      <c r="E71" s="34">
        <f t="shared" si="3"/>
        <v>0</v>
      </c>
      <c r="F71" s="34">
        <f t="shared" si="4"/>
        <v>-14</v>
      </c>
    </row>
    <row r="72" spans="1:7" ht="15.75" customHeight="1">
      <c r="A72" s="46" t="s">
        <v>215</v>
      </c>
      <c r="B72" s="47" t="s">
        <v>216</v>
      </c>
      <c r="C72" s="91">
        <v>7</v>
      </c>
      <c r="D72" s="91">
        <v>0</v>
      </c>
      <c r="E72" s="38">
        <f t="shared" ref="E72" si="5">SUM(D72/C72*100)</f>
        <v>0</v>
      </c>
      <c r="F72" s="38">
        <f t="shared" ref="F72" si="6">SUM(D72-C72)</f>
        <v>-7</v>
      </c>
    </row>
    <row r="73" spans="1:7" ht="15.75" customHeight="1">
      <c r="A73" s="46" t="s">
        <v>340</v>
      </c>
      <c r="B73" s="47" t="s">
        <v>341</v>
      </c>
      <c r="C73" s="91">
        <v>2</v>
      </c>
      <c r="D73" s="91">
        <v>0</v>
      </c>
      <c r="E73" s="34">
        <v>0</v>
      </c>
      <c r="F73" s="34">
        <v>0</v>
      </c>
    </row>
    <row r="74" spans="1:7" s="6" customFormat="1" ht="17.25" customHeight="1">
      <c r="A74" s="440" t="s">
        <v>55</v>
      </c>
      <c r="B74" s="31" t="s">
        <v>56</v>
      </c>
      <c r="C74" s="476">
        <f>C76+C77+C78+C75</f>
        <v>2972.07555</v>
      </c>
      <c r="D74" s="103">
        <f>SUM(D75:D78)</f>
        <v>8</v>
      </c>
      <c r="E74" s="34">
        <f t="shared" si="3"/>
        <v>0.26917216152193707</v>
      </c>
      <c r="F74" s="34">
        <f t="shared" si="4"/>
        <v>-2964.07555</v>
      </c>
    </row>
    <row r="75" spans="1:7" ht="15" customHeight="1">
      <c r="A75" s="35" t="s">
        <v>57</v>
      </c>
      <c r="B75" s="39" t="s">
        <v>58</v>
      </c>
      <c r="C75" s="104">
        <v>21.4389</v>
      </c>
      <c r="D75" s="91">
        <v>0</v>
      </c>
      <c r="E75" s="38">
        <f t="shared" si="3"/>
        <v>0</v>
      </c>
      <c r="F75" s="38">
        <f t="shared" si="4"/>
        <v>-21.4389</v>
      </c>
    </row>
    <row r="76" spans="1:7" s="6" customFormat="1" ht="19.5" hidden="1" customHeight="1">
      <c r="A76" s="35" t="s">
        <v>59</v>
      </c>
      <c r="B76" s="39" t="s">
        <v>60</v>
      </c>
      <c r="C76" s="104">
        <v>0</v>
      </c>
      <c r="D76" s="91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0</v>
      </c>
      <c r="E77" s="38">
        <f t="shared" si="3"/>
        <v>0</v>
      </c>
      <c r="F77" s="38">
        <f t="shared" si="4"/>
        <v>-2714.24865</v>
      </c>
    </row>
    <row r="78" spans="1:7">
      <c r="A78" s="35" t="s">
        <v>63</v>
      </c>
      <c r="B78" s="39" t="s">
        <v>64</v>
      </c>
      <c r="C78" s="104">
        <v>236.38800000000001</v>
      </c>
      <c r="D78" s="91">
        <v>8</v>
      </c>
      <c r="E78" s="38">
        <f t="shared" si="3"/>
        <v>3.3842665448330709</v>
      </c>
      <c r="F78" s="38">
        <f t="shared" si="4"/>
        <v>-228.38800000000001</v>
      </c>
    </row>
    <row r="79" spans="1:7" s="6" customFormat="1" ht="24" customHeight="1">
      <c r="A79" s="30" t="s">
        <v>65</v>
      </c>
      <c r="B79" s="31" t="s">
        <v>66</v>
      </c>
      <c r="C79" s="477">
        <f>SUM(C80:C83)</f>
        <v>22582.14357</v>
      </c>
      <c r="D79" s="22">
        <f>SUM(D80:D83)</f>
        <v>964.66260999999997</v>
      </c>
      <c r="E79" s="34">
        <f t="shared" si="3"/>
        <v>4.2717938047366681</v>
      </c>
      <c r="F79" s="34">
        <f t="shared" si="4"/>
        <v>-21617.480960000001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2925.8124899999998</v>
      </c>
      <c r="D81" s="91">
        <v>256.10784999999998</v>
      </c>
      <c r="E81" s="38">
        <f t="shared" si="3"/>
        <v>8.7533924636434914</v>
      </c>
      <c r="F81" s="38">
        <f t="shared" si="4"/>
        <v>-2669.7046399999999</v>
      </c>
    </row>
    <row r="82" spans="1:6" ht="15" customHeight="1">
      <c r="A82" s="35" t="s">
        <v>71</v>
      </c>
      <c r="B82" s="39" t="s">
        <v>72</v>
      </c>
      <c r="C82" s="91">
        <v>19656.33108</v>
      </c>
      <c r="D82" s="91">
        <v>708.55475999999999</v>
      </c>
      <c r="E82" s="38">
        <f t="shared" si="3"/>
        <v>3.604715229491342</v>
      </c>
      <c r="F82" s="38">
        <f t="shared" si="4"/>
        <v>-18947.776320000001</v>
      </c>
    </row>
    <row r="83" spans="1:6" ht="18" hidden="1" customHeight="1">
      <c r="A83" s="35" t="s">
        <v>252</v>
      </c>
      <c r="B83" s="39" t="s">
        <v>253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83</v>
      </c>
      <c r="B84" s="31" t="s">
        <v>84</v>
      </c>
      <c r="C84" s="22">
        <f>C85+C86</f>
        <v>3331.9</v>
      </c>
      <c r="D84" s="22">
        <f>D85+D86</f>
        <v>822.71247000000005</v>
      </c>
      <c r="E84" s="34">
        <f t="shared" si="3"/>
        <v>24.691991656412256</v>
      </c>
      <c r="F84" s="34">
        <f t="shared" si="4"/>
        <v>-2509.1875300000002</v>
      </c>
    </row>
    <row r="85" spans="1:6" ht="14.25" customHeight="1">
      <c r="A85" s="35" t="s">
        <v>85</v>
      </c>
      <c r="B85" s="39" t="s">
        <v>230</v>
      </c>
      <c r="C85" s="91">
        <v>3331.9</v>
      </c>
      <c r="D85" s="91">
        <v>822.71247000000005</v>
      </c>
      <c r="E85" s="38">
        <f t="shared" si="3"/>
        <v>24.691991656412256</v>
      </c>
      <c r="F85" s="38">
        <f t="shared" si="4"/>
        <v>-2509.1875300000002</v>
      </c>
    </row>
    <row r="86" spans="1:6" ht="14.25" hidden="1" customHeight="1">
      <c r="A86" s="35" t="s">
        <v>259</v>
      </c>
      <c r="B86" s="39" t="s">
        <v>260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86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87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88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89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90</v>
      </c>
      <c r="B91" s="39" t="s">
        <v>91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92</v>
      </c>
      <c r="B92" s="31" t="s">
        <v>93</v>
      </c>
      <c r="C92" s="22">
        <f>C93+C94+C95+C96+C97</f>
        <v>10</v>
      </c>
      <c r="D92" s="22">
        <f>D93+D94+D95+D96+D97</f>
        <v>0</v>
      </c>
      <c r="E92" s="34">
        <f t="shared" si="3"/>
        <v>0</v>
      </c>
      <c r="F92" s="22">
        <f>F93+F94+F95+F96+F97</f>
        <v>-10</v>
      </c>
    </row>
    <row r="93" spans="1:6" ht="15.75" customHeight="1">
      <c r="A93" s="35" t="s">
        <v>94</v>
      </c>
      <c r="B93" s="39" t="s">
        <v>95</v>
      </c>
      <c r="C93" s="91">
        <v>10</v>
      </c>
      <c r="D93" s="91">
        <v>0</v>
      </c>
      <c r="E93" s="38">
        <f t="shared" si="3"/>
        <v>0</v>
      </c>
      <c r="F93" s="38">
        <f>SUM(D93-C93)</f>
        <v>-10</v>
      </c>
    </row>
    <row r="94" spans="1:6" ht="15" hidden="1" customHeight="1">
      <c r="A94" s="35" t="s">
        <v>96</v>
      </c>
      <c r="B94" s="39" t="s">
        <v>97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98</v>
      </c>
      <c r="B95" s="39" t="s">
        <v>99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100</v>
      </c>
      <c r="B96" s="39" t="s">
        <v>101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102</v>
      </c>
      <c r="B97" s="39" t="s">
        <v>103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112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114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115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116</v>
      </c>
      <c r="C102" s="457">
        <f>C58+C66+C68+C74+C79+C84+C92+C87+C98</f>
        <v>31159.596120000002</v>
      </c>
      <c r="D102" s="457">
        <f>D58+D66+D68+D74+D79+D84+D92+D87+D98</f>
        <v>2149.9078</v>
      </c>
      <c r="E102" s="34">
        <f t="shared" si="3"/>
        <v>6.8996651680605927</v>
      </c>
      <c r="F102" s="34">
        <f t="shared" si="4"/>
        <v>-29009.688320000001</v>
      </c>
      <c r="G102" s="93"/>
    </row>
    <row r="103" spans="1:7" ht="5.25" customHeight="1">
      <c r="D103" s="61"/>
    </row>
    <row r="104" spans="1:7" s="65" customFormat="1" ht="12.75">
      <c r="A104" s="63" t="s">
        <v>117</v>
      </c>
      <c r="B104" s="63"/>
      <c r="C104" s="131"/>
      <c r="D104" s="64"/>
    </row>
    <row r="105" spans="1:7" s="65" customFormat="1" ht="12.75">
      <c r="A105" s="66" t="s">
        <v>118</v>
      </c>
      <c r="B105" s="66"/>
      <c r="C105" s="131" t="s">
        <v>119</v>
      </c>
    </row>
    <row r="143" hidden="1"/>
  </sheetData>
  <customSheetViews>
    <customSheetView guid="{E6F84523-F47F-492E-BB0B-0D2156A983B1}" scale="70" showPageBreaks="1" printArea="1" hiddenRows="1" state="hidden" view="pageBreakPreview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2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6" orientation="portrait" r:id="rId3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4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5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6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7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8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9"/>
      <headerFooter alignWithMargins="0"/>
    </customSheetView>
    <customSheetView guid="{61528DAC-5C4C-48F4-ADE2-8A724B05A086}" scale="70" showPageBreaks="1" printArea="1" hiddenRows="1" view="pageBreakPreview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5"/>
  <sheetViews>
    <sheetView view="pageBreakPreview" zoomScale="70" zoomScaleNormal="100" zoomScaleSheetLayoutView="70" workbookViewId="0">
      <selection activeCell="C94" sqref="C94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418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272.00781000000001</v>
      </c>
      <c r="E4" s="5">
        <f>SUM(D4/C4*100)</f>
        <v>12.319361676109732</v>
      </c>
      <c r="F4" s="5">
        <f>SUM(D4-C4)</f>
        <v>-1935.9621899999997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6.6431800000000001</v>
      </c>
      <c r="E5" s="5">
        <f t="shared" ref="E5:E54" si="0">SUM(D5/C5*100)</f>
        <v>5.5359833333333341</v>
      </c>
      <c r="F5" s="5">
        <f t="shared" ref="F5:F54" si="1">SUM(D5-C5)</f>
        <v>-113.35682</v>
      </c>
    </row>
    <row r="6" spans="1:6">
      <c r="A6" s="7">
        <v>1010200001</v>
      </c>
      <c r="B6" s="8" t="s">
        <v>225</v>
      </c>
      <c r="C6" s="9">
        <v>120</v>
      </c>
      <c r="D6" s="10">
        <v>6.6431800000000001</v>
      </c>
      <c r="E6" s="9">
        <f t="shared" ref="E6:E11" si="2">SUM(D6/C6*100)</f>
        <v>5.5359833333333341</v>
      </c>
      <c r="F6" s="9">
        <f t="shared" si="1"/>
        <v>-113.35682</v>
      </c>
    </row>
    <row r="7" spans="1:6" ht="31.5">
      <c r="A7" s="3">
        <v>1030000000</v>
      </c>
      <c r="B7" s="13" t="s">
        <v>267</v>
      </c>
      <c r="C7" s="5">
        <f>C8+C10+C9</f>
        <v>777.96999999999991</v>
      </c>
      <c r="D7" s="5">
        <f>D8+D10+D9+D11</f>
        <v>205.56130999999999</v>
      </c>
      <c r="E7" s="9">
        <f t="shared" si="2"/>
        <v>26.422781084103502</v>
      </c>
      <c r="F7" s="9">
        <f t="shared" si="1"/>
        <v>-572.40868999999998</v>
      </c>
    </row>
    <row r="8" spans="1:6">
      <c r="A8" s="7">
        <v>1030223001</v>
      </c>
      <c r="B8" s="8" t="s">
        <v>269</v>
      </c>
      <c r="C8" s="9">
        <v>290.18299999999999</v>
      </c>
      <c r="D8" s="10">
        <v>98.721789999999999</v>
      </c>
      <c r="E8" s="9">
        <f t="shared" si="2"/>
        <v>34.020528425166191</v>
      </c>
      <c r="F8" s="9">
        <f t="shared" si="1"/>
        <v>-191.46120999999999</v>
      </c>
    </row>
    <row r="9" spans="1:6">
      <c r="A9" s="7">
        <v>1030224001</v>
      </c>
      <c r="B9" s="8" t="s">
        <v>275</v>
      </c>
      <c r="C9" s="9">
        <v>3.1120000000000001</v>
      </c>
      <c r="D9" s="10">
        <v>0.63258000000000003</v>
      </c>
      <c r="E9" s="9">
        <f t="shared" si="2"/>
        <v>20.327120822622106</v>
      </c>
      <c r="F9" s="9">
        <f t="shared" si="1"/>
        <v>-2.4794200000000002</v>
      </c>
    </row>
    <row r="10" spans="1:6">
      <c r="A10" s="7">
        <v>1030225001</v>
      </c>
      <c r="B10" s="8" t="s">
        <v>268</v>
      </c>
      <c r="C10" s="9">
        <v>484.67500000000001</v>
      </c>
      <c r="D10" s="10">
        <v>119.45173</v>
      </c>
      <c r="E10" s="9">
        <f t="shared" si="2"/>
        <v>24.645737865580028</v>
      </c>
      <c r="F10" s="9">
        <f t="shared" si="1"/>
        <v>-365.22327000000001</v>
      </c>
    </row>
    <row r="11" spans="1:6">
      <c r="A11" s="7">
        <v>1030226001</v>
      </c>
      <c r="B11" s="8" t="s">
        <v>277</v>
      </c>
      <c r="C11" s="9">
        <v>0</v>
      </c>
      <c r="D11" s="10">
        <v>-13.24479</v>
      </c>
      <c r="E11" s="9" t="e">
        <f t="shared" si="2"/>
        <v>#DIV/0!</v>
      </c>
      <c r="F11" s="9">
        <f t="shared" si="1"/>
        <v>-13.24479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2.8235999999999999</v>
      </c>
      <c r="E12" s="5">
        <f t="shared" si="0"/>
        <v>28.236000000000001</v>
      </c>
      <c r="F12" s="5">
        <f t="shared" si="1"/>
        <v>-7.1764000000000001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2.8235999999999999</v>
      </c>
      <c r="E13" s="9">
        <f t="shared" si="0"/>
        <v>28.236000000000001</v>
      </c>
      <c r="F13" s="9">
        <f t="shared" si="1"/>
        <v>-7.1764000000000001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1296</v>
      </c>
      <c r="D14" s="5">
        <f>D15+D16</f>
        <v>56.079720000000002</v>
      </c>
      <c r="E14" s="5">
        <f t="shared" si="0"/>
        <v>4.3271388888888884</v>
      </c>
      <c r="F14" s="5">
        <f t="shared" si="1"/>
        <v>-1239.92028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13.92037</v>
      </c>
      <c r="E15" s="9">
        <f t="shared" si="0"/>
        <v>3.4286625615763544</v>
      </c>
      <c r="F15" s="9">
        <f>SUM(D15-C15)</f>
        <v>-392.07963000000001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42.159350000000003</v>
      </c>
      <c r="E16" s="9">
        <f t="shared" si="0"/>
        <v>4.7370056179775286</v>
      </c>
      <c r="F16" s="9">
        <f t="shared" si="1"/>
        <v>-847.84064999999998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0.9</v>
      </c>
      <c r="E17" s="5">
        <f t="shared" si="0"/>
        <v>22.5</v>
      </c>
      <c r="F17" s="5">
        <f t="shared" si="1"/>
        <v>-3.1</v>
      </c>
    </row>
    <row r="18" spans="1:6" ht="21.75" customHeight="1">
      <c r="A18" s="7">
        <v>1080400001</v>
      </c>
      <c r="B18" s="8" t="s">
        <v>224</v>
      </c>
      <c r="C18" s="9">
        <v>4</v>
      </c>
      <c r="D18" s="10">
        <v>0.9</v>
      </c>
      <c r="E18" s="9">
        <f t="shared" si="0"/>
        <v>22.5</v>
      </c>
      <c r="F18" s="9">
        <f t="shared" si="1"/>
        <v>-3.1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300</v>
      </c>
      <c r="D25" s="5">
        <f>D26+D30+D33+D39+D36</f>
        <v>61.488999999999997</v>
      </c>
      <c r="E25" s="5">
        <f t="shared" si="0"/>
        <v>20.496333333333332</v>
      </c>
      <c r="F25" s="5">
        <f t="shared" si="1"/>
        <v>-238.511</v>
      </c>
    </row>
    <row r="26" spans="1:6" s="6" customFormat="1" ht="30" customHeight="1">
      <c r="A26" s="68">
        <v>1110000000</v>
      </c>
      <c r="B26" s="69" t="s">
        <v>126</v>
      </c>
      <c r="C26" s="5">
        <f>C27+C28+C29</f>
        <v>270</v>
      </c>
      <c r="D26" s="5">
        <f>D27+D28+D29</f>
        <v>60.768999999999998</v>
      </c>
      <c r="E26" s="5">
        <f t="shared" si="0"/>
        <v>22.507037037037037</v>
      </c>
      <c r="F26" s="5">
        <f t="shared" si="1"/>
        <v>-209.23099999999999</v>
      </c>
    </row>
    <row r="27" spans="1:6">
      <c r="A27" s="16">
        <v>1110501101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286</v>
      </c>
      <c r="C28" s="12">
        <v>250</v>
      </c>
      <c r="D28" s="10">
        <v>60.768999999999998</v>
      </c>
      <c r="E28" s="9">
        <f t="shared" si="0"/>
        <v>24.307599999999997</v>
      </c>
      <c r="F28" s="9">
        <f t="shared" si="1"/>
        <v>-189.23099999999999</v>
      </c>
    </row>
    <row r="29" spans="1:6" ht="18" customHeight="1">
      <c r="A29" s="7">
        <v>1110503505</v>
      </c>
      <c r="B29" s="11" t="s">
        <v>221</v>
      </c>
      <c r="C29" s="12">
        <v>20</v>
      </c>
      <c r="D29" s="10">
        <v>0</v>
      </c>
      <c r="E29" s="9">
        <f t="shared" si="0"/>
        <v>0</v>
      </c>
      <c r="F29" s="9">
        <f t="shared" si="1"/>
        <v>-20</v>
      </c>
    </row>
    <row r="30" spans="1:6" s="15" customFormat="1" ht="15.75" customHeight="1">
      <c r="A30" s="68">
        <v>1130000000</v>
      </c>
      <c r="B30" s="69" t="s">
        <v>128</v>
      </c>
      <c r="C30" s="5">
        <f>C31</f>
        <v>30</v>
      </c>
      <c r="D30" s="5">
        <f>D31+D32</f>
        <v>0.72</v>
      </c>
      <c r="E30" s="5">
        <f t="shared" si="0"/>
        <v>2.4</v>
      </c>
      <c r="F30" s="5">
        <f t="shared" si="1"/>
        <v>-29.28</v>
      </c>
    </row>
    <row r="31" spans="1:6" ht="31.5">
      <c r="A31" s="7">
        <v>1130206510</v>
      </c>
      <c r="B31" s="8" t="s">
        <v>411</v>
      </c>
      <c r="C31" s="9">
        <v>30</v>
      </c>
      <c r="D31" s="10">
        <v>0</v>
      </c>
      <c r="E31" s="9">
        <f t="shared" si="0"/>
        <v>0</v>
      </c>
      <c r="F31" s="9">
        <f t="shared" si="1"/>
        <v>-30</v>
      </c>
    </row>
    <row r="32" spans="1:6">
      <c r="A32" s="7">
        <v>1130299000</v>
      </c>
      <c r="B32" s="8" t="s">
        <v>316</v>
      </c>
      <c r="C32" s="9">
        <v>0</v>
      </c>
      <c r="D32" s="10">
        <v>0.72</v>
      </c>
      <c r="E32" s="9" t="e">
        <f t="shared" si="0"/>
        <v>#DIV/0!</v>
      </c>
      <c r="F32" s="9">
        <f t="shared" si="1"/>
        <v>0.72</v>
      </c>
    </row>
    <row r="33" spans="1:7" ht="17.25" customHeight="1">
      <c r="A33" s="70">
        <v>1140000000</v>
      </c>
      <c r="B33" s="71" t="s">
        <v>129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4.75" customHeight="1">
      <c r="A36" s="3">
        <v>1160000000</v>
      </c>
      <c r="B36" s="13" t="s">
        <v>241</v>
      </c>
      <c r="C36" s="5">
        <f>C38+C37</f>
        <v>0</v>
      </c>
      <c r="D36" s="5">
        <f>D38+D37</f>
        <v>0</v>
      </c>
      <c r="E36" s="5" t="e">
        <f t="shared" si="0"/>
        <v>#DIV/0!</v>
      </c>
      <c r="F36" s="5">
        <f t="shared" si="1"/>
        <v>0</v>
      </c>
    </row>
    <row r="37" spans="1:7" ht="24.75" customHeight="1">
      <c r="A37" s="7">
        <v>1160709000</v>
      </c>
      <c r="B37" s="8" t="s">
        <v>407</v>
      </c>
      <c r="C37" s="9">
        <v>0</v>
      </c>
      <c r="D37" s="9">
        <v>0</v>
      </c>
      <c r="E37" s="9" t="e">
        <f>SUM(D37/C37*100)</f>
        <v>#DIV/0!</v>
      </c>
      <c r="F37" s="9">
        <f>SUM(D37-C37)</f>
        <v>0</v>
      </c>
    </row>
    <row r="38" spans="1:7" ht="30.75" customHeight="1">
      <c r="A38" s="7">
        <v>1169005010</v>
      </c>
      <c r="B38" s="8" t="s">
        <v>309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24.75" customHeight="1">
      <c r="A39" s="3">
        <v>1170000000</v>
      </c>
      <c r="B39" s="13" t="s">
        <v>132</v>
      </c>
      <c r="C39" s="5">
        <f>C40+C41</f>
        <v>0</v>
      </c>
      <c r="D39" s="5">
        <f>D40+D41</f>
        <v>0</v>
      </c>
      <c r="E39" s="9" t="e">
        <f t="shared" si="0"/>
        <v>#DIV/0!</v>
      </c>
      <c r="F39" s="5">
        <f t="shared" si="1"/>
        <v>0</v>
      </c>
    </row>
    <row r="40" spans="1:7" ht="0.75" customHeight="1">
      <c r="A40" s="7">
        <v>1170105005</v>
      </c>
      <c r="B40" s="8" t="s">
        <v>15</v>
      </c>
      <c r="C40" s="9">
        <v>0</v>
      </c>
      <c r="D40" s="9">
        <v>0</v>
      </c>
      <c r="E40" s="9" t="e">
        <f t="shared" si="0"/>
        <v>#DIV/0!</v>
      </c>
      <c r="F40" s="9">
        <f t="shared" si="1"/>
        <v>0</v>
      </c>
    </row>
    <row r="41" spans="1:7" s="276" customFormat="1" ht="21.75" hidden="1" customHeight="1">
      <c r="A41" s="273">
        <v>1170505005</v>
      </c>
      <c r="B41" s="274" t="s">
        <v>217</v>
      </c>
      <c r="C41" s="143">
        <v>0</v>
      </c>
      <c r="D41" s="441">
        <v>0</v>
      </c>
      <c r="E41" s="275" t="e">
        <f t="shared" si="0"/>
        <v>#DIV/0!</v>
      </c>
      <c r="F41" s="275">
        <f t="shared" si="1"/>
        <v>0</v>
      </c>
    </row>
    <row r="42" spans="1:7" s="6" customFormat="1" ht="15" customHeight="1">
      <c r="A42" s="3">
        <v>1000000000</v>
      </c>
      <c r="B42" s="4" t="s">
        <v>16</v>
      </c>
      <c r="C42" s="125">
        <f>SUM(C4,C25)</f>
        <v>2507.9699999999998</v>
      </c>
      <c r="D42" s="125">
        <f>D4+D25</f>
        <v>333.49680999999998</v>
      </c>
      <c r="E42" s="5">
        <f t="shared" si="0"/>
        <v>13.297480033652715</v>
      </c>
      <c r="F42" s="5">
        <f t="shared" si="1"/>
        <v>-2174.4731899999997</v>
      </c>
    </row>
    <row r="43" spans="1:7" s="6" customFormat="1">
      <c r="A43" s="3">
        <v>2000000000</v>
      </c>
      <c r="B43" s="4" t="s">
        <v>17</v>
      </c>
      <c r="C43" s="227">
        <f>C44+C46+C48+C49+C50+C51+C45+C47+C53</f>
        <v>13570.24272</v>
      </c>
      <c r="D43" s="250">
        <f>D44+D46+D48+D49+D50+D51+D45+D47+D53</f>
        <v>925.92100000000005</v>
      </c>
      <c r="E43" s="5">
        <f t="shared" si="0"/>
        <v>6.8231719881868118</v>
      </c>
      <c r="F43" s="5">
        <f t="shared" si="1"/>
        <v>-12644.32172</v>
      </c>
      <c r="G43" s="19"/>
    </row>
    <row r="44" spans="1:7">
      <c r="A44" s="16">
        <v>2021000000</v>
      </c>
      <c r="B44" s="17" t="s">
        <v>18</v>
      </c>
      <c r="C44" s="442">
        <v>2693</v>
      </c>
      <c r="D44" s="20">
        <v>673.25099999999998</v>
      </c>
      <c r="E44" s="9">
        <f t="shared" si="0"/>
        <v>25.000037133308577</v>
      </c>
      <c r="F44" s="9">
        <f t="shared" si="1"/>
        <v>-2019.749</v>
      </c>
    </row>
    <row r="45" spans="1:7" hidden="1">
      <c r="A45" s="16">
        <v>2021500200</v>
      </c>
      <c r="B45" s="17" t="s">
        <v>228</v>
      </c>
      <c r="C45" s="12"/>
      <c r="D45" s="20">
        <v>0</v>
      </c>
      <c r="E45" s="9" t="e">
        <f t="shared" si="0"/>
        <v>#DIV/0!</v>
      </c>
      <c r="F45" s="9">
        <f t="shared" si="1"/>
        <v>0</v>
      </c>
    </row>
    <row r="46" spans="1:7" ht="15" customHeight="1">
      <c r="A46" s="16">
        <v>2022000000</v>
      </c>
      <c r="B46" s="17" t="s">
        <v>19</v>
      </c>
      <c r="C46" s="12">
        <v>7559.90344</v>
      </c>
      <c r="D46" s="10">
        <v>181.45099999999999</v>
      </c>
      <c r="E46" s="9">
        <f t="shared" si="0"/>
        <v>2.4001761588637436</v>
      </c>
      <c r="F46" s="9">
        <f t="shared" si="1"/>
        <v>-7378.45244</v>
      </c>
    </row>
    <row r="47" spans="1:7" hidden="1">
      <c r="A47" s="16">
        <v>2022999910</v>
      </c>
      <c r="B47" s="18" t="s">
        <v>332</v>
      </c>
      <c r="C47" s="12"/>
      <c r="D47" s="10">
        <v>0</v>
      </c>
      <c r="E47" s="9" t="e">
        <f>SUM(D47/C47*100)</f>
        <v>#DIV/0!</v>
      </c>
      <c r="F47" s="9">
        <f>SUM(D47-C47)</f>
        <v>0</v>
      </c>
    </row>
    <row r="48" spans="1:7">
      <c r="A48" s="16">
        <v>2023000000</v>
      </c>
      <c r="B48" s="17" t="s">
        <v>20</v>
      </c>
      <c r="C48" s="12">
        <v>108.5819</v>
      </c>
      <c r="D48" s="180">
        <v>27.219000000000001</v>
      </c>
      <c r="E48" s="9">
        <f>SUM(D48/C48*100)</f>
        <v>25.067713863912861</v>
      </c>
      <c r="F48" s="9">
        <f>SUM(D48-C48)</f>
        <v>-81.362899999999996</v>
      </c>
    </row>
    <row r="49" spans="1:8">
      <c r="A49" s="16">
        <v>2024000000</v>
      </c>
      <c r="B49" s="17" t="s">
        <v>21</v>
      </c>
      <c r="C49" s="12">
        <v>2172.5410000000002</v>
      </c>
      <c r="D49" s="181"/>
      <c r="E49" s="9">
        <f t="shared" si="0"/>
        <v>0</v>
      </c>
      <c r="F49" s="9">
        <f t="shared" si="1"/>
        <v>-2172.5410000000002</v>
      </c>
    </row>
    <row r="50" spans="1:8" ht="0.75" customHeight="1">
      <c r="A50" s="16">
        <v>2020700000</v>
      </c>
      <c r="B50" s="18" t="s">
        <v>22</v>
      </c>
      <c r="C50" s="12"/>
      <c r="D50" s="181"/>
      <c r="E50" s="9" t="e">
        <f t="shared" si="0"/>
        <v>#DIV/0!</v>
      </c>
      <c r="F50" s="9">
        <f t="shared" si="1"/>
        <v>0</v>
      </c>
    </row>
    <row r="51" spans="1:8" ht="0.75" hidden="1" customHeight="1">
      <c r="A51" s="7">
        <v>2190500005</v>
      </c>
      <c r="B51" s="11" t="s">
        <v>23</v>
      </c>
      <c r="C51" s="10">
        <v>0</v>
      </c>
      <c r="D51" s="10">
        <v>0</v>
      </c>
      <c r="E51" s="9" t="e">
        <f t="shared" si="0"/>
        <v>#DIV/0!</v>
      </c>
      <c r="F51" s="9">
        <f>SUM(D51-C51)</f>
        <v>0</v>
      </c>
    </row>
    <row r="52" spans="1:8" s="6" customFormat="1" ht="2.25" hidden="1" customHeight="1">
      <c r="A52" s="3">
        <v>3000000000</v>
      </c>
      <c r="B52" s="13" t="s">
        <v>24</v>
      </c>
      <c r="C52" s="184">
        <v>0</v>
      </c>
      <c r="D52" s="14">
        <v>0</v>
      </c>
      <c r="E52" s="5" t="e">
        <f t="shared" si="0"/>
        <v>#DIV/0!</v>
      </c>
      <c r="F52" s="5">
        <f t="shared" si="1"/>
        <v>0</v>
      </c>
    </row>
    <row r="53" spans="1:8" s="6" customFormat="1">
      <c r="A53" s="7">
        <v>2070500010</v>
      </c>
      <c r="B53" s="17" t="s">
        <v>333</v>
      </c>
      <c r="C53" s="12">
        <v>1036.2163800000001</v>
      </c>
      <c r="D53" s="10">
        <v>44</v>
      </c>
      <c r="E53" s="9">
        <f t="shared" si="0"/>
        <v>4.2462173778800905</v>
      </c>
      <c r="F53" s="9">
        <f t="shared" si="1"/>
        <v>-992.21638000000007</v>
      </c>
    </row>
    <row r="54" spans="1:8" s="6" customFormat="1" ht="23.25" customHeight="1">
      <c r="A54" s="3"/>
      <c r="B54" s="4" t="s">
        <v>25</v>
      </c>
      <c r="C54" s="227">
        <f>C42+C43</f>
        <v>16078.21272</v>
      </c>
      <c r="D54" s="466">
        <f>D42+D43</f>
        <v>1259.4178099999999</v>
      </c>
      <c r="E54" s="5">
        <f t="shared" si="0"/>
        <v>7.8330709509358947</v>
      </c>
      <c r="F54" s="5">
        <f t="shared" si="1"/>
        <v>-14818.794910000001</v>
      </c>
      <c r="G54" s="93"/>
      <c r="H54" s="93"/>
    </row>
    <row r="55" spans="1:8" s="6" customFormat="1">
      <c r="A55" s="3"/>
      <c r="B55" s="21" t="s">
        <v>307</v>
      </c>
      <c r="C55" s="5">
        <f>C54-C103</f>
        <v>-789.82804000000033</v>
      </c>
      <c r="D55" s="5">
        <f>D54-D103</f>
        <v>80.783570000000054</v>
      </c>
      <c r="E55" s="22"/>
      <c r="F55" s="22"/>
    </row>
    <row r="56" spans="1:8" ht="32.25" customHeight="1">
      <c r="A56" s="23"/>
      <c r="B56" s="24"/>
      <c r="C56" s="177"/>
      <c r="D56" s="25"/>
      <c r="E56" s="26"/>
      <c r="F56" s="27"/>
    </row>
    <row r="57" spans="1:8" ht="63">
      <c r="A57" s="28" t="s">
        <v>0</v>
      </c>
      <c r="B57" s="28" t="s">
        <v>26</v>
      </c>
      <c r="C57" s="72" t="s">
        <v>410</v>
      </c>
      <c r="D57" s="472" t="s">
        <v>415</v>
      </c>
      <c r="E57" s="72" t="s">
        <v>2</v>
      </c>
      <c r="F57" s="73" t="s">
        <v>3</v>
      </c>
    </row>
    <row r="58" spans="1:8">
      <c r="A58" s="88">
        <v>1</v>
      </c>
      <c r="B58" s="28">
        <v>2</v>
      </c>
      <c r="C58" s="86">
        <v>3</v>
      </c>
      <c r="D58" s="86">
        <v>4</v>
      </c>
      <c r="E58" s="86">
        <v>5</v>
      </c>
      <c r="F58" s="86">
        <v>6</v>
      </c>
    </row>
    <row r="59" spans="1:8" s="6" customFormat="1" ht="18" customHeight="1">
      <c r="A59" s="30" t="s">
        <v>27</v>
      </c>
      <c r="B59" s="31" t="s">
        <v>28</v>
      </c>
      <c r="C59" s="22">
        <f>C60+C61+C62+C63+C64+C66+C65</f>
        <v>1607.028</v>
      </c>
      <c r="D59" s="101">
        <f>D60+D61+D62+D63+D64+D66+D65</f>
        <v>259.86407000000003</v>
      </c>
      <c r="E59" s="34">
        <f>SUM(D59/C59*100)</f>
        <v>16.170475561097881</v>
      </c>
      <c r="F59" s="34">
        <f>SUM(D59-C59)</f>
        <v>-1347.1639299999999</v>
      </c>
    </row>
    <row r="60" spans="1:8" s="6" customFormat="1" ht="1.5" hidden="1" customHeight="1">
      <c r="A60" s="35" t="s">
        <v>29</v>
      </c>
      <c r="B60" s="36" t="s">
        <v>30</v>
      </c>
      <c r="C60" s="91">
        <v>0</v>
      </c>
      <c r="D60" s="91">
        <v>0</v>
      </c>
      <c r="E60" s="38" t="e">
        <f>SUM(D60/C60*100)</f>
        <v>#DIV/0!</v>
      </c>
      <c r="F60" s="38">
        <f>SUM(D60-C60)</f>
        <v>0</v>
      </c>
    </row>
    <row r="61" spans="1:8" ht="13.5" customHeight="1">
      <c r="A61" s="35" t="s">
        <v>31</v>
      </c>
      <c r="B61" s="39" t="s">
        <v>32</v>
      </c>
      <c r="C61" s="91">
        <v>1592.6</v>
      </c>
      <c r="D61" s="91">
        <v>255.43607</v>
      </c>
      <c r="E61" s="38">
        <f t="shared" ref="E61:E103" si="3">SUM(D61/C61*100)</f>
        <v>16.038934446816526</v>
      </c>
      <c r="F61" s="38">
        <f t="shared" ref="F61:F103" si="4">SUM(D61-C61)</f>
        <v>-1337.1639299999999</v>
      </c>
    </row>
    <row r="62" spans="1:8" ht="16.5" hidden="1" customHeight="1">
      <c r="A62" s="35" t="s">
        <v>33</v>
      </c>
      <c r="B62" s="39" t="s">
        <v>34</v>
      </c>
      <c r="C62" s="91"/>
      <c r="D62" s="91"/>
      <c r="E62" s="38"/>
      <c r="F62" s="38">
        <f t="shared" si="4"/>
        <v>0</v>
      </c>
    </row>
    <row r="63" spans="1:8" ht="31.5" hidden="1" customHeight="1">
      <c r="A63" s="35" t="s">
        <v>35</v>
      </c>
      <c r="B63" s="39" t="s">
        <v>36</v>
      </c>
      <c r="C63" s="91"/>
      <c r="D63" s="91"/>
      <c r="E63" s="38" t="e">
        <f t="shared" si="3"/>
        <v>#DIV/0!</v>
      </c>
      <c r="F63" s="38">
        <f t="shared" si="4"/>
        <v>0</v>
      </c>
    </row>
    <row r="64" spans="1:8" ht="19.5" hidden="1" customHeight="1">
      <c r="A64" s="35" t="s">
        <v>37</v>
      </c>
      <c r="B64" s="39" t="s">
        <v>38</v>
      </c>
      <c r="C64" s="91">
        <v>0</v>
      </c>
      <c r="D64" s="91">
        <v>0</v>
      </c>
      <c r="E64" s="38" t="e">
        <f t="shared" si="3"/>
        <v>#DIV/0!</v>
      </c>
      <c r="F64" s="38">
        <f t="shared" si="4"/>
        <v>0</v>
      </c>
    </row>
    <row r="65" spans="1:7" ht="15.75" customHeight="1">
      <c r="A65" s="35" t="s">
        <v>39</v>
      </c>
      <c r="B65" s="39" t="s">
        <v>40</v>
      </c>
      <c r="C65" s="102">
        <v>10</v>
      </c>
      <c r="D65" s="102">
        <v>0</v>
      </c>
      <c r="E65" s="38">
        <f t="shared" si="3"/>
        <v>0</v>
      </c>
      <c r="F65" s="38">
        <f t="shared" si="4"/>
        <v>-10</v>
      </c>
    </row>
    <row r="66" spans="1:7" ht="14.25" customHeight="1">
      <c r="A66" s="35" t="s">
        <v>41</v>
      </c>
      <c r="B66" s="39" t="s">
        <v>42</v>
      </c>
      <c r="C66" s="91">
        <v>4.4279999999999999</v>
      </c>
      <c r="D66" s="91">
        <v>4.4279999999999999</v>
      </c>
      <c r="E66" s="38">
        <f t="shared" si="3"/>
        <v>100</v>
      </c>
      <c r="F66" s="38">
        <f t="shared" si="4"/>
        <v>0</v>
      </c>
    </row>
    <row r="67" spans="1:7" s="6" customFormat="1">
      <c r="A67" s="41" t="s">
        <v>43</v>
      </c>
      <c r="B67" s="42" t="s">
        <v>44</v>
      </c>
      <c r="C67" s="22">
        <f>C68</f>
        <v>94.305999999999997</v>
      </c>
      <c r="D67" s="22">
        <f>D68</f>
        <v>21.815999999999999</v>
      </c>
      <c r="E67" s="34">
        <f t="shared" si="3"/>
        <v>23.133204674145865</v>
      </c>
      <c r="F67" s="34">
        <f t="shared" si="4"/>
        <v>-72.489999999999995</v>
      </c>
    </row>
    <row r="68" spans="1:7" ht="15" customHeight="1">
      <c r="A68" s="43" t="s">
        <v>45</v>
      </c>
      <c r="B68" s="44" t="s">
        <v>46</v>
      </c>
      <c r="C68" s="91">
        <v>94.305999999999997</v>
      </c>
      <c r="D68" s="91">
        <v>21.815999999999999</v>
      </c>
      <c r="E68" s="38">
        <f t="shared" si="3"/>
        <v>23.133204674145865</v>
      </c>
      <c r="F68" s="38">
        <f t="shared" si="4"/>
        <v>-72.489999999999995</v>
      </c>
    </row>
    <row r="69" spans="1:7" s="6" customFormat="1" ht="18" customHeight="1">
      <c r="A69" s="30" t="s">
        <v>47</v>
      </c>
      <c r="B69" s="31" t="s">
        <v>48</v>
      </c>
      <c r="C69" s="22">
        <f>C72+C73+C74</f>
        <v>38.5</v>
      </c>
      <c r="D69" s="22">
        <f>D72+D73+D74</f>
        <v>0</v>
      </c>
      <c r="E69" s="34">
        <f t="shared" si="3"/>
        <v>0</v>
      </c>
      <c r="F69" s="34">
        <f t="shared" si="4"/>
        <v>-38.5</v>
      </c>
    </row>
    <row r="70" spans="1:7" ht="0.75" hidden="1" customHeight="1">
      <c r="A70" s="35" t="s">
        <v>49</v>
      </c>
      <c r="B70" s="39" t="s">
        <v>50</v>
      </c>
      <c r="C70" s="91"/>
      <c r="D70" s="91"/>
      <c r="E70" s="34" t="e">
        <f t="shared" si="3"/>
        <v>#DIV/0!</v>
      </c>
      <c r="F70" s="34">
        <f t="shared" si="4"/>
        <v>0</v>
      </c>
    </row>
    <row r="71" spans="1:7" ht="18" hidden="1" customHeight="1">
      <c r="A71" s="45" t="s">
        <v>51</v>
      </c>
      <c r="B71" s="39" t="s">
        <v>52</v>
      </c>
      <c r="C71" s="91"/>
      <c r="D71" s="91"/>
      <c r="E71" s="34" t="e">
        <f t="shared" si="3"/>
        <v>#DIV/0!</v>
      </c>
      <c r="F71" s="34">
        <f t="shared" si="4"/>
        <v>0</v>
      </c>
    </row>
    <row r="72" spans="1:7" ht="17.25" customHeight="1">
      <c r="A72" s="46" t="s">
        <v>53</v>
      </c>
      <c r="B72" s="47" t="s">
        <v>54</v>
      </c>
      <c r="C72" s="91">
        <v>3</v>
      </c>
      <c r="D72" s="91">
        <v>0</v>
      </c>
      <c r="E72" s="34">
        <f t="shared" si="3"/>
        <v>0</v>
      </c>
      <c r="F72" s="34">
        <f t="shared" si="4"/>
        <v>-3</v>
      </c>
    </row>
    <row r="73" spans="1:7" ht="17.25" customHeight="1">
      <c r="A73" s="46" t="s">
        <v>215</v>
      </c>
      <c r="B73" s="47" t="s">
        <v>216</v>
      </c>
      <c r="C73" s="91">
        <v>33.5</v>
      </c>
      <c r="D73" s="91">
        <v>0</v>
      </c>
      <c r="E73" s="38">
        <f t="shared" si="3"/>
        <v>0</v>
      </c>
      <c r="F73" s="38">
        <f t="shared" si="4"/>
        <v>-33.5</v>
      </c>
    </row>
    <row r="74" spans="1:7" ht="17.25" customHeight="1">
      <c r="A74" s="46" t="s">
        <v>340</v>
      </c>
      <c r="B74" s="47" t="s">
        <v>391</v>
      </c>
      <c r="C74" s="91">
        <v>2</v>
      </c>
      <c r="D74" s="91">
        <v>0</v>
      </c>
      <c r="E74" s="38">
        <f>SUM(D74/C74*100)</f>
        <v>0</v>
      </c>
      <c r="F74" s="38">
        <f>SUM(D74-C74)</f>
        <v>-2</v>
      </c>
    </row>
    <row r="75" spans="1:7" s="6" customFormat="1" ht="19.5" customHeight="1">
      <c r="A75" s="30" t="s">
        <v>55</v>
      </c>
      <c r="B75" s="31" t="s">
        <v>56</v>
      </c>
      <c r="C75" s="103">
        <f>C77+C78+C79+C76</f>
        <v>12279.816980000001</v>
      </c>
      <c r="D75" s="103">
        <f>SUM(D76:D79)</f>
        <v>212.68199999999999</v>
      </c>
      <c r="E75" s="34">
        <f t="shared" si="3"/>
        <v>1.7319639237815414</v>
      </c>
      <c r="F75" s="34">
        <f t="shared" si="4"/>
        <v>-12067.134980000001</v>
      </c>
    </row>
    <row r="76" spans="1:7" ht="17.25" customHeight="1">
      <c r="A76" s="35" t="s">
        <v>57</v>
      </c>
      <c r="B76" s="39" t="s">
        <v>58</v>
      </c>
      <c r="C76" s="104">
        <v>14.2926</v>
      </c>
      <c r="D76" s="91">
        <v>0</v>
      </c>
      <c r="E76" s="38">
        <f t="shared" si="3"/>
        <v>0</v>
      </c>
      <c r="F76" s="38">
        <f t="shared" si="4"/>
        <v>-14.2926</v>
      </c>
    </row>
    <row r="77" spans="1:7" s="6" customFormat="1" ht="17.25" customHeight="1">
      <c r="A77" s="35" t="s">
        <v>59</v>
      </c>
      <c r="B77" s="39" t="s">
        <v>60</v>
      </c>
      <c r="C77" s="104">
        <v>0</v>
      </c>
      <c r="D77" s="91">
        <v>0</v>
      </c>
      <c r="E77" s="38" t="e">
        <f t="shared" si="3"/>
        <v>#DIV/0!</v>
      </c>
      <c r="F77" s="38">
        <f t="shared" si="4"/>
        <v>0</v>
      </c>
      <c r="G77" s="50"/>
    </row>
    <row r="78" spans="1:7" ht="16.5" customHeight="1">
      <c r="A78" s="35" t="s">
        <v>61</v>
      </c>
      <c r="B78" s="39" t="s">
        <v>62</v>
      </c>
      <c r="C78" s="104">
        <v>12085.524380000001</v>
      </c>
      <c r="D78" s="91">
        <v>206.68199999999999</v>
      </c>
      <c r="E78" s="38">
        <f t="shared" si="3"/>
        <v>1.7101616239509831</v>
      </c>
      <c r="F78" s="38">
        <f t="shared" si="4"/>
        <v>-11878.84238</v>
      </c>
    </row>
    <row r="79" spans="1:7" ht="16.5" customHeight="1">
      <c r="A79" s="35" t="s">
        <v>63</v>
      </c>
      <c r="B79" s="39" t="s">
        <v>64</v>
      </c>
      <c r="C79" s="104">
        <v>180</v>
      </c>
      <c r="D79" s="91">
        <v>6</v>
      </c>
      <c r="E79" s="38">
        <f t="shared" si="3"/>
        <v>3.3333333333333335</v>
      </c>
      <c r="F79" s="38">
        <f t="shared" si="4"/>
        <v>-174</v>
      </c>
    </row>
    <row r="80" spans="1:7" ht="15.75" hidden="1" customHeight="1">
      <c r="A80" s="30" t="s">
        <v>47</v>
      </c>
      <c r="B80" s="31" t="s">
        <v>48</v>
      </c>
      <c r="C80" s="103">
        <v>0</v>
      </c>
      <c r="D80" s="91"/>
      <c r="E80" s="38"/>
      <c r="F80" s="38"/>
    </row>
    <row r="81" spans="1:6" ht="15.75" hidden="1" customHeight="1">
      <c r="A81" s="46" t="s">
        <v>215</v>
      </c>
      <c r="B81" s="47" t="s">
        <v>216</v>
      </c>
      <c r="C81" s="104">
        <v>0</v>
      </c>
      <c r="D81" s="91"/>
      <c r="E81" s="38"/>
      <c r="F81" s="38"/>
    </row>
    <row r="82" spans="1:6" s="6" customFormat="1" ht="19.5" customHeight="1">
      <c r="A82" s="30" t="s">
        <v>65</v>
      </c>
      <c r="B82" s="31" t="s">
        <v>66</v>
      </c>
      <c r="C82" s="22">
        <f>SUM(C83:C85)</f>
        <v>918.00599999999997</v>
      </c>
      <c r="D82" s="22">
        <f>SUM(D83:D85)</f>
        <v>235.08606</v>
      </c>
      <c r="E82" s="34">
        <f t="shared" si="3"/>
        <v>25.608335893229455</v>
      </c>
      <c r="F82" s="34">
        <f t="shared" si="4"/>
        <v>-682.91994</v>
      </c>
    </row>
    <row r="83" spans="1:6" hidden="1">
      <c r="A83" s="35" t="s">
        <v>67</v>
      </c>
      <c r="B83" s="51" t="s">
        <v>68</v>
      </c>
      <c r="C83" s="91"/>
      <c r="D83" s="91"/>
      <c r="E83" s="38" t="e">
        <f t="shared" si="3"/>
        <v>#DIV/0!</v>
      </c>
      <c r="F83" s="38">
        <f t="shared" si="4"/>
        <v>0</v>
      </c>
    </row>
    <row r="84" spans="1:6">
      <c r="A84" s="35" t="s">
        <v>69</v>
      </c>
      <c r="B84" s="51" t="s">
        <v>70</v>
      </c>
      <c r="C84" s="91">
        <v>314.39999999999998</v>
      </c>
      <c r="D84" s="91">
        <v>144.15796</v>
      </c>
      <c r="E84" s="38">
        <f t="shared" si="3"/>
        <v>45.851768447837152</v>
      </c>
      <c r="F84" s="38">
        <f t="shared" si="4"/>
        <v>-170.24203999999997</v>
      </c>
    </row>
    <row r="85" spans="1:6" ht="18" customHeight="1">
      <c r="A85" s="35" t="s">
        <v>71</v>
      </c>
      <c r="B85" s="39" t="s">
        <v>72</v>
      </c>
      <c r="C85" s="91">
        <v>603.60599999999999</v>
      </c>
      <c r="D85" s="91">
        <v>90.928100000000001</v>
      </c>
      <c r="E85" s="38">
        <f t="shared" si="3"/>
        <v>15.064147805025133</v>
      </c>
      <c r="F85" s="38">
        <f t="shared" si="4"/>
        <v>-512.67790000000002</v>
      </c>
    </row>
    <row r="86" spans="1:6" s="6" customFormat="1" ht="16.5" customHeight="1">
      <c r="A86" s="30" t="s">
        <v>83</v>
      </c>
      <c r="B86" s="31" t="s">
        <v>84</v>
      </c>
      <c r="C86" s="22">
        <f>C87</f>
        <v>1920.3837799999999</v>
      </c>
      <c r="D86" s="22">
        <f>SUM(D87)</f>
        <v>449.18610999999999</v>
      </c>
      <c r="E86" s="34">
        <f t="shared" si="3"/>
        <v>23.390434489089468</v>
      </c>
      <c r="F86" s="34">
        <f t="shared" si="4"/>
        <v>-1471.19767</v>
      </c>
    </row>
    <row r="87" spans="1:6" ht="14.25" customHeight="1">
      <c r="A87" s="35" t="s">
        <v>85</v>
      </c>
      <c r="B87" s="39" t="s">
        <v>230</v>
      </c>
      <c r="C87" s="91">
        <v>1920.3837799999999</v>
      </c>
      <c r="D87" s="91">
        <v>449.18610999999999</v>
      </c>
      <c r="E87" s="38">
        <f t="shared" si="3"/>
        <v>23.390434489089468</v>
      </c>
      <c r="F87" s="38">
        <f t="shared" si="4"/>
        <v>-1471.19767</v>
      </c>
    </row>
    <row r="88" spans="1:6" s="6" customFormat="1" ht="12" hidden="1" customHeight="1">
      <c r="A88" s="52">
        <v>1000</v>
      </c>
      <c r="B88" s="31" t="s">
        <v>86</v>
      </c>
      <c r="C88" s="22">
        <f>SUM(C89:C92)</f>
        <v>0</v>
      </c>
      <c r="D88" s="22">
        <f>SUM(D89:D92)</f>
        <v>0</v>
      </c>
      <c r="E88" s="34" t="e">
        <f t="shared" si="3"/>
        <v>#DIV/0!</v>
      </c>
      <c r="F88" s="34">
        <f t="shared" si="4"/>
        <v>0</v>
      </c>
    </row>
    <row r="89" spans="1:6" ht="9" hidden="1" customHeight="1">
      <c r="A89" s="53">
        <v>1001</v>
      </c>
      <c r="B89" s="54" t="s">
        <v>87</v>
      </c>
      <c r="C89" s="91"/>
      <c r="D89" s="91"/>
      <c r="E89" s="38" t="e">
        <f t="shared" si="3"/>
        <v>#DIV/0!</v>
      </c>
      <c r="F89" s="38">
        <f t="shared" si="4"/>
        <v>0</v>
      </c>
    </row>
    <row r="90" spans="1:6" ht="12" hidden="1" customHeight="1">
      <c r="A90" s="53">
        <v>1003</v>
      </c>
      <c r="B90" s="54" t="s">
        <v>88</v>
      </c>
      <c r="C90" s="91">
        <v>0</v>
      </c>
      <c r="D90" s="91">
        <v>0</v>
      </c>
      <c r="E90" s="38" t="e">
        <f t="shared" si="3"/>
        <v>#DIV/0!</v>
      </c>
      <c r="F90" s="38">
        <f t="shared" si="4"/>
        <v>0</v>
      </c>
    </row>
    <row r="91" spans="1:6" ht="12.75" hidden="1" customHeight="1">
      <c r="A91" s="53">
        <v>1004</v>
      </c>
      <c r="B91" s="54" t="s">
        <v>89</v>
      </c>
      <c r="C91" s="91">
        <v>0</v>
      </c>
      <c r="D91" s="183">
        <v>0</v>
      </c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35" t="s">
        <v>90</v>
      </c>
      <c r="B92" s="39" t="s">
        <v>91</v>
      </c>
      <c r="C92" s="91">
        <v>0</v>
      </c>
      <c r="D92" s="91">
        <v>0</v>
      </c>
      <c r="E92" s="38"/>
      <c r="F92" s="38">
        <f t="shared" si="4"/>
        <v>0</v>
      </c>
    </row>
    <row r="93" spans="1:6" ht="15" customHeight="1">
      <c r="A93" s="30" t="s">
        <v>92</v>
      </c>
      <c r="B93" s="31" t="s">
        <v>93</v>
      </c>
      <c r="C93" s="22">
        <f>C94+C95+C96+C97+C98</f>
        <v>10</v>
      </c>
      <c r="D93" s="22">
        <f>D94+D95+D96+D97+D98</f>
        <v>0</v>
      </c>
      <c r="E93" s="38">
        <f t="shared" si="3"/>
        <v>0</v>
      </c>
      <c r="F93" s="22">
        <f>F94+F95+F96+F97+F98</f>
        <v>-10</v>
      </c>
    </row>
    <row r="94" spans="1:6" ht="19.5" customHeight="1">
      <c r="A94" s="35" t="s">
        <v>94</v>
      </c>
      <c r="B94" s="39" t="s">
        <v>95</v>
      </c>
      <c r="C94" s="91">
        <v>10</v>
      </c>
      <c r="D94" s="91">
        <v>0</v>
      </c>
      <c r="E94" s="38">
        <f t="shared" si="3"/>
        <v>0</v>
      </c>
      <c r="F94" s="38">
        <f>SUM(D94-C94)</f>
        <v>-10</v>
      </c>
    </row>
    <row r="95" spans="1:6" ht="15" hidden="1" customHeight="1">
      <c r="A95" s="35" t="s">
        <v>96</v>
      </c>
      <c r="B95" s="39" t="s">
        <v>97</v>
      </c>
      <c r="C95" s="91"/>
      <c r="D95" s="91"/>
      <c r="E95" s="38" t="e">
        <f t="shared" si="3"/>
        <v>#DIV/0!</v>
      </c>
      <c r="F95" s="38">
        <f>SUM(D95-C95)</f>
        <v>0</v>
      </c>
    </row>
    <row r="96" spans="1:6" ht="15" hidden="1" customHeight="1">
      <c r="A96" s="35" t="s">
        <v>98</v>
      </c>
      <c r="B96" s="39" t="s">
        <v>99</v>
      </c>
      <c r="C96" s="91"/>
      <c r="D96" s="91"/>
      <c r="E96" s="38" t="e">
        <f t="shared" si="3"/>
        <v>#DIV/0!</v>
      </c>
      <c r="F96" s="38"/>
    </row>
    <row r="97" spans="1:6" ht="15" hidden="1" customHeight="1">
      <c r="A97" s="35" t="s">
        <v>100</v>
      </c>
      <c r="B97" s="39" t="s">
        <v>101</v>
      </c>
      <c r="C97" s="91"/>
      <c r="D97" s="91"/>
      <c r="E97" s="38" t="e">
        <f t="shared" si="3"/>
        <v>#DIV/0!</v>
      </c>
      <c r="F97" s="38"/>
    </row>
    <row r="98" spans="1:6" ht="57.75" hidden="1" customHeight="1">
      <c r="A98" s="35" t="s">
        <v>102</v>
      </c>
      <c r="B98" s="39" t="s">
        <v>103</v>
      </c>
      <c r="C98" s="91"/>
      <c r="D98" s="91"/>
      <c r="E98" s="38" t="e">
        <f t="shared" si="3"/>
        <v>#DIV/0!</v>
      </c>
      <c r="F98" s="38"/>
    </row>
    <row r="99" spans="1:6" s="6" customFormat="1" ht="15" hidden="1" customHeight="1">
      <c r="A99" s="52">
        <v>1400</v>
      </c>
      <c r="B99" s="56" t="s">
        <v>112</v>
      </c>
      <c r="C99" s="103">
        <f>C100+C101+C102</f>
        <v>0</v>
      </c>
      <c r="D99" s="103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6.5" hidden="1" customHeight="1">
      <c r="A100" s="53">
        <v>1401</v>
      </c>
      <c r="B100" s="54" t="s">
        <v>113</v>
      </c>
      <c r="C100" s="91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6" ht="20.25" hidden="1" customHeight="1">
      <c r="A101" s="53">
        <v>1402</v>
      </c>
      <c r="B101" s="54" t="s">
        <v>114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6" ht="13.5" hidden="1" customHeight="1">
      <c r="A102" s="53">
        <v>1403</v>
      </c>
      <c r="B102" s="54" t="s">
        <v>115</v>
      </c>
      <c r="C102" s="104">
        <v>0</v>
      </c>
      <c r="D102" s="91">
        <v>0</v>
      </c>
      <c r="E102" s="38" t="e">
        <f t="shared" si="3"/>
        <v>#DIV/0!</v>
      </c>
      <c r="F102" s="38">
        <f t="shared" si="4"/>
        <v>0</v>
      </c>
    </row>
    <row r="103" spans="1:6" s="6" customFormat="1">
      <c r="A103" s="52"/>
      <c r="B103" s="57" t="s">
        <v>116</v>
      </c>
      <c r="C103" s="457">
        <f>C59+C67+C69+C75+C82+C86+C88+C93+C80</f>
        <v>16868.04076</v>
      </c>
      <c r="D103" s="457">
        <f>D59+D67+D69+D75+D82+D86+D93+D88</f>
        <v>1178.6342399999999</v>
      </c>
      <c r="E103" s="34">
        <f t="shared" si="3"/>
        <v>6.9873807916978254</v>
      </c>
      <c r="F103" s="34">
        <f t="shared" si="4"/>
        <v>-15689.40652</v>
      </c>
    </row>
    <row r="104" spans="1:6" ht="5.25" customHeight="1">
      <c r="C104" s="118"/>
      <c r="D104" s="61"/>
    </row>
    <row r="105" spans="1:6" s="65" customFormat="1" ht="12.75">
      <c r="A105" s="63" t="s">
        <v>117</v>
      </c>
      <c r="B105" s="63"/>
      <c r="C105" s="114"/>
      <c r="D105" s="64"/>
    </row>
    <row r="106" spans="1:6" s="65" customFormat="1" ht="12.75">
      <c r="A106" s="66" t="s">
        <v>118</v>
      </c>
      <c r="B106" s="66"/>
      <c r="C106" s="65" t="s">
        <v>119</v>
      </c>
    </row>
    <row r="107" spans="1:6">
      <c r="C107" s="118"/>
    </row>
    <row r="145" hidden="1"/>
  </sheetData>
  <customSheetViews>
    <customSheetView guid="{E6F84523-F47F-492E-BB0B-0D2156A983B1}" scale="70" showPageBreaks="1" fitToPage="1" printArea="1" hiddenRows="1" state="hidden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2"/>
    </customSheetView>
    <customSheetView guid="{B30CE22D-C12F-4E12-8BB9-3AAE0A6991CC}" scale="70" showPageBreaks="1" fitToPage="1" printArea="1" hiddenRows="1" view="pageBreakPreview" topLeftCell="A35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4" orientation="portrait" r:id="rId3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6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fitToPage="1" printArea="1" hiddenRows="1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6" t="s">
        <v>420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5077.6099999999997</v>
      </c>
      <c r="D4" s="187">
        <f>D5+D12+D14+D17+D20+D7</f>
        <v>939.54879000000005</v>
      </c>
      <c r="E4" s="5">
        <f>SUM(D4/C4*100)</f>
        <v>18.503760430596287</v>
      </c>
      <c r="F4" s="5">
        <f>SUM(D4-C4)</f>
        <v>-4138.0612099999998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129.81313</v>
      </c>
      <c r="E5" s="5">
        <f t="shared" ref="E5:E50" si="0">SUM(D5/C5*100)</f>
        <v>21.85406228956229</v>
      </c>
      <c r="F5" s="5">
        <f t="shared" ref="F5:F50" si="1">SUM(D5-C5)</f>
        <v>-464.18687</v>
      </c>
    </row>
    <row r="6" spans="1:6">
      <c r="A6" s="7">
        <v>1010200001</v>
      </c>
      <c r="B6" s="8" t="s">
        <v>225</v>
      </c>
      <c r="C6" s="214">
        <v>594</v>
      </c>
      <c r="D6" s="215">
        <v>129.81313</v>
      </c>
      <c r="E6" s="9">
        <f t="shared" ref="E6:E11" si="2">SUM(D6/C6*100)</f>
        <v>21.85406228956229</v>
      </c>
      <c r="F6" s="9">
        <f t="shared" si="1"/>
        <v>-464.18687</v>
      </c>
    </row>
    <row r="7" spans="1:6" ht="31.5">
      <c r="A7" s="3">
        <v>1030000000</v>
      </c>
      <c r="B7" s="13" t="s">
        <v>267</v>
      </c>
      <c r="C7" s="259">
        <f>C8+C10+C9</f>
        <v>925.6099999999999</v>
      </c>
      <c r="D7" s="187">
        <f>D8+D10+D9+D11</f>
        <v>244.57292000000001</v>
      </c>
      <c r="E7" s="5">
        <f t="shared" si="2"/>
        <v>26.422890850358144</v>
      </c>
      <c r="F7" s="5">
        <f t="shared" si="1"/>
        <v>-681.03707999999983</v>
      </c>
    </row>
    <row r="8" spans="1:6">
      <c r="A8" s="7">
        <v>1030223001</v>
      </c>
      <c r="B8" s="8" t="s">
        <v>269</v>
      </c>
      <c r="C8" s="214">
        <v>345.25299999999999</v>
      </c>
      <c r="D8" s="215">
        <v>117.45731000000001</v>
      </c>
      <c r="E8" s="9">
        <f t="shared" si="2"/>
        <v>34.020648625790365</v>
      </c>
      <c r="F8" s="9">
        <f t="shared" si="1"/>
        <v>-227.79568999999998</v>
      </c>
    </row>
    <row r="9" spans="1:6">
      <c r="A9" s="7">
        <v>1030224001</v>
      </c>
      <c r="B9" s="8" t="s">
        <v>275</v>
      </c>
      <c r="C9" s="214">
        <v>3.702</v>
      </c>
      <c r="D9" s="215">
        <v>0.75263000000000002</v>
      </c>
      <c r="E9" s="9">
        <f t="shared" si="2"/>
        <v>20.330361966504594</v>
      </c>
      <c r="F9" s="9">
        <f t="shared" si="1"/>
        <v>-2.94937</v>
      </c>
    </row>
    <row r="10" spans="1:6">
      <c r="A10" s="7">
        <v>1030225001</v>
      </c>
      <c r="B10" s="8" t="s">
        <v>268</v>
      </c>
      <c r="C10" s="214">
        <v>576.65499999999997</v>
      </c>
      <c r="D10" s="215">
        <v>142.12139999999999</v>
      </c>
      <c r="E10" s="9">
        <f t="shared" si="2"/>
        <v>24.645828094788044</v>
      </c>
      <c r="F10" s="9">
        <f t="shared" si="1"/>
        <v>-434.53359999999998</v>
      </c>
    </row>
    <row r="11" spans="1:6">
      <c r="A11" s="7">
        <v>1030226001</v>
      </c>
      <c r="B11" s="8" t="s">
        <v>276</v>
      </c>
      <c r="C11" s="214">
        <v>0</v>
      </c>
      <c r="D11" s="213">
        <v>-15.758419999999999</v>
      </c>
      <c r="E11" s="9" t="e">
        <f t="shared" si="2"/>
        <v>#DIV/0!</v>
      </c>
      <c r="F11" s="9">
        <f t="shared" si="1"/>
        <v>-15.758419999999999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124.6788</v>
      </c>
      <c r="E12" s="5">
        <f t="shared" si="0"/>
        <v>166.23839999999998</v>
      </c>
      <c r="F12" s="5">
        <f t="shared" si="1"/>
        <v>49.678799999999995</v>
      </c>
    </row>
    <row r="13" spans="1:6" ht="15.75" customHeight="1">
      <c r="A13" s="7">
        <v>1050300000</v>
      </c>
      <c r="B13" s="11" t="s">
        <v>226</v>
      </c>
      <c r="C13" s="216">
        <v>75</v>
      </c>
      <c r="D13" s="215">
        <v>124.6788</v>
      </c>
      <c r="E13" s="9">
        <f t="shared" si="0"/>
        <v>166.23839999999998</v>
      </c>
      <c r="F13" s="9">
        <f t="shared" si="1"/>
        <v>49.678799999999995</v>
      </c>
    </row>
    <row r="14" spans="1:6" s="6" customFormat="1" ht="15.75" customHeight="1">
      <c r="A14" s="68">
        <v>1060000000</v>
      </c>
      <c r="B14" s="67" t="s">
        <v>133</v>
      </c>
      <c r="C14" s="187">
        <f>C15+C16</f>
        <v>3473</v>
      </c>
      <c r="D14" s="187">
        <f>D15+D16</f>
        <v>440.48394000000002</v>
      </c>
      <c r="E14" s="5">
        <f t="shared" si="0"/>
        <v>12.683096458393321</v>
      </c>
      <c r="F14" s="5">
        <f t="shared" si="1"/>
        <v>-3032.5160599999999</v>
      </c>
    </row>
    <row r="15" spans="1:6" s="6" customFormat="1" ht="15.75" customHeight="1">
      <c r="A15" s="7">
        <v>1060100000</v>
      </c>
      <c r="B15" s="11" t="s">
        <v>8</v>
      </c>
      <c r="C15" s="214">
        <v>473</v>
      </c>
      <c r="D15" s="215">
        <v>53.316890000000001</v>
      </c>
      <c r="E15" s="9">
        <f t="shared" si="0"/>
        <v>11.272069767441861</v>
      </c>
      <c r="F15" s="9">
        <f>SUM(D15-C15)</f>
        <v>-419.68311</v>
      </c>
    </row>
    <row r="16" spans="1:6" ht="15.75" customHeight="1">
      <c r="A16" s="7">
        <v>1060600000</v>
      </c>
      <c r="B16" s="11" t="s">
        <v>7</v>
      </c>
      <c r="C16" s="214">
        <v>3000</v>
      </c>
      <c r="D16" s="215">
        <v>387.16705000000002</v>
      </c>
      <c r="E16" s="9">
        <f t="shared" si="0"/>
        <v>12.905568333333333</v>
      </c>
      <c r="F16" s="9">
        <f t="shared" si="1"/>
        <v>-2612.83295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0</v>
      </c>
      <c r="E17" s="5">
        <f t="shared" si="0"/>
        <v>0</v>
      </c>
      <c r="F17" s="5">
        <f t="shared" si="1"/>
        <v>-10</v>
      </c>
    </row>
    <row r="18" spans="1:6" ht="18" customHeight="1">
      <c r="A18" s="7">
        <v>1080400001</v>
      </c>
      <c r="B18" s="8" t="s">
        <v>224</v>
      </c>
      <c r="C18" s="214">
        <v>10</v>
      </c>
      <c r="D18" s="215">
        <v>0</v>
      </c>
      <c r="E18" s="9">
        <f t="shared" si="0"/>
        <v>0</v>
      </c>
      <c r="F18" s="9">
        <f t="shared" si="1"/>
        <v>-10</v>
      </c>
    </row>
    <row r="19" spans="1:6" ht="47.25" hidden="1" customHeight="1">
      <c r="A19" s="7">
        <v>1080714001</v>
      </c>
      <c r="B19" s="8" t="s">
        <v>11</v>
      </c>
      <c r="C19" s="214"/>
      <c r="D19" s="2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187"/>
      <c r="D21" s="2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187"/>
      <c r="D22" s="2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187"/>
      <c r="D23" s="2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187"/>
      <c r="D24" s="2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242</v>
      </c>
      <c r="D25" s="92">
        <f>D26+D29+D31+D36+D34</f>
        <v>0</v>
      </c>
      <c r="E25" s="5">
        <f t="shared" si="0"/>
        <v>0</v>
      </c>
      <c r="F25" s="5">
        <f t="shared" si="1"/>
        <v>-242</v>
      </c>
    </row>
    <row r="26" spans="1:6" s="6" customFormat="1" ht="30" customHeight="1">
      <c r="A26" s="68">
        <v>1110000000</v>
      </c>
      <c r="B26" s="69" t="s">
        <v>126</v>
      </c>
      <c r="C26" s="187">
        <f>C27+C28</f>
        <v>212</v>
      </c>
      <c r="D26" s="92">
        <f>D27+D28</f>
        <v>0</v>
      </c>
      <c r="E26" s="5">
        <f t="shared" si="0"/>
        <v>0</v>
      </c>
      <c r="F26" s="5">
        <f t="shared" si="1"/>
        <v>-212</v>
      </c>
    </row>
    <row r="27" spans="1:6" ht="15" customHeight="1">
      <c r="A27" s="16">
        <v>1110502510</v>
      </c>
      <c r="B27" s="17" t="s">
        <v>222</v>
      </c>
      <c r="C27" s="216">
        <v>200</v>
      </c>
      <c r="D27" s="213">
        <v>0</v>
      </c>
      <c r="E27" s="9">
        <f t="shared" si="0"/>
        <v>0</v>
      </c>
      <c r="F27" s="9">
        <f t="shared" si="1"/>
        <v>-200</v>
      </c>
    </row>
    <row r="28" spans="1:6" ht="15.75" customHeight="1">
      <c r="A28" s="7">
        <v>1110503505</v>
      </c>
      <c r="B28" s="11" t="s">
        <v>221</v>
      </c>
      <c r="C28" s="12">
        <v>12</v>
      </c>
      <c r="D28" s="10">
        <v>0</v>
      </c>
      <c r="E28" s="9">
        <f t="shared" si="0"/>
        <v>0</v>
      </c>
      <c r="F28" s="9">
        <f t="shared" si="1"/>
        <v>-12</v>
      </c>
    </row>
    <row r="29" spans="1:6" s="15" customFormat="1" ht="29.25">
      <c r="A29" s="68">
        <v>1130000000</v>
      </c>
      <c r="B29" s="69" t="s">
        <v>128</v>
      </c>
      <c r="C29" s="5">
        <f>C30</f>
        <v>30</v>
      </c>
      <c r="D29" s="5">
        <f>D30</f>
        <v>0</v>
      </c>
      <c r="E29" s="5">
        <f t="shared" si="0"/>
        <v>0</v>
      </c>
      <c r="F29" s="5">
        <f t="shared" si="1"/>
        <v>-30</v>
      </c>
    </row>
    <row r="30" spans="1:6" ht="17.25" customHeight="1">
      <c r="A30" s="7">
        <v>1130206005</v>
      </c>
      <c r="B30" s="8" t="s">
        <v>220</v>
      </c>
      <c r="C30" s="9">
        <v>30</v>
      </c>
      <c r="D30" s="10">
        <v>0</v>
      </c>
      <c r="E30" s="9">
        <f t="shared" si="0"/>
        <v>0</v>
      </c>
      <c r="F30" s="9">
        <f t="shared" si="1"/>
        <v>-30</v>
      </c>
    </row>
    <row r="31" spans="1:6" ht="28.5" hidden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132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217</v>
      </c>
      <c r="C38" s="214">
        <v>0</v>
      </c>
      <c r="D38" s="215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8">
        <f>SUM(C4,C25)</f>
        <v>5319.61</v>
      </c>
      <c r="D39" s="218">
        <f>D4+D25</f>
        <v>939.54879000000005</v>
      </c>
      <c r="E39" s="5">
        <f t="shared" si="0"/>
        <v>17.661986311026563</v>
      </c>
      <c r="F39" s="5">
        <f t="shared" si="1"/>
        <v>-4380.0612099999998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6912.42526</v>
      </c>
      <c r="D40" s="187">
        <f>D41+D43+D45+D46+D47+D48+D42+D44</f>
        <v>1037.3489999999999</v>
      </c>
      <c r="E40" s="5">
        <f t="shared" si="0"/>
        <v>15.007019403201474</v>
      </c>
      <c r="F40" s="5">
        <f t="shared" si="1"/>
        <v>-5875.0762599999998</v>
      </c>
      <c r="G40" s="19"/>
    </row>
    <row r="41" spans="1:7">
      <c r="A41" s="16">
        <v>2021000000</v>
      </c>
      <c r="B41" s="17" t="s">
        <v>18</v>
      </c>
      <c r="C41" s="219">
        <v>2418.1</v>
      </c>
      <c r="D41" s="220">
        <v>604.524</v>
      </c>
      <c r="E41" s="9">
        <f t="shared" si="0"/>
        <v>24.999958645217323</v>
      </c>
      <c r="F41" s="9">
        <f t="shared" si="1"/>
        <v>-1813.576</v>
      </c>
    </row>
    <row r="42" spans="1:7" ht="17.25" hidden="1" customHeight="1">
      <c r="A42" s="16">
        <v>2021500200</v>
      </c>
      <c r="B42" s="17" t="s">
        <v>228</v>
      </c>
      <c r="C42" s="219">
        <v>0</v>
      </c>
      <c r="D42" s="220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9">
        <v>3859.5329999999999</v>
      </c>
      <c r="D43" s="215">
        <v>378.39</v>
      </c>
      <c r="E43" s="9">
        <f t="shared" si="0"/>
        <v>9.8040358768794054</v>
      </c>
      <c r="F43" s="9">
        <f t="shared" si="1"/>
        <v>-3481.143</v>
      </c>
    </row>
    <row r="44" spans="1:7" ht="15.75" hidden="1" customHeight="1">
      <c r="A44" s="16">
        <v>2022999910</v>
      </c>
      <c r="B44" s="18" t="s">
        <v>332</v>
      </c>
      <c r="C44" s="446">
        <v>0</v>
      </c>
      <c r="D44" s="447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6">
        <v>235.76499999999999</v>
      </c>
      <c r="D45" s="221">
        <v>54.435000000000002</v>
      </c>
      <c r="E45" s="9">
        <f t="shared" si="0"/>
        <v>23.088668801560878</v>
      </c>
      <c r="F45" s="9">
        <f t="shared" si="1"/>
        <v>-181.32999999999998</v>
      </c>
    </row>
    <row r="46" spans="1:7" ht="17.25" customHeight="1">
      <c r="A46" s="16">
        <v>2020400000</v>
      </c>
      <c r="B46" s="17" t="s">
        <v>21</v>
      </c>
      <c r="C46" s="216">
        <v>73.025000000000006</v>
      </c>
      <c r="D46" s="222">
        <v>0</v>
      </c>
      <c r="E46" s="9">
        <f t="shared" si="0"/>
        <v>0</v>
      </c>
      <c r="F46" s="9">
        <f t="shared" si="1"/>
        <v>-73.025000000000006</v>
      </c>
    </row>
    <row r="47" spans="1:7" ht="17.25" customHeight="1">
      <c r="A47" s="7">
        <v>2070500010</v>
      </c>
      <c r="B47" s="17" t="s">
        <v>333</v>
      </c>
      <c r="C47" s="216">
        <v>326.00225999999998</v>
      </c>
      <c r="D47" s="222">
        <v>0</v>
      </c>
      <c r="E47" s="9">
        <f t="shared" si="0"/>
        <v>0</v>
      </c>
      <c r="F47" s="9">
        <f t="shared" si="1"/>
        <v>-326.00225999999998</v>
      </c>
    </row>
    <row r="48" spans="1:7" ht="21" hidden="1" customHeight="1">
      <c r="A48" s="7">
        <v>2190500005</v>
      </c>
      <c r="B48" s="11" t="s">
        <v>23</v>
      </c>
      <c r="C48" s="217"/>
      <c r="D48" s="217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3">
        <v>0</v>
      </c>
      <c r="D49" s="217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6">
        <f>C39+C40</f>
        <v>12232.035260000001</v>
      </c>
      <c r="D50" s="244">
        <f>D39+D40</f>
        <v>1976.89779</v>
      </c>
      <c r="E50" s="187">
        <f t="shared" si="0"/>
        <v>16.161642343074799</v>
      </c>
      <c r="F50" s="92">
        <f t="shared" si="1"/>
        <v>-10255.137470000001</v>
      </c>
      <c r="G50" s="146"/>
      <c r="H50" s="193"/>
    </row>
    <row r="51" spans="1:8" s="6" customFormat="1">
      <c r="A51" s="3"/>
      <c r="B51" s="21" t="s">
        <v>307</v>
      </c>
      <c r="C51" s="92">
        <f>C50-C97</f>
        <v>-863.39827999999943</v>
      </c>
      <c r="D51" s="92">
        <f>D50-D97</f>
        <v>422.58006999999998</v>
      </c>
      <c r="E51" s="32"/>
      <c r="F51" s="32"/>
    </row>
    <row r="52" spans="1:8">
      <c r="A52" s="23"/>
      <c r="B52" s="24"/>
      <c r="C52" s="211"/>
      <c r="D52" s="211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410</v>
      </c>
      <c r="D53" s="472" t="s">
        <v>415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1918.6</v>
      </c>
      <c r="D55" s="32">
        <f>D56+D57+D58+D59+D60+D62+D61</f>
        <v>403.00756000000001</v>
      </c>
      <c r="E55" s="34">
        <f>SUM(D55/C55*100)</f>
        <v>21.005293443135624</v>
      </c>
      <c r="F55" s="34">
        <f>SUM(D55-C55)</f>
        <v>-1515.5924399999999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1852.5</v>
      </c>
      <c r="D57" s="37">
        <v>346.90755999999999</v>
      </c>
      <c r="E57" s="38">
        <f t="shared" ref="E57:E69" si="3">SUM(D57/C57*100)</f>
        <v>18.726453981106612</v>
      </c>
      <c r="F57" s="38">
        <f t="shared" ref="F57:F69" si="4">SUM(D57-C57)</f>
        <v>-1505.5924399999999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56.1</v>
      </c>
      <c r="D62" s="37">
        <v>56.1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43</v>
      </c>
      <c r="B63" s="42" t="s">
        <v>44</v>
      </c>
      <c r="C63" s="32">
        <f>C64</f>
        <v>235.76499999999999</v>
      </c>
      <c r="D63" s="32">
        <f>D64</f>
        <v>41.169559999999997</v>
      </c>
      <c r="E63" s="34">
        <f t="shared" si="3"/>
        <v>17.462116938476875</v>
      </c>
      <c r="F63" s="34">
        <f t="shared" si="4"/>
        <v>-194.59544</v>
      </c>
    </row>
    <row r="64" spans="1:8">
      <c r="A64" s="43" t="s">
        <v>45</v>
      </c>
      <c r="B64" s="44" t="s">
        <v>46</v>
      </c>
      <c r="C64" s="37">
        <v>235.76499999999999</v>
      </c>
      <c r="D64" s="37">
        <v>41.169559999999997</v>
      </c>
      <c r="E64" s="38">
        <f t="shared" si="3"/>
        <v>17.462116938476875</v>
      </c>
      <c r="F64" s="38">
        <f t="shared" si="4"/>
        <v>-194.59544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18.899999999999999</v>
      </c>
      <c r="D65" s="32">
        <f>SUM(D68+D69+D70)</f>
        <v>0.7</v>
      </c>
      <c r="E65" s="34">
        <f t="shared" si="3"/>
        <v>3.7037037037037033</v>
      </c>
      <c r="F65" s="34">
        <f t="shared" si="4"/>
        <v>-18.2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0</v>
      </c>
      <c r="E68" s="34">
        <f t="shared" si="3"/>
        <v>0</v>
      </c>
      <c r="F68" s="34">
        <f t="shared" si="4"/>
        <v>-3</v>
      </c>
    </row>
    <row r="69" spans="1:7" s="6" customFormat="1" ht="15.75" customHeight="1">
      <c r="A69" s="46" t="s">
        <v>215</v>
      </c>
      <c r="B69" s="47" t="s">
        <v>216</v>
      </c>
      <c r="C69" s="37">
        <v>13.9</v>
      </c>
      <c r="D69" s="37">
        <v>0.7</v>
      </c>
      <c r="E69" s="38">
        <f t="shared" si="3"/>
        <v>5.0359712230215816</v>
      </c>
      <c r="F69" s="38">
        <f t="shared" si="4"/>
        <v>-13.200000000000001</v>
      </c>
    </row>
    <row r="70" spans="1:7" s="6" customFormat="1" ht="15.75" customHeight="1">
      <c r="A70" s="46" t="s">
        <v>340</v>
      </c>
      <c r="B70" s="47" t="s">
        <v>394</v>
      </c>
      <c r="C70" s="37">
        <v>2</v>
      </c>
      <c r="D70" s="37">
        <v>0</v>
      </c>
      <c r="E70" s="38">
        <f>SUM(D70/C70*100)</f>
        <v>0</v>
      </c>
      <c r="F70" s="38">
        <f>SUM(D70-C70)</f>
        <v>-2</v>
      </c>
    </row>
    <row r="71" spans="1:7">
      <c r="A71" s="30" t="s">
        <v>55</v>
      </c>
      <c r="B71" s="31" t="s">
        <v>56</v>
      </c>
      <c r="C71" s="48">
        <f>SUM(C72:C75)</f>
        <v>5122.4980400000004</v>
      </c>
      <c r="D71" s="48">
        <f>SUM(D72:D75)</f>
        <v>434.47699999999998</v>
      </c>
      <c r="E71" s="34">
        <f t="shared" ref="E71:E86" si="5">SUM(D71/C71*100)</f>
        <v>8.4817406782258118</v>
      </c>
      <c r="F71" s="34">
        <f t="shared" ref="F71:F86" si="6">SUM(D71-C71)</f>
        <v>-4688.0210400000005</v>
      </c>
    </row>
    <row r="72" spans="1:7" s="6" customFormat="1" ht="17.25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5062.4980400000004</v>
      </c>
      <c r="D74" s="37">
        <v>434.47699999999998</v>
      </c>
      <c r="E74" s="38">
        <f t="shared" si="5"/>
        <v>8.5822650511090366</v>
      </c>
      <c r="F74" s="38">
        <f t="shared" si="6"/>
        <v>-4628.0210400000005</v>
      </c>
    </row>
    <row r="75" spans="1:7" s="6" customFormat="1">
      <c r="A75" s="35" t="s">
        <v>63</v>
      </c>
      <c r="B75" s="39" t="s">
        <v>64</v>
      </c>
      <c r="C75" s="49">
        <v>60</v>
      </c>
      <c r="D75" s="37">
        <v>0</v>
      </c>
      <c r="E75" s="38">
        <f t="shared" si="5"/>
        <v>0</v>
      </c>
      <c r="F75" s="38">
        <f t="shared" si="6"/>
        <v>-60</v>
      </c>
    </row>
    <row r="76" spans="1:7" ht="17.25" customHeight="1">
      <c r="A76" s="30" t="s">
        <v>65</v>
      </c>
      <c r="B76" s="31" t="s">
        <v>66</v>
      </c>
      <c r="C76" s="32">
        <f>SUM(C77:C79)</f>
        <v>3866.2705000000001</v>
      </c>
      <c r="D76" s="32">
        <f>SUM(D77:D79)</f>
        <v>195.36259999999999</v>
      </c>
      <c r="E76" s="34">
        <f t="shared" si="5"/>
        <v>5.0529987490528656</v>
      </c>
      <c r="F76" s="34">
        <f t="shared" si="6"/>
        <v>-3670.9079000000002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2011.2455</v>
      </c>
      <c r="D78" s="37">
        <v>75.564859999999996</v>
      </c>
      <c r="E78" s="38">
        <f t="shared" si="5"/>
        <v>3.7571176666399002</v>
      </c>
      <c r="F78" s="38">
        <f t="shared" si="6"/>
        <v>-1935.68064</v>
      </c>
    </row>
    <row r="79" spans="1:7" s="6" customFormat="1">
      <c r="A79" s="35" t="s">
        <v>71</v>
      </c>
      <c r="B79" s="39" t="s">
        <v>72</v>
      </c>
      <c r="C79" s="37">
        <v>1855.0250000000001</v>
      </c>
      <c r="D79" s="37">
        <v>119.79774</v>
      </c>
      <c r="E79" s="38">
        <f t="shared" si="5"/>
        <v>6.458012156170402</v>
      </c>
      <c r="F79" s="38">
        <f t="shared" si="6"/>
        <v>-1735.2272600000001</v>
      </c>
    </row>
    <row r="80" spans="1:7">
      <c r="A80" s="30" t="s">
        <v>83</v>
      </c>
      <c r="B80" s="31" t="s">
        <v>84</v>
      </c>
      <c r="C80" s="32">
        <f>C81</f>
        <v>1918.4</v>
      </c>
      <c r="D80" s="32">
        <f>D81</f>
        <v>479.601</v>
      </c>
      <c r="E80" s="34">
        <f t="shared" si="5"/>
        <v>25.00005212677231</v>
      </c>
      <c r="F80" s="34">
        <f t="shared" si="6"/>
        <v>-1438.799</v>
      </c>
    </row>
    <row r="81" spans="1:6" s="6" customFormat="1" ht="15" customHeight="1">
      <c r="A81" s="35" t="s">
        <v>85</v>
      </c>
      <c r="B81" s="39" t="s">
        <v>230</v>
      </c>
      <c r="C81" s="37">
        <v>1918.4</v>
      </c>
      <c r="D81" s="37">
        <v>479.601</v>
      </c>
      <c r="E81" s="38">
        <f t="shared" si="5"/>
        <v>25.00005212677231</v>
      </c>
      <c r="F81" s="38">
        <f t="shared" si="6"/>
        <v>-1438.799</v>
      </c>
    </row>
    <row r="82" spans="1:6" ht="20.2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87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89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90</v>
      </c>
      <c r="B86" s="39" t="s">
        <v>91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92</v>
      </c>
      <c r="B87" s="31" t="s">
        <v>93</v>
      </c>
      <c r="C87" s="32">
        <f>C88+C89+C90+C91+C92</f>
        <v>15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-15</v>
      </c>
    </row>
    <row r="88" spans="1:6" ht="15.75" customHeight="1">
      <c r="A88" s="35" t="s">
        <v>94</v>
      </c>
      <c r="B88" s="39" t="s">
        <v>95</v>
      </c>
      <c r="C88" s="37">
        <v>15</v>
      </c>
      <c r="D88" s="37">
        <v>0</v>
      </c>
      <c r="E88" s="38">
        <f t="shared" si="7"/>
        <v>0</v>
      </c>
      <c r="F88" s="38">
        <f>SUM(D88-C88)</f>
        <v>-15</v>
      </c>
    </row>
    <row r="89" spans="1:6" ht="15" hidden="1" customHeight="1">
      <c r="A89" s="35" t="s">
        <v>96</v>
      </c>
      <c r="B89" s="39" t="s">
        <v>97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98</v>
      </c>
      <c r="B90" s="39" t="s">
        <v>99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102</v>
      </c>
      <c r="B92" s="39" t="s">
        <v>103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113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114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115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116</v>
      </c>
      <c r="C97" s="246">
        <f>C55+C63+C65+C71+C76+C80+C82+C87+C93</f>
        <v>13095.43354</v>
      </c>
      <c r="D97" s="246">
        <f>D55+D63+D65+D71+D76+D80+D82+D87+D93</f>
        <v>1554.31772</v>
      </c>
      <c r="E97" s="34">
        <f t="shared" si="7"/>
        <v>11.869158170688559</v>
      </c>
      <c r="F97" s="34">
        <f>SUM(D97-C97)</f>
        <v>-11541.115819999999</v>
      </c>
    </row>
    <row r="98" spans="1:6" s="65" customFormat="1" ht="22.5" customHeight="1">
      <c r="A98" s="63" t="s">
        <v>117</v>
      </c>
      <c r="B98" s="63"/>
      <c r="C98" s="178"/>
      <c r="D98" s="178"/>
    </row>
    <row r="99" spans="1:6" ht="16.5" customHeight="1">
      <c r="A99" s="66" t="s">
        <v>118</v>
      </c>
      <c r="B99" s="66"/>
      <c r="C99" s="178" t="s">
        <v>119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E6F84523-F47F-492E-BB0B-0D2156A983B1}" scale="70" showPageBreaks="1" hiddenRows="1" state="hidden" view="pageBreakPreview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7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 topLeftCell="A18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6" t="s">
        <v>419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5684.1</v>
      </c>
      <c r="D4" s="5">
        <f>D5+D12+D14+D7+D20+D17</f>
        <v>866.2978599999999</v>
      </c>
      <c r="E4" s="5">
        <f>SUM(D4/C4*100)</f>
        <v>15.240721662180464</v>
      </c>
      <c r="F4" s="5">
        <f>SUM(D4-C4)</f>
        <v>-4817.8021400000007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447.83706000000001</v>
      </c>
      <c r="E5" s="5">
        <f t="shared" ref="E5:E51" si="0">SUM(D5/C5*100)</f>
        <v>20.533565337001374</v>
      </c>
      <c r="F5" s="5">
        <f t="shared" ref="F5:F51" si="1">SUM(D5-C5)</f>
        <v>-1733.1629399999999</v>
      </c>
    </row>
    <row r="6" spans="1:6">
      <c r="A6" s="7">
        <v>1010200001</v>
      </c>
      <c r="B6" s="8" t="s">
        <v>225</v>
      </c>
      <c r="C6" s="90">
        <v>2181</v>
      </c>
      <c r="D6" s="10">
        <v>447.83706000000001</v>
      </c>
      <c r="E6" s="9">
        <f t="shared" ref="E6:E11" si="2">SUM(D6/C6*100)</f>
        <v>20.533565337001374</v>
      </c>
      <c r="F6" s="9">
        <f t="shared" si="1"/>
        <v>-1733.1629399999999</v>
      </c>
    </row>
    <row r="7" spans="1:6">
      <c r="A7" s="3">
        <v>1030200001</v>
      </c>
      <c r="B7" s="13" t="s">
        <v>265</v>
      </c>
      <c r="C7" s="5">
        <f>C8+C10+C9</f>
        <v>457.1</v>
      </c>
      <c r="D7" s="5">
        <f>D8+D9+D10+D11</f>
        <v>120.78603999999999</v>
      </c>
      <c r="E7" s="9">
        <f t="shared" si="2"/>
        <v>26.424423539706844</v>
      </c>
      <c r="F7" s="9">
        <f t="shared" si="1"/>
        <v>-336.31396000000007</v>
      </c>
    </row>
    <row r="8" spans="1:6">
      <c r="A8" s="7">
        <v>1030223001</v>
      </c>
      <c r="B8" s="8" t="s">
        <v>269</v>
      </c>
      <c r="C8" s="9">
        <v>170.499</v>
      </c>
      <c r="D8" s="10">
        <v>58.00806</v>
      </c>
      <c r="E8" s="9">
        <f t="shared" si="2"/>
        <v>34.022522126229482</v>
      </c>
      <c r="F8" s="9">
        <f t="shared" si="1"/>
        <v>-112.49093999999999</v>
      </c>
    </row>
    <row r="9" spans="1:6">
      <c r="A9" s="7">
        <v>1030224001</v>
      </c>
      <c r="B9" s="8" t="s">
        <v>275</v>
      </c>
      <c r="C9" s="9">
        <v>1.8280000000000001</v>
      </c>
      <c r="D9" s="10">
        <v>0.37169999999999997</v>
      </c>
      <c r="E9" s="9">
        <f t="shared" si="2"/>
        <v>20.333698030634569</v>
      </c>
      <c r="F9" s="9">
        <f t="shared" si="1"/>
        <v>-1.4563000000000001</v>
      </c>
    </row>
    <row r="10" spans="1:6">
      <c r="A10" s="7">
        <v>1030225001</v>
      </c>
      <c r="B10" s="8" t="s">
        <v>268</v>
      </c>
      <c r="C10" s="9">
        <v>284.77300000000002</v>
      </c>
      <c r="D10" s="10">
        <v>70.188800000000001</v>
      </c>
      <c r="E10" s="9">
        <f t="shared" si="2"/>
        <v>24.647280465493569</v>
      </c>
      <c r="F10" s="9">
        <f t="shared" si="1"/>
        <v>-214.58420000000001</v>
      </c>
    </row>
    <row r="11" spans="1:6">
      <c r="A11" s="7">
        <v>1030226001</v>
      </c>
      <c r="B11" s="8" t="s">
        <v>277</v>
      </c>
      <c r="C11" s="9">
        <v>0</v>
      </c>
      <c r="D11" s="10">
        <v>-7.7825199999999999</v>
      </c>
      <c r="E11" s="9" t="e">
        <f t="shared" si="2"/>
        <v>#DIV/0!</v>
      </c>
      <c r="F11" s="9">
        <f t="shared" si="1"/>
        <v>-7.7825199999999999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22.2699</v>
      </c>
      <c r="E12" s="5">
        <f t="shared" si="0"/>
        <v>27.837374999999998</v>
      </c>
      <c r="F12" s="5">
        <f t="shared" si="1"/>
        <v>-57.7301</v>
      </c>
    </row>
    <row r="13" spans="1:6" ht="15.75" customHeight="1">
      <c r="A13" s="7">
        <v>1050300000</v>
      </c>
      <c r="B13" s="11" t="s">
        <v>226</v>
      </c>
      <c r="C13" s="12">
        <v>80</v>
      </c>
      <c r="D13" s="10">
        <v>22.2699</v>
      </c>
      <c r="E13" s="9">
        <f t="shared" si="0"/>
        <v>27.837374999999998</v>
      </c>
      <c r="F13" s="9">
        <f t="shared" si="1"/>
        <v>-57.7301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2966</v>
      </c>
      <c r="D14" s="5">
        <f>D15+D16</f>
        <v>275.40485999999999</v>
      </c>
      <c r="E14" s="5">
        <f t="shared" si="0"/>
        <v>9.2853964935940656</v>
      </c>
      <c r="F14" s="5">
        <f t="shared" si="1"/>
        <v>-2690.5951399999999</v>
      </c>
    </row>
    <row r="15" spans="1:6" s="6" customFormat="1" ht="15" customHeight="1">
      <c r="A15" s="7">
        <v>1060100000</v>
      </c>
      <c r="B15" s="11" t="s">
        <v>243</v>
      </c>
      <c r="C15" s="9">
        <v>1266</v>
      </c>
      <c r="D15" s="10">
        <v>68.055400000000006</v>
      </c>
      <c r="E15" s="9">
        <f t="shared" si="0"/>
        <v>5.3756240126382311</v>
      </c>
      <c r="F15" s="9">
        <f>SUM(D15-C15)</f>
        <v>-1197.9446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207.34945999999999</v>
      </c>
      <c r="E16" s="9">
        <f t="shared" si="0"/>
        <v>12.197027058823529</v>
      </c>
      <c r="F16" s="9">
        <f t="shared" si="1"/>
        <v>-1492.6505400000001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224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125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13.3</v>
      </c>
      <c r="E25" s="5" t="e">
        <f t="shared" si="0"/>
        <v>#DIV/0!</v>
      </c>
      <c r="F25" s="5">
        <f t="shared" si="1"/>
        <v>13.3</v>
      </c>
    </row>
    <row r="26" spans="1:6" s="6" customFormat="1" ht="32.25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13.3</v>
      </c>
      <c r="E31" s="5" t="e">
        <f t="shared" si="0"/>
        <v>#DIV/0!</v>
      </c>
      <c r="F31" s="5">
        <f t="shared" si="1"/>
        <v>13.3</v>
      </c>
    </row>
    <row r="32" spans="1:6" ht="17.25" customHeight="1">
      <c r="A32" s="16">
        <v>1140200000</v>
      </c>
      <c r="B32" s="18" t="s">
        <v>130</v>
      </c>
      <c r="C32" s="9">
        <v>0</v>
      </c>
      <c r="D32" s="10">
        <v>13.3</v>
      </c>
      <c r="E32" s="9" t="e">
        <f t="shared" si="0"/>
        <v>#DIV/0!</v>
      </c>
      <c r="F32" s="9">
        <f t="shared" si="1"/>
        <v>13.3</v>
      </c>
    </row>
    <row r="33" spans="1:7" ht="18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5684.1</v>
      </c>
      <c r="D39" s="125">
        <f>D4+D25</f>
        <v>879.59785999999986</v>
      </c>
      <c r="E39" s="5">
        <f t="shared" si="0"/>
        <v>15.47470769339033</v>
      </c>
      <c r="F39" s="5">
        <f t="shared" si="1"/>
        <v>-4804.5021400000005</v>
      </c>
    </row>
    <row r="40" spans="1:7" s="6" customFormat="1">
      <c r="A40" s="3">
        <v>2000000000</v>
      </c>
      <c r="B40" s="4" t="s">
        <v>17</v>
      </c>
      <c r="C40" s="227">
        <f>C41+C43+C45+C46+C47+C49+C42+C44+C48</f>
        <v>17267.67973</v>
      </c>
      <c r="D40" s="469">
        <f>D41+D43+D45+D46+D47+D49+D42+D48</f>
        <v>2071.5749999999998</v>
      </c>
      <c r="E40" s="5">
        <f t="shared" si="0"/>
        <v>11.996834736290305</v>
      </c>
      <c r="F40" s="5">
        <f t="shared" si="1"/>
        <v>-15196.104729999999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2071.5749999999998</v>
      </c>
      <c r="E41" s="9">
        <f t="shared" si="0"/>
        <v>25</v>
      </c>
      <c r="F41" s="9">
        <f t="shared" si="1"/>
        <v>-6214.7249999999995</v>
      </c>
    </row>
    <row r="42" spans="1:7" ht="15" customHeight="1">
      <c r="A42" s="16">
        <v>2021500210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8582.69283</v>
      </c>
      <c r="D43" s="10">
        <v>0</v>
      </c>
      <c r="E43" s="9">
        <f t="shared" si="0"/>
        <v>0</v>
      </c>
      <c r="F43" s="9">
        <f t="shared" si="1"/>
        <v>-8582.69283</v>
      </c>
    </row>
    <row r="44" spans="1:7" ht="15" hidden="1" customHeight="1">
      <c r="A44" s="16">
        <v>2022999910</v>
      </c>
      <c r="B44" s="18" t="s">
        <v>332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21.4389</v>
      </c>
      <c r="D45" s="180">
        <v>0</v>
      </c>
      <c r="E45" s="9">
        <f t="shared" si="0"/>
        <v>0</v>
      </c>
      <c r="F45" s="9">
        <f t="shared" si="1"/>
        <v>-21.4389</v>
      </c>
    </row>
    <row r="46" spans="1:7" ht="24" customHeight="1">
      <c r="A46" s="16">
        <v>2020400000</v>
      </c>
      <c r="B46" s="17" t="s">
        <v>21</v>
      </c>
      <c r="C46" s="12">
        <v>377.24799999999999</v>
      </c>
      <c r="D46" s="181">
        <v>0</v>
      </c>
      <c r="E46" s="9">
        <f t="shared" si="0"/>
        <v>0</v>
      </c>
      <c r="F46" s="9">
        <f t="shared" si="1"/>
        <v>-377.24799999999999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284</v>
      </c>
      <c r="C48" s="12"/>
      <c r="D48" s="181">
        <v>0</v>
      </c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3">
        <f>SUM(C39,C40,C50)</f>
        <v>22951.779730000002</v>
      </c>
      <c r="D51" s="244">
        <f>D39+D40</f>
        <v>2951.1728599999997</v>
      </c>
      <c r="E51" s="92">
        <f t="shared" si="0"/>
        <v>12.858143876932369</v>
      </c>
      <c r="F51" s="92">
        <f t="shared" si="1"/>
        <v>-20000.606870000003</v>
      </c>
      <c r="G51" s="146">
        <f>18968.9976-D51</f>
        <v>16017.82474</v>
      </c>
    </row>
    <row r="52" spans="1:7" s="6" customFormat="1" ht="23.25" customHeight="1">
      <c r="A52" s="3"/>
      <c r="B52" s="21" t="s">
        <v>307</v>
      </c>
      <c r="C52" s="92">
        <f>C51-C98</f>
        <v>-1488.967779999999</v>
      </c>
      <c r="D52" s="92">
        <f>D51-D98</f>
        <v>-301.4651600000002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410</v>
      </c>
      <c r="D54" s="472" t="s">
        <v>415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2232.5080000000003</v>
      </c>
      <c r="D56" s="33">
        <f>D57+D58+D59+D60+D61+D63+D62</f>
        <v>428.78525000000002</v>
      </c>
      <c r="E56" s="34">
        <f>SUM(D56/C56*100)</f>
        <v>19.206437334155126</v>
      </c>
      <c r="F56" s="34">
        <f>SUM(D56-C56)</f>
        <v>-1803.7227500000004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2208.3000000000002</v>
      </c>
      <c r="D58" s="37">
        <v>414.57724999999999</v>
      </c>
      <c r="E58" s="38">
        <f t="shared" ref="E58:E98" si="3">SUM(D58/C58*100)</f>
        <v>18.773592808948059</v>
      </c>
      <c r="F58" s="38">
        <f t="shared" ref="F58:F98" si="4">SUM(D58-C58)</f>
        <v>-1793.7227500000001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14.208</v>
      </c>
      <c r="D63" s="37">
        <v>14.208</v>
      </c>
      <c r="E63" s="38">
        <f t="shared" si="3"/>
        <v>100</v>
      </c>
      <c r="F63" s="38">
        <f t="shared" si="4"/>
        <v>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105</v>
      </c>
      <c r="D66" s="145">
        <f>SUM(D69+D70+D71)</f>
        <v>0</v>
      </c>
      <c r="E66" s="34">
        <f t="shared" si="3"/>
        <v>0</v>
      </c>
      <c r="F66" s="34">
        <f t="shared" si="4"/>
        <v>-105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215</v>
      </c>
      <c r="B70" s="47" t="s">
        <v>216</v>
      </c>
      <c r="C70" s="96">
        <v>100</v>
      </c>
      <c r="D70" s="37">
        <v>0</v>
      </c>
      <c r="E70" s="34">
        <f t="shared" si="3"/>
        <v>0</v>
      </c>
      <c r="F70" s="34">
        <f t="shared" si="4"/>
        <v>-100</v>
      </c>
    </row>
    <row r="71" spans="1:7" ht="17.25" customHeight="1">
      <c r="A71" s="46" t="s">
        <v>340</v>
      </c>
      <c r="B71" s="47" t="s">
        <v>395</v>
      </c>
      <c r="C71" s="96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1482.8888200000001</v>
      </c>
      <c r="D72" s="48">
        <f>SUM(D73:D76)</f>
        <v>59.354999999999997</v>
      </c>
      <c r="E72" s="34">
        <f t="shared" si="3"/>
        <v>4.0026601589726729</v>
      </c>
      <c r="F72" s="34">
        <f t="shared" si="4"/>
        <v>-1423.5338200000001</v>
      </c>
    </row>
    <row r="73" spans="1:7" ht="15" customHeight="1">
      <c r="A73" s="35" t="s">
        <v>57</v>
      </c>
      <c r="B73" s="39" t="s">
        <v>58</v>
      </c>
      <c r="C73" s="49">
        <v>21.4389</v>
      </c>
      <c r="D73" s="37">
        <v>0</v>
      </c>
      <c r="E73" s="38">
        <f t="shared" si="3"/>
        <v>0</v>
      </c>
      <c r="F73" s="38">
        <f t="shared" si="4"/>
        <v>-21.4389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1381.44992</v>
      </c>
      <c r="D75" s="37">
        <v>59.354999999999997</v>
      </c>
      <c r="E75" s="38">
        <f t="shared" si="3"/>
        <v>4.2965726908145898</v>
      </c>
      <c r="F75" s="38">
        <f t="shared" si="4"/>
        <v>-1322.09492</v>
      </c>
    </row>
    <row r="76" spans="1:7" ht="18" customHeight="1">
      <c r="A76" s="35" t="s">
        <v>63</v>
      </c>
      <c r="B76" s="39" t="s">
        <v>64</v>
      </c>
      <c r="C76" s="49">
        <v>80</v>
      </c>
      <c r="D76" s="37">
        <v>0</v>
      </c>
      <c r="E76" s="38">
        <f t="shared" si="3"/>
        <v>0</v>
      </c>
      <c r="F76" s="38">
        <f t="shared" si="4"/>
        <v>-80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14564.55069</v>
      </c>
      <c r="D77" s="32">
        <f>D78+D79+D80+D83</f>
        <v>474.89776999999998</v>
      </c>
      <c r="E77" s="34">
        <f t="shared" si="3"/>
        <v>3.2606414032810784</v>
      </c>
      <c r="F77" s="34">
        <f t="shared" si="4"/>
        <v>-14089.65292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700</v>
      </c>
      <c r="D79" s="37">
        <v>0</v>
      </c>
      <c r="E79" s="38">
        <f t="shared" si="3"/>
        <v>0</v>
      </c>
      <c r="F79" s="38">
        <f t="shared" si="4"/>
        <v>-700</v>
      </c>
    </row>
    <row r="80" spans="1:7" ht="17.25" customHeight="1">
      <c r="A80" s="35" t="s">
        <v>71</v>
      </c>
      <c r="B80" s="39" t="s">
        <v>72</v>
      </c>
      <c r="C80" s="37">
        <v>13864.55069</v>
      </c>
      <c r="D80" s="37">
        <v>474.89776999999998</v>
      </c>
      <c r="E80" s="38">
        <f t="shared" si="3"/>
        <v>3.4252662103397737</v>
      </c>
      <c r="F80" s="38">
        <f t="shared" si="4"/>
        <v>-13389.65292</v>
      </c>
    </row>
    <row r="81" spans="1:6" s="6" customFormat="1" ht="18.75" customHeight="1">
      <c r="A81" s="30" t="s">
        <v>83</v>
      </c>
      <c r="B81" s="31" t="s">
        <v>84</v>
      </c>
      <c r="C81" s="32">
        <f>C82</f>
        <v>6030.8</v>
      </c>
      <c r="D81" s="32">
        <f>D82</f>
        <v>2289.6</v>
      </c>
      <c r="E81" s="38">
        <f t="shared" si="3"/>
        <v>37.9651124228958</v>
      </c>
      <c r="F81" s="38">
        <f t="shared" si="4"/>
        <v>-3741.2000000000003</v>
      </c>
    </row>
    <row r="82" spans="1:6" ht="19.5" customHeight="1">
      <c r="A82" s="35" t="s">
        <v>85</v>
      </c>
      <c r="B82" s="39" t="s">
        <v>230</v>
      </c>
      <c r="C82" s="37">
        <v>6030.8</v>
      </c>
      <c r="D82" s="37">
        <v>2289.6</v>
      </c>
      <c r="E82" s="38">
        <f t="shared" si="3"/>
        <v>37.9651124228958</v>
      </c>
      <c r="F82" s="38">
        <f t="shared" si="4"/>
        <v>-3741.2000000000003</v>
      </c>
    </row>
    <row r="83" spans="1:6" ht="15" hidden="1" customHeight="1">
      <c r="A83" s="35" t="s">
        <v>252</v>
      </c>
      <c r="B83" s="39" t="s">
        <v>253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89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92</v>
      </c>
      <c r="B89" s="31" t="s">
        <v>93</v>
      </c>
      <c r="C89" s="32">
        <f>C90+C91+C92+C93+C94</f>
        <v>25</v>
      </c>
      <c r="D89" s="32">
        <f>D90+D91+D92+D93+D94</f>
        <v>0</v>
      </c>
      <c r="E89" s="38">
        <f t="shared" si="3"/>
        <v>0</v>
      </c>
      <c r="F89" s="22">
        <f>F90+F91+F92+F93+F94</f>
        <v>-25</v>
      </c>
    </row>
    <row r="90" spans="1:6" ht="15.75" customHeight="1">
      <c r="A90" s="35" t="s">
        <v>94</v>
      </c>
      <c r="B90" s="39" t="s">
        <v>95</v>
      </c>
      <c r="C90" s="37">
        <v>25</v>
      </c>
      <c r="D90" s="37">
        <v>0</v>
      </c>
      <c r="E90" s="38">
        <f t="shared" si="3"/>
        <v>0</v>
      </c>
      <c r="F90" s="38">
        <f>SUM(D90-C90)</f>
        <v>-25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112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114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116</v>
      </c>
      <c r="C98" s="246">
        <f>C56+C72+C77+C84+C89+C95+C66+C81</f>
        <v>24440.747510000001</v>
      </c>
      <c r="D98" s="246">
        <f>SUM(D56+D66+D72+D77+D81+D89)</f>
        <v>3252.6380199999999</v>
      </c>
      <c r="E98" s="34">
        <f t="shared" si="3"/>
        <v>13.308259162978439</v>
      </c>
      <c r="F98" s="34">
        <f t="shared" si="4"/>
        <v>-21188.109490000003</v>
      </c>
      <c r="G98" s="193"/>
    </row>
    <row r="99" spans="1:7" ht="20.25" customHeight="1">
      <c r="D99" s="175"/>
    </row>
    <row r="100" spans="1:7" s="65" customFormat="1" ht="13.5" customHeight="1">
      <c r="A100" s="63" t="s">
        <v>117</v>
      </c>
      <c r="B100" s="63"/>
      <c r="C100" s="117"/>
      <c r="D100" s="64"/>
    </row>
    <row r="101" spans="1:7" s="65" customFormat="1" ht="12.75">
      <c r="A101" s="66" t="s">
        <v>118</v>
      </c>
      <c r="B101" s="66"/>
      <c r="C101" s="132" t="s">
        <v>119</v>
      </c>
      <c r="D101" s="132"/>
    </row>
    <row r="102" spans="1:7" ht="5.25" customHeight="1"/>
    <row r="142" hidden="1"/>
  </sheetData>
  <customSheetViews>
    <customSheetView guid="{E6F84523-F47F-492E-BB0B-0D2156A983B1}" scale="70" showPageBreaks="1" printArea="1" hiddenRows="1" state="hidden" view="pageBreakPreview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2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4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6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9"/>
    </customSheetView>
    <customSheetView guid="{61528DAC-5C4C-48F4-ADE2-8A724B05A086}" scale="70" showPageBreaks="1" printArea="1" hiddenRows="1" view="pageBreakPreview" topLeftCell="A37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zoomScale="70" zoomScaleNormal="100" zoomScaleSheetLayoutView="86" workbookViewId="0">
      <selection activeCell="D84" sqref="D84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6" t="s">
        <v>421</v>
      </c>
      <c r="B1" s="526"/>
      <c r="C1" s="526"/>
      <c r="D1" s="526"/>
      <c r="E1" s="526"/>
      <c r="F1" s="526"/>
    </row>
    <row r="2" spans="1:6">
      <c r="A2" s="526"/>
      <c r="B2" s="526"/>
      <c r="C2" s="526"/>
      <c r="D2" s="526"/>
      <c r="E2" s="526"/>
      <c r="F2" s="526"/>
    </row>
    <row r="3" spans="1:6" ht="63">
      <c r="A3" s="2" t="s">
        <v>0</v>
      </c>
      <c r="B3" s="2" t="s">
        <v>1</v>
      </c>
      <c r="C3" s="72" t="s">
        <v>410</v>
      </c>
      <c r="D3" s="472" t="s">
        <v>415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5354.3099999999995</v>
      </c>
      <c r="D4" s="5">
        <f>D5+D12+D14+D17+D20+D7</f>
        <v>1143.27439</v>
      </c>
      <c r="E4" s="5">
        <f>SUM(D4/C4*100)</f>
        <v>21.352413102715385</v>
      </c>
      <c r="F4" s="5">
        <f>SUM(D4-C4)</f>
        <v>-4211.035609999999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438.25709000000001</v>
      </c>
      <c r="E5" s="5">
        <f t="shared" ref="E5:E52" si="0">SUM(D5/C5*100)</f>
        <v>25.719312793427228</v>
      </c>
      <c r="F5" s="5">
        <f t="shared" ref="F5:F52" si="1">SUM(D5-C5)</f>
        <v>-1265.7429099999999</v>
      </c>
    </row>
    <row r="6" spans="1:6">
      <c r="A6" s="7">
        <v>1010200001</v>
      </c>
      <c r="B6" s="8" t="s">
        <v>225</v>
      </c>
      <c r="C6" s="9">
        <v>1704</v>
      </c>
      <c r="D6" s="10">
        <v>438.25709000000001</v>
      </c>
      <c r="E6" s="9">
        <f t="shared" ref="E6:E11" si="2">SUM(D6/C6*100)</f>
        <v>25.719312793427228</v>
      </c>
      <c r="F6" s="9">
        <f t="shared" si="1"/>
        <v>-1265.7429099999999</v>
      </c>
    </row>
    <row r="7" spans="1:6" ht="31.5">
      <c r="A7" s="3">
        <v>1030000000</v>
      </c>
      <c r="B7" s="13" t="s">
        <v>267</v>
      </c>
      <c r="C7" s="5">
        <f>C8+C10+C9</f>
        <v>860.31</v>
      </c>
      <c r="D7" s="5">
        <f>D8+D10+D9+D11</f>
        <v>227.31779999999995</v>
      </c>
      <c r="E7" s="9">
        <f t="shared" si="2"/>
        <v>26.422777835896362</v>
      </c>
      <c r="F7" s="9">
        <f t="shared" si="1"/>
        <v>-632.99220000000003</v>
      </c>
    </row>
    <row r="8" spans="1:6">
      <c r="A8" s="7">
        <v>1030223001</v>
      </c>
      <c r="B8" s="8" t="s">
        <v>269</v>
      </c>
      <c r="C8" s="9">
        <v>320.89600000000002</v>
      </c>
      <c r="D8" s="10">
        <v>109.17043</v>
      </c>
      <c r="E8" s="9">
        <f t="shared" si="2"/>
        <v>34.020501969485437</v>
      </c>
      <c r="F8" s="9">
        <f t="shared" si="1"/>
        <v>-211.72557</v>
      </c>
    </row>
    <row r="9" spans="1:6">
      <c r="A9" s="7">
        <v>1030224001</v>
      </c>
      <c r="B9" s="8" t="s">
        <v>275</v>
      </c>
      <c r="C9" s="9">
        <v>3.4409999999999998</v>
      </c>
      <c r="D9" s="10">
        <v>0.69955000000000001</v>
      </c>
      <c r="E9" s="9">
        <f t="shared" si="2"/>
        <v>20.329845975007267</v>
      </c>
      <c r="F9" s="9">
        <f t="shared" si="1"/>
        <v>-2.7414499999999999</v>
      </c>
    </row>
    <row r="10" spans="1:6">
      <c r="A10" s="7">
        <v>1030225001</v>
      </c>
      <c r="B10" s="8" t="s">
        <v>268</v>
      </c>
      <c r="C10" s="9">
        <v>535.97299999999996</v>
      </c>
      <c r="D10" s="10">
        <v>132.09443999999999</v>
      </c>
      <c r="E10" s="9">
        <f t="shared" si="2"/>
        <v>24.645726557121346</v>
      </c>
      <c r="F10" s="9">
        <f t="shared" si="1"/>
        <v>-403.87855999999999</v>
      </c>
    </row>
    <row r="11" spans="1:6">
      <c r="A11" s="7">
        <v>1030226001</v>
      </c>
      <c r="B11" s="8" t="s">
        <v>278</v>
      </c>
      <c r="C11" s="9">
        <v>0</v>
      </c>
      <c r="D11" s="10">
        <v>-14.64662</v>
      </c>
      <c r="E11" s="9" t="e">
        <f t="shared" si="2"/>
        <v>#DIV/0!</v>
      </c>
      <c r="F11" s="9">
        <f t="shared" si="1"/>
        <v>-14.64662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58.41</v>
      </c>
      <c r="E12" s="5">
        <f t="shared" si="0"/>
        <v>233.64</v>
      </c>
      <c r="F12" s="5">
        <f t="shared" si="1"/>
        <v>33.409999999999997</v>
      </c>
    </row>
    <row r="13" spans="1:6" ht="15.75" customHeight="1">
      <c r="A13" s="7">
        <v>1050300000</v>
      </c>
      <c r="B13" s="11" t="s">
        <v>226</v>
      </c>
      <c r="C13" s="12">
        <v>25</v>
      </c>
      <c r="D13" s="10">
        <v>58.41</v>
      </c>
      <c r="E13" s="9">
        <f t="shared" si="0"/>
        <v>233.64</v>
      </c>
      <c r="F13" s="9">
        <f t="shared" si="1"/>
        <v>33.409999999999997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2757</v>
      </c>
      <c r="D14" s="5">
        <f>D15+D16</f>
        <v>418.3895</v>
      </c>
      <c r="E14" s="5">
        <f t="shared" si="0"/>
        <v>15.175535001813564</v>
      </c>
      <c r="F14" s="5">
        <f t="shared" si="1"/>
        <v>-2338.6104999999998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206.98915</v>
      </c>
      <c r="E15" s="9">
        <f t="shared" si="0"/>
        <v>20.719634634634634</v>
      </c>
      <c r="F15" s="9">
        <f>SUM(D15-C15)</f>
        <v>-792.01085</v>
      </c>
    </row>
    <row r="16" spans="1:6" ht="15.75" customHeight="1">
      <c r="A16" s="7">
        <v>1060600000</v>
      </c>
      <c r="B16" s="11" t="s">
        <v>7</v>
      </c>
      <c r="C16" s="9">
        <v>1758</v>
      </c>
      <c r="D16" s="10">
        <v>211.40035</v>
      </c>
      <c r="E16" s="9">
        <f t="shared" si="0"/>
        <v>12.02504835039818</v>
      </c>
      <c r="F16" s="9">
        <f t="shared" si="1"/>
        <v>-1546.5996500000001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0.9</v>
      </c>
      <c r="E17" s="5">
        <f t="shared" si="0"/>
        <v>11.25</v>
      </c>
      <c r="F17" s="5">
        <f t="shared" si="1"/>
        <v>-7.1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0.9</v>
      </c>
      <c r="E18" s="9">
        <f t="shared" si="0"/>
        <v>11.25</v>
      </c>
      <c r="F18" s="9">
        <f t="shared" si="1"/>
        <v>-7.1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0</v>
      </c>
      <c r="D25" s="5">
        <f>D26+D29+D31+D36+D34</f>
        <v>0.39237</v>
      </c>
      <c r="E25" s="5" t="e">
        <f t="shared" si="0"/>
        <v>#DIV/0!</v>
      </c>
      <c r="F25" s="5">
        <f t="shared" si="1"/>
        <v>0.39237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222</v>
      </c>
      <c r="C27" s="12">
        <v>0</v>
      </c>
      <c r="D27" s="10"/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128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422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5354.3099999999995</v>
      </c>
      <c r="D39" s="125">
        <f>SUM(D4,D25)</f>
        <v>1143.6667600000001</v>
      </c>
      <c r="E39" s="5">
        <f t="shared" si="0"/>
        <v>21.359741217822656</v>
      </c>
      <c r="F39" s="5">
        <f t="shared" si="1"/>
        <v>-4210.6432399999994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14455.77428</v>
      </c>
      <c r="D40" s="227">
        <f>D41+D43+D45+D46+D48+D49+D42+D44+D51</f>
        <v>649.23599999999988</v>
      </c>
      <c r="E40" s="5">
        <f t="shared" si="0"/>
        <v>4.4911880015879708</v>
      </c>
      <c r="F40" s="5">
        <f t="shared" si="1"/>
        <v>-13806.538280000001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369.80099999999999</v>
      </c>
      <c r="E41" s="9">
        <f t="shared" si="0"/>
        <v>25.000067604110328</v>
      </c>
      <c r="F41" s="9">
        <f t="shared" si="1"/>
        <v>-1109.3990000000001</v>
      </c>
    </row>
    <row r="42" spans="1:7" ht="15.75" hidden="1" customHeight="1">
      <c r="A42" s="16">
        <v>2020100310</v>
      </c>
      <c r="B42" s="17" t="s">
        <v>228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8540.8092799999995</v>
      </c>
      <c r="D43" s="10">
        <v>225</v>
      </c>
      <c r="E43" s="9">
        <f t="shared" si="0"/>
        <v>2.634410775649588</v>
      </c>
      <c r="F43" s="9">
        <f t="shared" si="1"/>
        <v>-8315.8092799999995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235.76499999999999</v>
      </c>
      <c r="D45" s="180">
        <v>54.435000000000002</v>
      </c>
      <c r="E45" s="9">
        <f t="shared" si="0"/>
        <v>23.088668801560878</v>
      </c>
      <c r="F45" s="9">
        <f t="shared" si="1"/>
        <v>-181.32999999999998</v>
      </c>
    </row>
    <row r="46" spans="1:7" ht="12.75" customHeight="1">
      <c r="A46" s="16">
        <v>2020400000</v>
      </c>
      <c r="B46" s="17" t="s">
        <v>21</v>
      </c>
      <c r="C46" s="12">
        <v>3300</v>
      </c>
      <c r="D46" s="181">
        <v>0</v>
      </c>
      <c r="E46" s="9">
        <f t="shared" si="0"/>
        <v>0</v>
      </c>
      <c r="F46" s="9">
        <f t="shared" si="1"/>
        <v>-3300</v>
      </c>
    </row>
    <row r="47" spans="1:7" ht="16.5" customHeight="1">
      <c r="A47" s="16">
        <v>2020700000</v>
      </c>
      <c r="B47" s="17" t="s">
        <v>339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334</v>
      </c>
      <c r="C51" s="12">
        <v>900</v>
      </c>
      <c r="D51" s="10">
        <v>0</v>
      </c>
      <c r="E51" s="9">
        <f t="shared" si="0"/>
        <v>0</v>
      </c>
      <c r="F51" s="9">
        <f t="shared" si="1"/>
        <v>-900</v>
      </c>
    </row>
    <row r="52" spans="1:7" s="6" customFormat="1" ht="15.75" customHeight="1">
      <c r="A52" s="3"/>
      <c r="B52" s="4" t="s">
        <v>25</v>
      </c>
      <c r="C52" s="243">
        <f>C39+C40</f>
        <v>19810.084279999999</v>
      </c>
      <c r="D52" s="244">
        <f>D39+D40</f>
        <v>1792.9027599999999</v>
      </c>
      <c r="E52" s="5">
        <f t="shared" si="0"/>
        <v>9.0504549837281161</v>
      </c>
      <c r="F52" s="5">
        <f t="shared" si="1"/>
        <v>-18017.181519999998</v>
      </c>
      <c r="G52" s="93"/>
    </row>
    <row r="53" spans="1:7" s="6" customFormat="1">
      <c r="A53" s="3"/>
      <c r="B53" s="21" t="s">
        <v>308</v>
      </c>
      <c r="C53" s="92">
        <f>C52-C103</f>
        <v>34.679289999996399</v>
      </c>
      <c r="D53" s="92">
        <f>D52-D103</f>
        <v>790.77183999999988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410</v>
      </c>
      <c r="D55" s="472" t="s">
        <v>415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2395.7039999999997</v>
      </c>
      <c r="D57" s="32">
        <f>D58+D59+D60+D61+D62+D64+D63</f>
        <v>427.56304999999998</v>
      </c>
      <c r="E57" s="34">
        <f>SUM(D57/C57*100)</f>
        <v>17.847073344620203</v>
      </c>
      <c r="F57" s="34">
        <f>SUM(D57-C57)</f>
        <v>-1968.1409499999997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2335.1999999999998</v>
      </c>
      <c r="D59" s="37">
        <v>377.56304999999998</v>
      </c>
      <c r="E59" s="38">
        <f t="shared" ref="E59:E103" si="3">SUM(D59/C59*100)</f>
        <v>16.168338900308324</v>
      </c>
      <c r="F59" s="38">
        <f t="shared" ref="F59:F103" si="4">SUM(D59-C59)</f>
        <v>-1957.6369499999998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41</v>
      </c>
      <c r="B64" s="39" t="s">
        <v>42</v>
      </c>
      <c r="C64" s="37">
        <v>55.503999999999998</v>
      </c>
      <c r="D64" s="37">
        <v>50</v>
      </c>
      <c r="E64" s="38">
        <f t="shared" si="3"/>
        <v>90.083597578552897</v>
      </c>
      <c r="F64" s="38">
        <f t="shared" si="4"/>
        <v>-5.5039999999999978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0</v>
      </c>
      <c r="E65" s="34">
        <f t="shared" si="3"/>
        <v>0</v>
      </c>
      <c r="F65" s="34">
        <f t="shared" si="4"/>
        <v>-235.76499999999999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0</v>
      </c>
      <c r="E66" s="38">
        <f t="shared" si="3"/>
        <v>0</v>
      </c>
      <c r="F66" s="38">
        <f t="shared" si="4"/>
        <v>-235.76499999999999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13.5</v>
      </c>
      <c r="D67" s="32">
        <f>D70+D71</f>
        <v>0.7</v>
      </c>
      <c r="E67" s="34">
        <f t="shared" si="3"/>
        <v>5.1851851851851851</v>
      </c>
      <c r="F67" s="34">
        <f t="shared" si="4"/>
        <v>-12.8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8.5</v>
      </c>
      <c r="D71" s="37">
        <v>0.7</v>
      </c>
      <c r="E71" s="34">
        <f t="shared" si="3"/>
        <v>8.235294117647058</v>
      </c>
      <c r="F71" s="34">
        <f t="shared" si="4"/>
        <v>-7.8</v>
      </c>
    </row>
    <row r="72" spans="1:7" ht="15.75" customHeight="1">
      <c r="A72" s="46" t="s">
        <v>340</v>
      </c>
      <c r="B72" s="47" t="s">
        <v>396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4374.2875100000001</v>
      </c>
      <c r="D73" s="48">
        <f>SUM(D74:D77)</f>
        <v>250</v>
      </c>
      <c r="E73" s="34">
        <f t="shared" si="3"/>
        <v>5.7152164650466704</v>
      </c>
      <c r="F73" s="34">
        <f t="shared" si="4"/>
        <v>-4124.2875100000001</v>
      </c>
    </row>
    <row r="74" spans="1:7" ht="1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4043.2875100000001</v>
      </c>
      <c r="D76" s="37">
        <v>250</v>
      </c>
      <c r="E76" s="38">
        <f t="shared" si="3"/>
        <v>6.1830873857397295</v>
      </c>
      <c r="F76" s="38">
        <f t="shared" si="4"/>
        <v>-3793.2875100000001</v>
      </c>
    </row>
    <row r="77" spans="1:7">
      <c r="A77" s="35" t="s">
        <v>63</v>
      </c>
      <c r="B77" s="39" t="s">
        <v>64</v>
      </c>
      <c r="C77" s="49">
        <v>331</v>
      </c>
      <c r="D77" s="37">
        <v>0</v>
      </c>
      <c r="E77" s="38">
        <f t="shared" si="3"/>
        <v>0</v>
      </c>
      <c r="F77" s="38">
        <f t="shared" si="4"/>
        <v>-331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11496.24848</v>
      </c>
      <c r="D78" s="32">
        <f>SUM(D79:D82)</f>
        <v>205.74286999999998</v>
      </c>
      <c r="E78" s="34">
        <f t="shared" si="3"/>
        <v>1.7896522535845536</v>
      </c>
      <c r="F78" s="34">
        <f t="shared" si="4"/>
        <v>-11290.50561</v>
      </c>
    </row>
    <row r="79" spans="1:7" ht="15.75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10499.15928</v>
      </c>
      <c r="D80" s="37">
        <v>101.94199999999999</v>
      </c>
      <c r="E80" s="38">
        <f t="shared" si="3"/>
        <v>0.97095393337055835</v>
      </c>
      <c r="F80" s="38">
        <f t="shared" si="4"/>
        <v>-10397.217280000001</v>
      </c>
    </row>
    <row r="81" spans="1:6" ht="18" customHeight="1">
      <c r="A81" s="35" t="s">
        <v>71</v>
      </c>
      <c r="B81" s="39" t="s">
        <v>72</v>
      </c>
      <c r="C81" s="37">
        <v>997.08920000000001</v>
      </c>
      <c r="D81" s="37">
        <v>103.80087</v>
      </c>
      <c r="E81" s="38">
        <f t="shared" si="3"/>
        <v>10.410389561936887</v>
      </c>
      <c r="F81" s="38">
        <f t="shared" si="4"/>
        <v>-893.28832999999997</v>
      </c>
    </row>
    <row r="82" spans="1:6" hidden="1">
      <c r="A82" s="35" t="s">
        <v>252</v>
      </c>
      <c r="B82" s="39" t="s">
        <v>253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83</v>
      </c>
      <c r="B83" s="31" t="s">
        <v>84</v>
      </c>
      <c r="C83" s="32">
        <f>C84+C85</f>
        <v>1224.9000000000001</v>
      </c>
      <c r="D83" s="32">
        <f>D84+D85</f>
        <v>102.075</v>
      </c>
      <c r="E83" s="34">
        <f t="shared" si="3"/>
        <v>8.3333333333333321</v>
      </c>
      <c r="F83" s="34">
        <f t="shared" si="4"/>
        <v>-1122.825</v>
      </c>
    </row>
    <row r="84" spans="1:6" ht="18" customHeight="1">
      <c r="A84" s="35" t="s">
        <v>85</v>
      </c>
      <c r="B84" s="39" t="s">
        <v>230</v>
      </c>
      <c r="C84" s="37">
        <v>1224.9000000000001</v>
      </c>
      <c r="D84" s="37">
        <v>102.075</v>
      </c>
      <c r="E84" s="38">
        <f t="shared" si="3"/>
        <v>8.3333333333333321</v>
      </c>
      <c r="F84" s="38">
        <f t="shared" si="4"/>
        <v>-1122.825</v>
      </c>
    </row>
    <row r="85" spans="1:6" hidden="1">
      <c r="A85" s="35" t="s">
        <v>259</v>
      </c>
      <c r="B85" s="39" t="s">
        <v>260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86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87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88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89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90</v>
      </c>
      <c r="B90" s="39" t="s">
        <v>91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86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87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93</v>
      </c>
      <c r="C93" s="32">
        <f>C94+C95+C96+C97+C98</f>
        <v>35</v>
      </c>
      <c r="D93" s="32">
        <f>D94+D95+D96+D97+D98</f>
        <v>16.05</v>
      </c>
      <c r="E93" s="38">
        <f t="shared" si="3"/>
        <v>45.857142857142854</v>
      </c>
      <c r="F93" s="22">
        <f>F94+F95+F96+F97+F98</f>
        <v>-18.95</v>
      </c>
    </row>
    <row r="94" spans="1:6" ht="18.75" customHeight="1">
      <c r="A94" s="53">
        <v>1101</v>
      </c>
      <c r="B94" s="54" t="s">
        <v>95</v>
      </c>
      <c r="C94" s="37">
        <v>35</v>
      </c>
      <c r="D94" s="37">
        <v>16.05</v>
      </c>
      <c r="E94" s="38">
        <f t="shared" si="3"/>
        <v>45.857142857142854</v>
      </c>
      <c r="F94" s="38">
        <f>SUM(D94-C94)</f>
        <v>-18.95</v>
      </c>
    </row>
    <row r="95" spans="1:6" ht="0.75" hidden="1" customHeight="1">
      <c r="A95" s="35" t="s">
        <v>90</v>
      </c>
      <c r="B95" s="39" t="s">
        <v>91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98</v>
      </c>
      <c r="B96" s="39" t="s">
        <v>99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100</v>
      </c>
      <c r="B97" s="39" t="s">
        <v>101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102</v>
      </c>
      <c r="B98" s="39" t="s">
        <v>103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112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113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114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115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116</v>
      </c>
      <c r="C103" s="246">
        <f>C57+C65+C67+C73+C78+C83+C86+C93+C99+C91</f>
        <v>19775.404990000003</v>
      </c>
      <c r="D103" s="246">
        <f>D57+D65+D67+D73+D78+D83+D86+D93+D99+D91</f>
        <v>1002.1309200000001</v>
      </c>
      <c r="E103" s="34">
        <f t="shared" si="3"/>
        <v>5.0675620575495479</v>
      </c>
      <c r="F103" s="34">
        <f t="shared" si="4"/>
        <v>-18773.274070000003</v>
      </c>
    </row>
    <row r="104" spans="1:6">
      <c r="D104" s="175"/>
    </row>
    <row r="105" spans="1:6" s="65" customFormat="1" ht="12.75">
      <c r="A105" s="63" t="s">
        <v>117</v>
      </c>
      <c r="B105" s="63"/>
      <c r="C105" s="117"/>
      <c r="D105" s="64"/>
    </row>
    <row r="106" spans="1:6" s="65" customFormat="1" ht="18.75" customHeight="1">
      <c r="A106" s="66" t="s">
        <v>118</v>
      </c>
      <c r="B106" s="66"/>
      <c r="C106" s="65" t="s">
        <v>119</v>
      </c>
    </row>
    <row r="143" hidden="1"/>
  </sheetData>
  <customSheetViews>
    <customSheetView guid="{E6F84523-F47F-492E-BB0B-0D2156A983B1}" scale="70" showPageBreaks="1" hiddenRows="1" state="hidden" view="pageBreakPreview">
      <selection activeCell="D84" sqref="D8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2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6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9"/>
    </customSheetView>
    <customSheetView guid="{61528DAC-5C4C-48F4-ADE2-8A724B05A086}" scale="70" showPageBreaks="1" hiddenRows="1" view="pageBreakPreview" topLeftCell="A3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10</vt:i4>
      </vt:variant>
    </vt:vector>
  </HeadingPairs>
  <TitlesOfParts>
    <vt:vector size="34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Лист5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хорной</cp:lastModifiedBy>
  <cp:lastPrinted>2020-02-07T13:48:23Z</cp:lastPrinted>
  <dcterms:created xsi:type="dcterms:W3CDTF">1996-10-08T23:32:33Z</dcterms:created>
  <dcterms:modified xsi:type="dcterms:W3CDTF">2022-07-06T12:50:39Z</dcterms:modified>
</cp:coreProperties>
</file>