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19200" windowHeight="10605"/>
  </bookViews>
  <sheets>
    <sheet name="Мои данные" sheetId="9" r:id="rId1"/>
  </sheets>
  <definedNames>
    <definedName name="_xlnm.Print_Titles" localSheetId="0">'Мои данные'!$14:$15</definedName>
    <definedName name="_xlnm.Print_Area" localSheetId="0">'Мои данные'!$A$1:$L$84</definedName>
  </definedNames>
  <calcPr calcId="125725"/>
</workbook>
</file>

<file path=xl/calcChain.xml><?xml version="1.0" encoding="utf-8"?>
<calcChain xmlns="http://schemas.openxmlformats.org/spreadsheetml/2006/main">
  <c r="E38" i="9"/>
  <c r="E49" s="1"/>
  <c r="E36"/>
  <c r="H36" s="1"/>
  <c r="K36" s="1"/>
  <c r="E34"/>
  <c r="H34" s="1"/>
  <c r="K34" s="1"/>
  <c r="H29"/>
  <c r="K29" s="1"/>
  <c r="H28"/>
  <c r="K28" s="1"/>
  <c r="H27"/>
  <c r="K27" s="1"/>
  <c r="H26"/>
  <c r="K26" s="1"/>
  <c r="H21"/>
  <c r="K21" s="1"/>
  <c r="H20"/>
  <c r="K20" s="1"/>
  <c r="H19"/>
  <c r="K19" s="1"/>
  <c r="H23" l="1"/>
  <c r="K30"/>
  <c r="K31"/>
  <c r="K22"/>
  <c r="K23"/>
  <c r="E60"/>
  <c r="H62" s="1"/>
  <c r="E52"/>
  <c r="H54" s="1"/>
  <c r="H49"/>
  <c r="H40"/>
  <c r="H30"/>
  <c r="H22"/>
  <c r="H24" s="1"/>
  <c r="H31"/>
  <c r="H33" s="1"/>
  <c r="H39"/>
  <c r="H42"/>
  <c r="K42" s="1"/>
  <c r="E47"/>
  <c r="H47" s="1"/>
  <c r="K47" s="1"/>
  <c r="K24" l="1"/>
  <c r="K33"/>
  <c r="K39"/>
  <c r="K70" s="1"/>
  <c r="H70"/>
  <c r="K49"/>
  <c r="K71" s="1"/>
  <c r="H71"/>
  <c r="K62"/>
  <c r="H68"/>
  <c r="H72"/>
  <c r="H67"/>
  <c r="H59"/>
  <c r="K54"/>
  <c r="K59" s="1"/>
  <c r="K43"/>
  <c r="K73" s="1"/>
  <c r="K44"/>
  <c r="K74" s="1"/>
  <c r="K40"/>
  <c r="H44"/>
  <c r="H43"/>
  <c r="H73" s="1"/>
  <c r="K67" l="1"/>
  <c r="K68"/>
  <c r="K75" s="1"/>
  <c r="K76" s="1"/>
  <c r="K77" s="1"/>
  <c r="H46"/>
  <c r="H74"/>
  <c r="H75" s="1"/>
  <c r="H76" s="1"/>
  <c r="H77" s="1"/>
  <c r="K46"/>
</calcChain>
</file>

<file path=xl/comments1.xml><?xml version="1.0" encoding="utf-8"?>
<comments xmlns="http://schemas.openxmlformats.org/spreadsheetml/2006/main">
  <authors>
    <author>Сергей</author>
    <author>Alex Sosedko</author>
    <author>Comp</author>
    <author>Осипов</author>
    <author>alexso</author>
    <author>&lt;&gt;</author>
    <author>Соседко А.Н.</author>
  </authors>
  <commentList>
    <comment ref="A2" authorId="0">
      <text>
        <r>
          <rPr>
            <sz val="8"/>
            <color indexed="81"/>
            <rFont val="Tahoma"/>
            <family val="2"/>
            <charset val="204"/>
          </rPr>
          <t xml:space="preserve">   /&lt;Заказчик&gt;/</t>
        </r>
      </text>
    </comment>
    <comment ref="A6" authorId="0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на &lt;Наименование локальной сметы&gt;, &lt;Наименование объекта&gt;</t>
        </r>
      </text>
    </comment>
    <comment ref="A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&lt;Номер позиции по смете&gt;&lt;Статус ресурса&gt;</t>
        </r>
      </text>
    </comment>
    <comment ref="B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&lt;Обоснование (код) позиции&gt;
&lt;Пункт ТЧ&gt;</t>
        </r>
      </text>
    </comment>
    <comment ref="C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(текстовая часть) расценки&gt;                                         &lt;Формула расчета стоимости единицы&gt;
Ц=&lt;Формула базисной цены единицы ПЗ&gt;&lt;Формула базисной цены единицы МАТ&gt;</t>
        </r>
      </text>
    </comment>
    <comment ref="D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&lt;Ед. измерения по расценке&gt;</t>
        </r>
      </text>
    </comment>
    <comment ref="E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
&lt;Формула расчета физ. объема&gt;&lt;Нормы НР по позиции для баз.цен&gt;&lt;Нормы СП по позиции для баз.цен&gt;&lt;ТЗ по позиции на единицу без коэффициентов&gt;&lt;ТЗМ по позиции на единицу без коэффициентов&gt;</t>
        </r>
      </text>
    </comment>
    <comment ref="F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&lt;Исходное значение ПЗ по позиции на единицу&gt;</t>
        </r>
      </text>
    </comment>
    <comment ref="G15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&lt;К-т к позиции на прямые затраты&gt;&lt;К-т к позиции на основную з/п&gt;&lt;К-т к позиции на эксплуатацию машин&gt;&lt;К-т к позиции на з/п машинистов&gt;&lt;К-т к позиции на материалы&gt;&lt;К-т к позиции на трудозатраты рабочих&gt;  &lt;К-т к позиции на трудозатраты механизаторов&gt; &lt;К-ты к НР по позиции для баз.цен&gt;&lt;К-ты к СП по позиции для баз.цен&gt;</t>
        </r>
      </text>
    </comment>
    <comment ref="H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&lt;Общая стоимость ПЗ по позиции в базисных ценах с учетом к-тов к итогам&gt; &lt;Сумма НР по позиции при расчете в базисных ценах&gt;&lt;Сумма СП по позиции при расчете в базисных ценах&gt;</t>
        </r>
      </text>
    </comment>
    <comment ref="I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индекса к позиции&gt;</t>
        </r>
      </text>
    </comment>
    <comment ref="J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ОЗП&gt;&lt;Индекс к позиции на ЭМ&gt;&lt;Индекс к позиции на ЗПМ&gt;&lt;Индекс к позиции на МАТ&gt;&lt;Индекс к СМР&gt;&lt;Строка задания НР для БИМ&gt;&lt;Строка задания СП для БИМ&gt;</t>
        </r>
      </text>
    </comment>
    <comment ref="K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&lt;Общая стоимость ПЗ по позиции для БИМ до начисления НР и СП&gt;&lt;Сумма НР по позиции для БИМ&gt;&lt;Сумма СП по позиции для БИМ&gt;</t>
        </r>
      </text>
    </comment>
    <comment ref="L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&lt;Стоимость единицы по позиции с коэф-ми, НР и СП для БИМ&gt;&lt;ТЗ по позиции всего&gt;&lt;ТЗМ по позиции всего&gt;</t>
        </r>
      </text>
    </comment>
    <comment ref="B7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B7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&lt;Проверил&gt;</t>
        </r>
      </text>
    </comment>
    <comment ref="C8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320 атрибут 970 значение&gt; &lt;подпись 320 значение&gt; _________________ /&lt;подпись 320 атрибут 950 значение&gt;/</t>
        </r>
      </text>
    </comment>
    <comment ref="C83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330 атрибут 970 значение&gt; &lt;подпись 330 значение&gt;  _________________ /&lt;подпись 330 атрибут 950 значение&gt;/</t>
        </r>
      </text>
    </comment>
  </commentList>
</comments>
</file>

<file path=xl/sharedStrings.xml><?xml version="1.0" encoding="utf-8"?>
<sst xmlns="http://schemas.openxmlformats.org/spreadsheetml/2006/main" count="318" uniqueCount="88">
  <si>
    <t>№ п/п</t>
  </si>
  <si>
    <t>Наименование работ и затрат</t>
  </si>
  <si>
    <t>Единица измерения</t>
  </si>
  <si>
    <t>Кол-во единиц</t>
  </si>
  <si>
    <t>Цена на ед. изм., руб.</t>
  </si>
  <si>
    <t>Всего в базисных ценах, руб.</t>
  </si>
  <si>
    <t>Всего в текущих (прогнозных) ценах, руб.</t>
  </si>
  <si>
    <t>Справочно</t>
  </si>
  <si>
    <t>Коэф. пересчета</t>
  </si>
  <si>
    <t>Пункт коэф. пересчета</t>
  </si>
  <si>
    <t>Коэф. поправ. к позиции</t>
  </si>
  <si>
    <t xml:space="preserve">Стоим.ед. с нач., руб. </t>
  </si>
  <si>
    <t>ЗТР, всего,        чел.-час</t>
  </si>
  <si>
    <t>Шифр расценки и коды ресурсов  (обоснование коэффициента)</t>
  </si>
  <si>
    <t xml:space="preserve">   Раздел 1. </t>
  </si>
  <si>
    <t/>
  </si>
  <si>
    <t>4 квартал 2019 года</t>
  </si>
  <si>
    <t>ЗП</t>
  </si>
  <si>
    <t>ЭМ</t>
  </si>
  <si>
    <t>в т.ч. ЗПМ</t>
  </si>
  <si>
    <t>МР</t>
  </si>
  <si>
    <t>НР от ФОТ</t>
  </si>
  <si>
    <t>%</t>
  </si>
  <si>
    <t>СП от ФОТ</t>
  </si>
  <si>
    <t>ЗТР</t>
  </si>
  <si>
    <t>чел.час</t>
  </si>
  <si>
    <t>Всего по позиции</t>
  </si>
  <si>
    <t>т</t>
  </si>
  <si>
    <t>1 т груза</t>
  </si>
  <si>
    <t>ТЕР27-06-026-01</t>
  </si>
  <si>
    <t>Розлив вяжущих материалов</t>
  </si>
  <si>
    <t>1 т</t>
  </si>
  <si>
    <t>ТЕР27-06-020-01</t>
  </si>
  <si>
    <t>Устройство покрытия толщиной 4 см из горячих асфальтобетонных смесей плотных мелкозернистых типа АБВ, плотность каменных материалов: 2,5-2,9 т/м3</t>
  </si>
  <si>
    <t>1000 м2 покрытия</t>
  </si>
  <si>
    <t>ТССЦ-410-0005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</si>
  <si>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 II, тип А</t>
  </si>
  <si>
    <t>ТССЦ-410-0011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</si>
  <si>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 III, тип В</t>
  </si>
  <si>
    <t>ТЕР27-06-021-01</t>
  </si>
  <si>
    <t>На каждые 0,5 см(1 см) изменения толщины покрытия добавлять или исключать: к расценке 27-06-020-01</t>
  </si>
  <si>
    <t xml:space="preserve">   Поправка на перевозку асфальтобетона</t>
  </si>
  <si>
    <t>ТССЦпг-03-21-02-030</t>
  </si>
  <si>
    <t>Перевозка грузов автомобилями-самосвалами грузоподъемностью 10 т, работающих вне карьера, на расстояние: до 30 км II класс груза</t>
  </si>
  <si>
    <t>Итого прямые затраты по разделу</t>
  </si>
  <si>
    <t xml:space="preserve"> 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</si>
  <si>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</si>
  <si>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</si>
  <si>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</si>
  <si>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</si>
  <si>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</si>
  <si>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</si>
  <si>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ТССЦпг-03-21-02-055</t>
  </si>
  <si>
    <t>Перевозка грузов автомобилями-самосвалами грузоподъемностью 10 т, работающих вне карьера, на расстояние: до 97 км II класс груза</t>
  </si>
  <si>
    <t>6</t>
  </si>
  <si>
    <t>7</t>
  </si>
  <si>
    <t>8</t>
  </si>
  <si>
    <t>10</t>
  </si>
  <si>
    <t>11</t>
  </si>
  <si>
    <t>12</t>
  </si>
  <si>
    <t>13</t>
  </si>
  <si>
    <t>14</t>
  </si>
  <si>
    <t xml:space="preserve">        ___________________________________   </t>
  </si>
  <si>
    <t>________________________</t>
  </si>
  <si>
    <t>"____" _____________ 2020 г.</t>
  </si>
  <si>
    <t>ЛОКАЛЬНАЯ СМЕТА № 01</t>
  </si>
  <si>
    <t>(локальный сметный расчет)</t>
  </si>
  <si>
    <t>(наименование работ и затрат, наименование объекта)</t>
  </si>
  <si>
    <t>0,127</t>
  </si>
  <si>
    <t xml:space="preserve">121=142*0.85 </t>
  </si>
  <si>
    <t xml:space="preserve">65=95*(0.85*0.8) </t>
  </si>
  <si>
    <t>0,210</t>
  </si>
  <si>
    <t>Объем: 96,6*(-0,210)</t>
  </si>
  <si>
    <t>Объем: 96,6*(0,210)</t>
  </si>
  <si>
    <t>Объем: 12,1*2*(-0,210)</t>
  </si>
  <si>
    <t xml:space="preserve">     НДС 20%</t>
  </si>
  <si>
    <t xml:space="preserve">    ВСЕГО ПО СМЕТЕ</t>
  </si>
  <si>
    <t xml:space="preserve">    Итого по смете</t>
  </si>
  <si>
    <t>Составил</t>
  </si>
  <si>
    <t>Проверил</t>
  </si>
  <si>
    <t xml:space="preserve"> Ремонт площадки по  улице Космовского дом 37.1   в селе Шемурша Шемуршинского снльского поселения  Шемуршинского района Чувашской Республики </t>
  </si>
  <si>
    <t xml:space="preserve">УТВЕРЖДАЮ </t>
  </si>
  <si>
    <t>СОГЛАСОВАНО</t>
  </si>
  <si>
    <t xml:space="preserve">Глава Шемуршинского сельского поселения </t>
  </si>
  <si>
    <t>Начальник отдела строителдьсква и ЖКХ  администрации Шемуршинского района</t>
  </si>
  <si>
    <t xml:space="preserve">___________________//А.Н. Удин </t>
  </si>
  <si>
    <t xml:space="preserve"> ______________//А.А.Кокуркин </t>
  </si>
  <si>
    <t>"___" __________ 2020 г.</t>
  </si>
</sst>
</file>

<file path=xl/styles.xml><?xml version="1.0" encoding="utf-8"?>
<styleSheet xmlns="http://schemas.openxmlformats.org/spreadsheetml/2006/main">
  <numFmts count="2">
    <numFmt numFmtId="164" formatCode="General;\-General;"/>
    <numFmt numFmtId="165" formatCode="0.000"/>
  </numFmts>
  <fonts count="1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Arial"/>
      <family val="2"/>
      <charset val="204"/>
    </font>
    <font>
      <b/>
      <sz val="13"/>
      <color theme="3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5" fillId="0" borderId="0">
      <alignment horizontal="right" vertic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  <xf numFmtId="0" fontId="6" fillId="0" borderId="5" applyNumberFormat="0" applyFill="0" applyAlignment="0" applyProtection="0"/>
  </cellStyleXfs>
  <cellXfs count="109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23" applyFont="1" applyAlignment="1"/>
    <xf numFmtId="0" fontId="8" fillId="0" borderId="0" xfId="0" applyFont="1" applyAlignment="1">
      <alignment horizontal="left" vertical="top" wrapText="1"/>
    </xf>
    <xf numFmtId="0" fontId="8" fillId="0" borderId="0" xfId="24" applyFont="1" applyAlignment="1">
      <alignment horizontal="center"/>
    </xf>
    <xf numFmtId="164" fontId="8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0" xfId="24" applyFont="1" applyAlignment="1">
      <alignment horizontal="center" wrapText="1"/>
    </xf>
    <xf numFmtId="0" fontId="8" fillId="0" borderId="0" xfId="24" applyFont="1" applyAlignment="1">
      <alignment horizontal="left" vertical="top" wrapText="1"/>
    </xf>
    <xf numFmtId="1" fontId="8" fillId="0" borderId="0" xfId="0" applyNumberFormat="1" applyFont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/>
    </xf>
    <xf numFmtId="0" fontId="8" fillId="0" borderId="2" xfId="15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right" vertical="center" wrapText="1"/>
    </xf>
    <xf numFmtId="0" fontId="8" fillId="0" borderId="0" xfId="0" applyNumberFormat="1" applyFont="1" applyBorder="1" applyAlignment="1">
      <alignment horizontal="right" vertical="center" wrapText="1"/>
    </xf>
    <xf numFmtId="49" fontId="8" fillId="0" borderId="0" xfId="15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right" vertical="center" wrapText="1"/>
    </xf>
    <xf numFmtId="0" fontId="8" fillId="0" borderId="0" xfId="0" quotePrefix="1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right" vertical="center" wrapText="1"/>
    </xf>
    <xf numFmtId="0" fontId="9" fillId="0" borderId="3" xfId="0" applyNumberFormat="1" applyFont="1" applyBorder="1" applyAlignment="1">
      <alignment horizontal="righ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right" vertical="center" wrapText="1"/>
    </xf>
    <xf numFmtId="0" fontId="8" fillId="0" borderId="3" xfId="0" applyNumberFormat="1" applyFont="1" applyBorder="1" applyAlignment="1">
      <alignment horizontal="righ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righ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right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right" vertical="center" wrapText="1"/>
    </xf>
    <xf numFmtId="0" fontId="8" fillId="0" borderId="0" xfId="24" applyFont="1" applyBorder="1" applyAlignment="1">
      <alignment horizontal="left" vertical="top"/>
    </xf>
    <xf numFmtId="2" fontId="8" fillId="0" borderId="0" xfId="15" applyNumberFormat="1" applyFont="1" applyBorder="1" applyAlignment="1">
      <alignment horizontal="right" vertical="center"/>
    </xf>
    <xf numFmtId="2" fontId="8" fillId="0" borderId="0" xfId="15" quotePrefix="1" applyNumberFormat="1" applyFont="1" applyBorder="1" applyAlignment="1">
      <alignment horizontal="right" vertical="center"/>
    </xf>
    <xf numFmtId="2" fontId="9" fillId="0" borderId="3" xfId="15" applyNumberFormat="1" applyFont="1" applyBorder="1" applyAlignment="1">
      <alignment horizontal="right" vertical="center"/>
    </xf>
    <xf numFmtId="2" fontId="8" fillId="0" borderId="3" xfId="15" applyNumberFormat="1" applyFont="1" applyBorder="1" applyAlignment="1">
      <alignment horizontal="right" vertical="center"/>
    </xf>
    <xf numFmtId="2" fontId="8" fillId="0" borderId="6" xfId="15" applyNumberFormat="1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2" fontId="9" fillId="0" borderId="6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vertical="top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6" xfId="0" applyNumberFormat="1" applyFont="1" applyBorder="1" applyAlignment="1">
      <alignment horizontal="right" vertical="center" wrapText="1"/>
    </xf>
    <xf numFmtId="0" fontId="8" fillId="0" borderId="3" xfId="0" applyNumberFormat="1" applyFont="1" applyBorder="1" applyAlignment="1">
      <alignment horizontal="right" vertical="top" wrapText="1"/>
    </xf>
    <xf numFmtId="165" fontId="8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Border="1" applyAlignment="1">
      <alignment horizontal="right" vertical="center" wrapText="1"/>
    </xf>
    <xf numFmtId="0" fontId="8" fillId="0" borderId="6" xfId="0" applyNumberFormat="1" applyFont="1" applyBorder="1" applyAlignment="1">
      <alignment horizontal="right" vertical="top" wrapText="1"/>
    </xf>
    <xf numFmtId="2" fontId="9" fillId="0" borderId="0" xfId="15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2" fontId="10" fillId="0" borderId="0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vertical="top"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 vertical="center"/>
    </xf>
    <xf numFmtId="0" fontId="5" fillId="0" borderId="0" xfId="23" applyFont="1" applyBorder="1" applyAlignment="1">
      <alignment horizontal="center"/>
    </xf>
    <xf numFmtId="0" fontId="14" fillId="0" borderId="0" xfId="0" applyFont="1" applyBorder="1"/>
    <xf numFmtId="0" fontId="5" fillId="0" borderId="0" xfId="0" applyFont="1" applyBorder="1"/>
    <xf numFmtId="0" fontId="5" fillId="0" borderId="0" xfId="23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0" xfId="23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23" applyFont="1" applyBorder="1" applyAlignment="1">
      <alignment horizontal="center"/>
    </xf>
    <xf numFmtId="0" fontId="5" fillId="0" borderId="0" xfId="23" applyFont="1" applyBorder="1" applyAlignment="1">
      <alignment horizontal="left" wrapText="1"/>
    </xf>
    <xf numFmtId="0" fontId="5" fillId="0" borderId="0" xfId="23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0" borderId="0" xfId="24" applyFont="1" applyAlignment="1">
      <alignment horizontal="left" vertical="top" wrapText="1"/>
    </xf>
    <xf numFmtId="49" fontId="9" fillId="0" borderId="6" xfId="0" applyNumberFormat="1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49" fontId="10" fillId="0" borderId="6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Заголовок 2" xfId="26" builtinId="17" hidden="1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Параметр" xfId="18"/>
    <cellStyle name="ПеременныеСметы" xfId="19"/>
    <cellStyle name="РесСмета" xfId="20"/>
    <cellStyle name="СводкаСтоимРаб" xfId="21"/>
    <cellStyle name="СводРасч" xfId="22"/>
    <cellStyle name="Титул" xfId="23"/>
    <cellStyle name="Хвост" xfId="24"/>
    <cellStyle name="Экспертиза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Q149"/>
  <sheetViews>
    <sheetView showGridLines="0" tabSelected="1" topLeftCell="A16" workbookViewId="0">
      <selection activeCell="L58" sqref="L58"/>
    </sheetView>
  </sheetViews>
  <sheetFormatPr defaultRowHeight="15" outlineLevelRow="1"/>
  <cols>
    <col min="1" max="1" width="4.7109375" style="1" customWidth="1"/>
    <col min="2" max="2" width="20" style="1" customWidth="1"/>
    <col min="3" max="3" width="33.140625" style="1" customWidth="1"/>
    <col min="4" max="4" width="12.140625" style="1" customWidth="1"/>
    <col min="5" max="5" width="8.28515625" style="1" customWidth="1"/>
    <col min="6" max="6" width="10.140625" style="1" customWidth="1"/>
    <col min="7" max="7" width="9" style="1" customWidth="1"/>
    <col min="8" max="8" width="12.7109375" style="1" customWidth="1"/>
    <col min="9" max="9" width="12.140625" style="1" customWidth="1"/>
    <col min="10" max="10" width="16.42578125" style="1" customWidth="1"/>
    <col min="11" max="11" width="12.5703125" style="1" customWidth="1"/>
    <col min="12" max="12" width="10.7109375" style="1" customWidth="1"/>
    <col min="13" max="13" width="14.85546875" style="1" bestFit="1" customWidth="1"/>
    <col min="14" max="16384" width="9.140625" style="1"/>
  </cols>
  <sheetData>
    <row r="1" spans="1:13" s="3" customFormat="1" ht="18">
      <c r="A1" s="84" t="s">
        <v>81</v>
      </c>
      <c r="B1" s="85"/>
      <c r="C1" s="85"/>
      <c r="D1" s="85"/>
      <c r="E1" s="85"/>
      <c r="F1" s="85"/>
      <c r="G1" s="85"/>
      <c r="H1" s="85"/>
      <c r="K1" s="85"/>
      <c r="L1" s="86" t="s">
        <v>82</v>
      </c>
      <c r="M1" s="4"/>
    </row>
    <row r="2" spans="1:13" s="3" customFormat="1" ht="51.75" customHeight="1">
      <c r="A2" s="95" t="s">
        <v>83</v>
      </c>
      <c r="B2" s="95"/>
      <c r="C2" s="85"/>
      <c r="D2" s="85"/>
      <c r="E2" s="85"/>
      <c r="F2" s="85"/>
      <c r="G2" s="85"/>
      <c r="H2" s="85"/>
      <c r="J2" s="96" t="s">
        <v>84</v>
      </c>
      <c r="K2" s="96"/>
      <c r="L2" s="96"/>
      <c r="M2" s="4"/>
    </row>
    <row r="3" spans="1:13" s="3" customFormat="1" ht="18">
      <c r="A3" s="87" t="s">
        <v>85</v>
      </c>
      <c r="B3" s="88"/>
      <c r="C3" s="88"/>
      <c r="D3" s="88"/>
      <c r="E3" s="88"/>
      <c r="F3" s="88"/>
      <c r="G3" s="88"/>
      <c r="H3" s="88"/>
      <c r="I3" s="89"/>
      <c r="J3" s="89"/>
      <c r="K3" s="88"/>
      <c r="L3" s="90" t="s">
        <v>86</v>
      </c>
    </row>
    <row r="4" spans="1:13" s="3" customFormat="1" ht="18">
      <c r="A4" s="89" t="s">
        <v>87</v>
      </c>
      <c r="B4" s="88"/>
      <c r="C4" s="88"/>
      <c r="D4" s="88"/>
      <c r="E4" s="88"/>
      <c r="F4" s="88"/>
      <c r="G4" s="88"/>
      <c r="H4" s="88"/>
      <c r="I4" s="89"/>
      <c r="J4" s="89"/>
      <c r="K4" s="88"/>
      <c r="L4" s="91" t="s">
        <v>64</v>
      </c>
    </row>
    <row r="5" spans="1:13" s="3" customFormat="1" ht="15.7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 s="3" customFormat="1" ht="15.75" customHeight="1">
      <c r="A6" s="92" t="s">
        <v>65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3" s="3" customFormat="1" ht="13.5" customHeight="1">
      <c r="A7" s="93" t="s">
        <v>66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3" s="3" customFormat="1" ht="15.75" customHeight="1">
      <c r="A8" s="94" t="s">
        <v>80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3" s="3" customFormat="1" ht="15.75">
      <c r="A9" s="93" t="s">
        <v>67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3" s="3" customFormat="1" ht="15.7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5"/>
      <c r="L10" s="12"/>
    </row>
    <row r="11" spans="1:13" ht="17.25" customHeight="1">
      <c r="A11" s="97" t="s">
        <v>0</v>
      </c>
      <c r="B11" s="97" t="s">
        <v>13</v>
      </c>
      <c r="C11" s="97" t="s">
        <v>1</v>
      </c>
      <c r="D11" s="97" t="s">
        <v>2</v>
      </c>
      <c r="E11" s="97" t="s">
        <v>3</v>
      </c>
      <c r="F11" s="97" t="s">
        <v>4</v>
      </c>
      <c r="G11" s="97" t="s">
        <v>10</v>
      </c>
      <c r="H11" s="97" t="s">
        <v>5</v>
      </c>
      <c r="I11" s="97" t="s">
        <v>9</v>
      </c>
      <c r="J11" s="97" t="s">
        <v>8</v>
      </c>
      <c r="K11" s="97" t="s">
        <v>6</v>
      </c>
      <c r="L11" s="7" t="s">
        <v>7</v>
      </c>
    </row>
    <row r="12" spans="1:13" ht="30.7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23" t="s">
        <v>12</v>
      </c>
    </row>
    <row r="13" spans="1:13" ht="36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23" t="s">
        <v>11</v>
      </c>
    </row>
    <row r="14" spans="1:13" ht="15" customHeight="1">
      <c r="A14" s="24">
        <v>1</v>
      </c>
      <c r="B14" s="24">
        <v>2</v>
      </c>
      <c r="C14" s="24">
        <v>3</v>
      </c>
      <c r="D14" s="24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5">
        <v>12</v>
      </c>
    </row>
    <row r="15" spans="1:13" ht="15" hidden="1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3" s="2" customFormat="1" ht="28.5" customHeight="1">
      <c r="A16" s="102" t="s">
        <v>14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1:17" ht="28.5" customHeight="1">
      <c r="A17" s="26" t="s">
        <v>54</v>
      </c>
      <c r="B17" s="27" t="s">
        <v>29</v>
      </c>
      <c r="C17" s="57" t="s">
        <v>30</v>
      </c>
      <c r="D17" s="29" t="s">
        <v>31</v>
      </c>
      <c r="E17" s="30" t="s">
        <v>68</v>
      </c>
      <c r="F17" s="31">
        <v>1847.04</v>
      </c>
      <c r="G17" s="31"/>
      <c r="H17" s="32" t="s">
        <v>15</v>
      </c>
      <c r="I17" s="33" t="s">
        <v>16</v>
      </c>
      <c r="J17" s="33"/>
      <c r="K17" s="31"/>
      <c r="L17" s="34"/>
      <c r="M17" s="2"/>
      <c r="N17" s="2"/>
      <c r="O17" s="2"/>
      <c r="P17" s="2"/>
      <c r="Q17" s="2"/>
    </row>
    <row r="18" spans="1:17" outlineLevel="1">
      <c r="A18" s="26" t="s">
        <v>15</v>
      </c>
      <c r="B18" s="27" t="s">
        <v>15</v>
      </c>
      <c r="C18" s="28" t="s">
        <v>17</v>
      </c>
      <c r="D18" s="29" t="s">
        <v>15</v>
      </c>
      <c r="E18" s="30" t="s">
        <v>15</v>
      </c>
      <c r="F18" s="31"/>
      <c r="G18" s="31"/>
      <c r="H18" s="32" t="s">
        <v>15</v>
      </c>
      <c r="I18" s="33"/>
      <c r="J18" s="33">
        <v>19.760000000000002</v>
      </c>
      <c r="K18" s="66"/>
      <c r="L18" s="34"/>
      <c r="M18" s="2"/>
      <c r="N18" s="2"/>
      <c r="O18" s="2"/>
      <c r="P18" s="2"/>
      <c r="Q18" s="2"/>
    </row>
    <row r="19" spans="1:17" outlineLevel="1">
      <c r="A19" s="26" t="s">
        <v>15</v>
      </c>
      <c r="B19" s="27" t="s">
        <v>15</v>
      </c>
      <c r="C19" s="28" t="s">
        <v>18</v>
      </c>
      <c r="D19" s="29" t="s">
        <v>15</v>
      </c>
      <c r="E19" s="30" t="s">
        <v>15</v>
      </c>
      <c r="F19" s="31">
        <v>41.45</v>
      </c>
      <c r="G19" s="31"/>
      <c r="H19" s="61">
        <f>F19*E17</f>
        <v>5.2641500000000008</v>
      </c>
      <c r="I19" s="33"/>
      <c r="J19" s="33">
        <v>8.49</v>
      </c>
      <c r="K19" s="66">
        <f>J19*H19</f>
        <v>44.692633500000007</v>
      </c>
      <c r="L19" s="34"/>
      <c r="M19" s="2"/>
      <c r="N19" s="2"/>
      <c r="O19" s="2"/>
      <c r="P19" s="2"/>
      <c r="Q19" s="2"/>
    </row>
    <row r="20" spans="1:17" outlineLevel="1">
      <c r="A20" s="26" t="s">
        <v>15</v>
      </c>
      <c r="B20" s="27" t="s">
        <v>15</v>
      </c>
      <c r="C20" s="28" t="s">
        <v>19</v>
      </c>
      <c r="D20" s="29" t="s">
        <v>15</v>
      </c>
      <c r="E20" s="30" t="s">
        <v>15</v>
      </c>
      <c r="F20" s="35">
        <v>6.39</v>
      </c>
      <c r="G20" s="31"/>
      <c r="H20" s="62">
        <f>F20*E17</f>
        <v>0.81152999999999997</v>
      </c>
      <c r="I20" s="33"/>
      <c r="J20" s="33">
        <v>19.760000000000002</v>
      </c>
      <c r="K20" s="66">
        <f t="shared" ref="K20:K21" si="0">J20*H20</f>
        <v>16.035832800000001</v>
      </c>
      <c r="L20" s="34"/>
      <c r="M20" s="2"/>
      <c r="N20" s="2"/>
      <c r="O20" s="2"/>
      <c r="P20" s="2"/>
      <c r="Q20" s="2"/>
    </row>
    <row r="21" spans="1:17" outlineLevel="1">
      <c r="A21" s="26" t="s">
        <v>15</v>
      </c>
      <c r="B21" s="27" t="s">
        <v>15</v>
      </c>
      <c r="C21" s="28" t="s">
        <v>20</v>
      </c>
      <c r="D21" s="29" t="s">
        <v>15</v>
      </c>
      <c r="E21" s="30" t="s">
        <v>15</v>
      </c>
      <c r="F21" s="31">
        <v>1805.59</v>
      </c>
      <c r="G21" s="31"/>
      <c r="H21" s="61">
        <f>F21*E17</f>
        <v>229.30992999999998</v>
      </c>
      <c r="I21" s="33"/>
      <c r="J21" s="33">
        <v>7.96</v>
      </c>
      <c r="K21" s="66">
        <f t="shared" si="0"/>
        <v>1825.3070427999999</v>
      </c>
      <c r="L21" s="34"/>
      <c r="M21" s="2"/>
      <c r="N21" s="2"/>
      <c r="O21" s="2"/>
      <c r="P21" s="2"/>
      <c r="Q21" s="2"/>
    </row>
    <row r="22" spans="1:17" ht="15.75" customHeight="1" outlineLevel="1">
      <c r="A22" s="26" t="s">
        <v>15</v>
      </c>
      <c r="B22" s="27" t="s">
        <v>15</v>
      </c>
      <c r="C22" s="28" t="s">
        <v>21</v>
      </c>
      <c r="D22" s="29" t="s">
        <v>22</v>
      </c>
      <c r="E22" s="30">
        <v>142</v>
      </c>
      <c r="F22" s="31"/>
      <c r="G22" s="31"/>
      <c r="H22" s="61">
        <f>H20*142%</f>
        <v>1.1523725999999999</v>
      </c>
      <c r="I22" s="33"/>
      <c r="J22" s="33" t="s">
        <v>69</v>
      </c>
      <c r="K22" s="66">
        <f>K20*121%</f>
        <v>19.403357688</v>
      </c>
      <c r="L22" s="34"/>
      <c r="M22" s="2"/>
      <c r="N22" s="2"/>
      <c r="O22" s="2"/>
      <c r="P22" s="2"/>
      <c r="Q22" s="2"/>
    </row>
    <row r="23" spans="1:17" ht="30" customHeight="1" outlineLevel="1">
      <c r="A23" s="26" t="s">
        <v>15</v>
      </c>
      <c r="B23" s="27" t="s">
        <v>15</v>
      </c>
      <c r="C23" s="28" t="s">
        <v>23</v>
      </c>
      <c r="D23" s="29" t="s">
        <v>22</v>
      </c>
      <c r="E23" s="30">
        <v>80.75</v>
      </c>
      <c r="F23" s="31"/>
      <c r="G23" s="31">
        <v>0.85</v>
      </c>
      <c r="H23" s="61">
        <f>H20*80.75%</f>
        <v>0.65531047499999995</v>
      </c>
      <c r="I23" s="33"/>
      <c r="J23" s="33" t="s">
        <v>70</v>
      </c>
      <c r="K23" s="66">
        <f>K20*65%</f>
        <v>10.423291320000001</v>
      </c>
      <c r="L23" s="34"/>
      <c r="M23" s="2"/>
      <c r="N23" s="2"/>
      <c r="O23" s="2"/>
      <c r="P23" s="2"/>
      <c r="Q23" s="2"/>
    </row>
    <row r="24" spans="1:17">
      <c r="A24" s="36" t="s">
        <v>15</v>
      </c>
      <c r="B24" s="37" t="s">
        <v>15</v>
      </c>
      <c r="C24" s="38" t="s">
        <v>26</v>
      </c>
      <c r="D24" s="36" t="s">
        <v>15</v>
      </c>
      <c r="E24" s="39" t="s">
        <v>15</v>
      </c>
      <c r="F24" s="40"/>
      <c r="G24" s="40"/>
      <c r="H24" s="63">
        <f>H23+H22+H21+H19</f>
        <v>236.38176307499998</v>
      </c>
      <c r="I24" s="41"/>
      <c r="J24" s="41"/>
      <c r="K24" s="67">
        <f>K23+K22+K21+K19</f>
        <v>1899.8263253079999</v>
      </c>
      <c r="L24" s="39"/>
      <c r="M24" s="69"/>
      <c r="N24" s="2"/>
      <c r="O24" s="2"/>
      <c r="P24" s="2"/>
      <c r="Q24" s="2"/>
    </row>
    <row r="25" spans="1:17" ht="75.75" customHeight="1">
      <c r="A25" s="26" t="s">
        <v>55</v>
      </c>
      <c r="B25" s="27" t="s">
        <v>32</v>
      </c>
      <c r="C25" s="28" t="s">
        <v>33</v>
      </c>
      <c r="D25" s="29" t="s">
        <v>34</v>
      </c>
      <c r="E25" s="30" t="s">
        <v>71</v>
      </c>
      <c r="F25" s="31">
        <v>41866.68</v>
      </c>
      <c r="G25" s="31"/>
      <c r="H25" s="61" t="s">
        <v>15</v>
      </c>
      <c r="I25" s="33" t="s">
        <v>16</v>
      </c>
      <c r="J25" s="33"/>
      <c r="K25" s="66"/>
      <c r="L25" s="34"/>
      <c r="M25" s="2"/>
      <c r="N25" s="2"/>
      <c r="O25" s="2"/>
      <c r="P25" s="2"/>
      <c r="Q25" s="2"/>
    </row>
    <row r="26" spans="1:17" outlineLevel="1">
      <c r="A26" s="26" t="s">
        <v>15</v>
      </c>
      <c r="B26" s="27" t="s">
        <v>15</v>
      </c>
      <c r="C26" s="28" t="s">
        <v>17</v>
      </c>
      <c r="D26" s="29" t="s">
        <v>15</v>
      </c>
      <c r="E26" s="30" t="s">
        <v>15</v>
      </c>
      <c r="F26" s="31">
        <v>344.32</v>
      </c>
      <c r="G26" s="31"/>
      <c r="H26" s="61">
        <f>F26*E25</f>
        <v>72.307199999999995</v>
      </c>
      <c r="I26" s="33"/>
      <c r="J26" s="33">
        <v>19.760000000000002</v>
      </c>
      <c r="K26" s="66">
        <f>J26*H26</f>
        <v>1428.790272</v>
      </c>
      <c r="L26" s="34" t="s">
        <v>15</v>
      </c>
      <c r="M26" s="2"/>
      <c r="N26" s="2"/>
      <c r="O26" s="2"/>
      <c r="P26" s="2"/>
      <c r="Q26" s="2"/>
    </row>
    <row r="27" spans="1:17" outlineLevel="1">
      <c r="A27" s="26" t="s">
        <v>15</v>
      </c>
      <c r="B27" s="27" t="s">
        <v>15</v>
      </c>
      <c r="C27" s="28" t="s">
        <v>18</v>
      </c>
      <c r="D27" s="29" t="s">
        <v>15</v>
      </c>
      <c r="E27" s="30" t="s">
        <v>15</v>
      </c>
      <c r="F27" s="31">
        <v>2082.71</v>
      </c>
      <c r="G27" s="31"/>
      <c r="H27" s="61">
        <f>F27*E25</f>
        <v>437.3691</v>
      </c>
      <c r="I27" s="33"/>
      <c r="J27" s="33">
        <v>7.64</v>
      </c>
      <c r="K27" s="66">
        <f t="shared" ref="K27:K29" si="1">J27*H27</f>
        <v>3341.4999239999997</v>
      </c>
      <c r="L27" s="34" t="s">
        <v>15</v>
      </c>
      <c r="M27" s="2"/>
      <c r="N27" s="2"/>
      <c r="O27" s="2"/>
      <c r="P27" s="2"/>
      <c r="Q27" s="2"/>
    </row>
    <row r="28" spans="1:17" outlineLevel="1">
      <c r="A28" s="26" t="s">
        <v>15</v>
      </c>
      <c r="B28" s="27" t="s">
        <v>15</v>
      </c>
      <c r="C28" s="28" t="s">
        <v>19</v>
      </c>
      <c r="D28" s="29" t="s">
        <v>15</v>
      </c>
      <c r="E28" s="30" t="s">
        <v>15</v>
      </c>
      <c r="F28" s="35">
        <v>235.07</v>
      </c>
      <c r="G28" s="31"/>
      <c r="H28" s="62">
        <f>F28*E25</f>
        <v>49.364699999999999</v>
      </c>
      <c r="I28" s="33"/>
      <c r="J28" s="33">
        <v>19.760000000000002</v>
      </c>
      <c r="K28" s="66">
        <f t="shared" si="1"/>
        <v>975.44647200000009</v>
      </c>
      <c r="L28" s="34" t="s">
        <v>15</v>
      </c>
      <c r="M28" s="2"/>
      <c r="N28" s="2"/>
      <c r="O28" s="2"/>
      <c r="P28" s="2"/>
      <c r="Q28" s="2"/>
    </row>
    <row r="29" spans="1:17" outlineLevel="1">
      <c r="A29" s="26" t="s">
        <v>15</v>
      </c>
      <c r="B29" s="27" t="s">
        <v>15</v>
      </c>
      <c r="C29" s="28" t="s">
        <v>20</v>
      </c>
      <c r="D29" s="29" t="s">
        <v>15</v>
      </c>
      <c r="E29" s="30" t="s">
        <v>15</v>
      </c>
      <c r="F29" s="31">
        <v>39439.65</v>
      </c>
      <c r="G29" s="31"/>
      <c r="H29" s="61">
        <f>F29*E25</f>
        <v>8282.3264999999992</v>
      </c>
      <c r="I29" s="33"/>
      <c r="J29" s="33">
        <v>9.59</v>
      </c>
      <c r="K29" s="66">
        <f t="shared" si="1"/>
        <v>79427.511134999993</v>
      </c>
      <c r="L29" s="34" t="s">
        <v>15</v>
      </c>
      <c r="M29" s="2"/>
      <c r="N29" s="2"/>
      <c r="O29" s="2"/>
      <c r="P29" s="2"/>
      <c r="Q29" s="2"/>
    </row>
    <row r="30" spans="1:17" ht="15" customHeight="1" outlineLevel="1">
      <c r="A30" s="26" t="s">
        <v>15</v>
      </c>
      <c r="B30" s="27" t="s">
        <v>15</v>
      </c>
      <c r="C30" s="28" t="s">
        <v>21</v>
      </c>
      <c r="D30" s="29" t="s">
        <v>22</v>
      </c>
      <c r="E30" s="30">
        <v>142</v>
      </c>
      <c r="F30" s="31"/>
      <c r="G30" s="31"/>
      <c r="H30" s="61">
        <f>(H26+H28)*142%</f>
        <v>172.77409799999998</v>
      </c>
      <c r="I30" s="33"/>
      <c r="J30" s="33" t="s">
        <v>69</v>
      </c>
      <c r="K30" s="66">
        <f>(K26+K28)*121%</f>
        <v>2909.1264602399997</v>
      </c>
      <c r="L30" s="34"/>
      <c r="M30" s="2"/>
      <c r="N30" s="2"/>
      <c r="O30" s="2"/>
      <c r="P30" s="2"/>
      <c r="Q30" s="2"/>
    </row>
    <row r="31" spans="1:17" ht="15" customHeight="1" outlineLevel="1">
      <c r="A31" s="26" t="s">
        <v>15</v>
      </c>
      <c r="B31" s="27" t="s">
        <v>15</v>
      </c>
      <c r="C31" s="28" t="s">
        <v>23</v>
      </c>
      <c r="D31" s="29" t="s">
        <v>22</v>
      </c>
      <c r="E31" s="30">
        <v>80.75</v>
      </c>
      <c r="F31" s="31"/>
      <c r="G31" s="31">
        <v>0.85</v>
      </c>
      <c r="H31" s="61">
        <f>(H26+H28)*80.75%</f>
        <v>98.250059249999993</v>
      </c>
      <c r="I31" s="33"/>
      <c r="J31" s="33" t="s">
        <v>70</v>
      </c>
      <c r="K31" s="66">
        <f>(K26+K28)*65%</f>
        <v>1562.7538835999999</v>
      </c>
      <c r="L31" s="34" t="s">
        <v>15</v>
      </c>
      <c r="M31" s="2"/>
      <c r="N31" s="2"/>
      <c r="O31" s="2"/>
      <c r="P31" s="2"/>
      <c r="Q31" s="2"/>
    </row>
    <row r="32" spans="1:17" ht="21.75" customHeight="1" outlineLevel="1">
      <c r="A32" s="26" t="s">
        <v>15</v>
      </c>
      <c r="B32" s="27" t="s">
        <v>15</v>
      </c>
      <c r="C32" s="28" t="s">
        <v>24</v>
      </c>
      <c r="D32" s="29" t="s">
        <v>25</v>
      </c>
      <c r="E32" s="30">
        <v>38.299999999999997</v>
      </c>
      <c r="F32" s="31"/>
      <c r="G32" s="31"/>
      <c r="H32" s="61" t="s">
        <v>15</v>
      </c>
      <c r="I32" s="33"/>
      <c r="J32" s="33"/>
      <c r="K32" s="66"/>
      <c r="L32" s="34"/>
      <c r="M32" s="2"/>
      <c r="N32" s="2"/>
      <c r="O32" s="2"/>
      <c r="P32" s="2"/>
      <c r="Q32" s="2"/>
    </row>
    <row r="33" spans="1:17" ht="24.75" customHeight="1">
      <c r="A33" s="36" t="s">
        <v>15</v>
      </c>
      <c r="B33" s="37" t="s">
        <v>15</v>
      </c>
      <c r="C33" s="38" t="s">
        <v>26</v>
      </c>
      <c r="D33" s="36" t="s">
        <v>15</v>
      </c>
      <c r="E33" s="39" t="s">
        <v>15</v>
      </c>
      <c r="F33" s="40"/>
      <c r="G33" s="40"/>
      <c r="H33" s="63">
        <f>H31+H30+H29+H27+H26</f>
        <v>9063.0269572499983</v>
      </c>
      <c r="I33" s="41"/>
      <c r="J33" s="41"/>
      <c r="K33" s="67">
        <f>K31+K30+K29+K27+K26</f>
        <v>88669.681674840002</v>
      </c>
      <c r="L33" s="39"/>
      <c r="M33" s="2"/>
      <c r="N33" s="2"/>
      <c r="O33" s="2"/>
      <c r="P33" s="2"/>
      <c r="Q33" s="2"/>
    </row>
    <row r="34" spans="1:17" ht="90">
      <c r="A34" s="42" t="s">
        <v>56</v>
      </c>
      <c r="B34" s="43" t="s">
        <v>35</v>
      </c>
      <c r="C34" s="44" t="s">
        <v>36</v>
      </c>
      <c r="D34" s="45" t="s">
        <v>27</v>
      </c>
      <c r="E34" s="70">
        <f>E25*-96.6</f>
        <v>-20.285999999999998</v>
      </c>
      <c r="F34" s="47">
        <v>406</v>
      </c>
      <c r="G34" s="47"/>
      <c r="H34" s="64">
        <f>F34*E34</f>
        <v>-8236.116</v>
      </c>
      <c r="I34" s="48" t="s">
        <v>16</v>
      </c>
      <c r="J34" s="48">
        <v>9.61</v>
      </c>
      <c r="K34" s="67">
        <f>J34*H34</f>
        <v>-79149.074759999989</v>
      </c>
      <c r="L34" s="49" t="s">
        <v>15</v>
      </c>
      <c r="M34" s="2"/>
      <c r="N34" s="2"/>
      <c r="O34" s="2"/>
      <c r="P34" s="2"/>
      <c r="Q34" s="2"/>
    </row>
    <row r="35" spans="1:17" s="3" customFormat="1">
      <c r="A35" s="42"/>
      <c r="B35" s="43"/>
      <c r="C35" s="72" t="s">
        <v>72</v>
      </c>
      <c r="D35" s="45"/>
      <c r="E35" s="70"/>
      <c r="F35" s="47"/>
      <c r="G35" s="47"/>
      <c r="H35" s="64"/>
      <c r="I35" s="48"/>
      <c r="J35" s="48"/>
      <c r="K35" s="67"/>
      <c r="L35" s="49"/>
      <c r="M35" s="2"/>
      <c r="N35" s="2"/>
      <c r="O35" s="2"/>
      <c r="P35" s="2"/>
      <c r="Q35" s="2"/>
    </row>
    <row r="36" spans="1:17" ht="98.25" customHeight="1">
      <c r="A36" s="50">
        <v>9</v>
      </c>
      <c r="B36" s="51" t="s">
        <v>37</v>
      </c>
      <c r="C36" s="52" t="s">
        <v>38</v>
      </c>
      <c r="D36" s="53" t="s">
        <v>27</v>
      </c>
      <c r="E36" s="71">
        <f>E25*96.6</f>
        <v>20.285999999999998</v>
      </c>
      <c r="F36" s="54">
        <v>351</v>
      </c>
      <c r="G36" s="54"/>
      <c r="H36" s="65">
        <f>F36*E36</f>
        <v>7120.3859999999995</v>
      </c>
      <c r="I36" s="55" t="s">
        <v>16</v>
      </c>
      <c r="J36" s="55">
        <v>9.9700000000000006</v>
      </c>
      <c r="K36" s="68">
        <f>J36*H36</f>
        <v>70990.248420000004</v>
      </c>
      <c r="L36" s="56" t="s">
        <v>15</v>
      </c>
      <c r="M36" s="2"/>
      <c r="N36" s="2"/>
      <c r="O36" s="2"/>
      <c r="P36" s="2"/>
      <c r="Q36" s="2"/>
    </row>
    <row r="37" spans="1:17" s="3" customFormat="1">
      <c r="A37" s="26"/>
      <c r="B37" s="51"/>
      <c r="C37" s="75" t="s">
        <v>73</v>
      </c>
      <c r="D37" s="53"/>
      <c r="E37" s="71"/>
      <c r="F37" s="54"/>
      <c r="G37" s="54"/>
      <c r="H37" s="65"/>
      <c r="I37" s="55"/>
      <c r="J37" s="55"/>
      <c r="K37" s="68"/>
      <c r="L37" s="56"/>
      <c r="M37" s="2"/>
      <c r="N37" s="2"/>
      <c r="O37" s="2"/>
      <c r="P37" s="2"/>
      <c r="Q37" s="2"/>
    </row>
    <row r="38" spans="1:17" ht="59.25" customHeight="1">
      <c r="A38" s="26" t="s">
        <v>57</v>
      </c>
      <c r="B38" s="27" t="s">
        <v>39</v>
      </c>
      <c r="C38" s="57" t="s">
        <v>40</v>
      </c>
      <c r="D38" s="29" t="s">
        <v>34</v>
      </c>
      <c r="E38" s="66" t="str">
        <f>E25</f>
        <v>0,210</v>
      </c>
      <c r="F38" s="31">
        <v>4916.3</v>
      </c>
      <c r="G38" s="31"/>
      <c r="H38" s="61" t="s">
        <v>15</v>
      </c>
      <c r="I38" s="33" t="s">
        <v>16</v>
      </c>
      <c r="J38" s="33"/>
      <c r="K38" s="66"/>
      <c r="L38" s="34" t="s">
        <v>15</v>
      </c>
      <c r="M38" s="2"/>
      <c r="N38" s="2"/>
      <c r="O38" s="2"/>
      <c r="P38" s="2"/>
      <c r="Q38" s="2"/>
    </row>
    <row r="39" spans="1:17" outlineLevel="1">
      <c r="A39" s="26" t="s">
        <v>15</v>
      </c>
      <c r="B39" s="27" t="s">
        <v>15</v>
      </c>
      <c r="C39" s="28" t="s">
        <v>17</v>
      </c>
      <c r="D39" s="29" t="s">
        <v>15</v>
      </c>
      <c r="E39" s="30" t="s">
        <v>15</v>
      </c>
      <c r="F39" s="31">
        <v>0.81</v>
      </c>
      <c r="G39" s="31">
        <v>2</v>
      </c>
      <c r="H39" s="61">
        <f>G39*F39*E38</f>
        <v>0.3402</v>
      </c>
      <c r="I39" s="33"/>
      <c r="J39" s="33">
        <v>19.760000000000002</v>
      </c>
      <c r="K39" s="66">
        <f>J39*H39</f>
        <v>6.7223520000000008</v>
      </c>
      <c r="L39" s="34" t="s">
        <v>15</v>
      </c>
      <c r="M39" s="2"/>
      <c r="N39" s="2"/>
      <c r="O39" s="2"/>
      <c r="P39" s="2"/>
      <c r="Q39" s="2"/>
    </row>
    <row r="40" spans="1:17" outlineLevel="1">
      <c r="A40" s="26" t="s">
        <v>15</v>
      </c>
      <c r="B40" s="27" t="s">
        <v>15</v>
      </c>
      <c r="C40" s="28" t="s">
        <v>18</v>
      </c>
      <c r="D40" s="29" t="s">
        <v>15</v>
      </c>
      <c r="E40" s="30" t="s">
        <v>15</v>
      </c>
      <c r="F40" s="31">
        <v>0.1</v>
      </c>
      <c r="G40" s="31">
        <v>2</v>
      </c>
      <c r="H40" s="61">
        <f>G40*F40*E38</f>
        <v>4.2000000000000003E-2</v>
      </c>
      <c r="I40" s="33"/>
      <c r="J40" s="33">
        <v>7.17</v>
      </c>
      <c r="K40" s="66">
        <f>J40*H40</f>
        <v>0.30114000000000002</v>
      </c>
      <c r="L40" s="34" t="s">
        <v>15</v>
      </c>
      <c r="M40" s="2"/>
      <c r="N40" s="2"/>
      <c r="O40" s="2"/>
      <c r="P40" s="2"/>
      <c r="Q40" s="2"/>
    </row>
    <row r="41" spans="1:17" outlineLevel="1">
      <c r="A41" s="26" t="s">
        <v>15</v>
      </c>
      <c r="B41" s="27" t="s">
        <v>15</v>
      </c>
      <c r="C41" s="28" t="s">
        <v>19</v>
      </c>
      <c r="D41" s="29" t="s">
        <v>15</v>
      </c>
      <c r="E41" s="30" t="s">
        <v>15</v>
      </c>
      <c r="F41" s="31"/>
      <c r="G41" s="31">
        <v>2</v>
      </c>
      <c r="H41" s="61" t="s">
        <v>15</v>
      </c>
      <c r="I41" s="33"/>
      <c r="J41" s="33">
        <v>19.760000000000002</v>
      </c>
      <c r="K41" s="66"/>
      <c r="L41" s="34" t="s">
        <v>15</v>
      </c>
      <c r="M41" s="2"/>
      <c r="N41" s="2"/>
      <c r="O41" s="2"/>
      <c r="P41" s="2"/>
      <c r="Q41" s="2"/>
    </row>
    <row r="42" spans="1:17" outlineLevel="1">
      <c r="A42" s="26" t="s">
        <v>15</v>
      </c>
      <c r="B42" s="27" t="s">
        <v>15</v>
      </c>
      <c r="C42" s="28" t="s">
        <v>20</v>
      </c>
      <c r="D42" s="29" t="s">
        <v>15</v>
      </c>
      <c r="E42" s="30" t="s">
        <v>15</v>
      </c>
      <c r="F42" s="31">
        <v>4915.3900000000003</v>
      </c>
      <c r="G42" s="31">
        <v>2</v>
      </c>
      <c r="H42" s="61">
        <f>G42*F42*E38</f>
        <v>2064.4638</v>
      </c>
      <c r="I42" s="33"/>
      <c r="J42" s="33">
        <v>9.61</v>
      </c>
      <c r="K42" s="66">
        <f>J42*H42</f>
        <v>19839.497117999999</v>
      </c>
      <c r="L42" s="34" t="s">
        <v>15</v>
      </c>
      <c r="M42" s="2"/>
      <c r="N42" s="2"/>
      <c r="O42" s="2"/>
      <c r="P42" s="2"/>
      <c r="Q42" s="2"/>
    </row>
    <row r="43" spans="1:17" ht="15.75" customHeight="1" outlineLevel="1">
      <c r="A43" s="26" t="s">
        <v>15</v>
      </c>
      <c r="B43" s="27" t="s">
        <v>15</v>
      </c>
      <c r="C43" s="28" t="s">
        <v>21</v>
      </c>
      <c r="D43" s="29" t="s">
        <v>22</v>
      </c>
      <c r="E43" s="30">
        <v>142</v>
      </c>
      <c r="F43" s="31"/>
      <c r="G43" s="31"/>
      <c r="H43" s="61">
        <f>H40*142%</f>
        <v>5.9639999999999999E-2</v>
      </c>
      <c r="I43" s="33"/>
      <c r="J43" s="33" t="s">
        <v>69</v>
      </c>
      <c r="K43" s="66">
        <f>(K39+K41)*121%</f>
        <v>8.1340459200000002</v>
      </c>
      <c r="L43" s="34" t="s">
        <v>15</v>
      </c>
      <c r="M43" s="2"/>
      <c r="N43" s="2"/>
      <c r="O43" s="2"/>
      <c r="P43" s="2"/>
      <c r="Q43" s="2"/>
    </row>
    <row r="44" spans="1:17" ht="18" customHeight="1" outlineLevel="1">
      <c r="A44" s="26" t="s">
        <v>15</v>
      </c>
      <c r="B44" s="27" t="s">
        <v>15</v>
      </c>
      <c r="C44" s="28" t="s">
        <v>23</v>
      </c>
      <c r="D44" s="29" t="s">
        <v>22</v>
      </c>
      <c r="E44" s="30">
        <v>80.75</v>
      </c>
      <c r="F44" s="31"/>
      <c r="G44" s="31">
        <v>0.85</v>
      </c>
      <c r="H44" s="61">
        <f>H40*80.75%</f>
        <v>3.3915000000000001E-2</v>
      </c>
      <c r="I44" s="33"/>
      <c r="J44" s="33" t="s">
        <v>70</v>
      </c>
      <c r="K44" s="66">
        <f>K39*65%</f>
        <v>4.3695288000000003</v>
      </c>
      <c r="L44" s="34" t="s">
        <v>15</v>
      </c>
      <c r="M44" s="2"/>
      <c r="N44" s="2"/>
      <c r="O44" s="2"/>
      <c r="P44" s="2"/>
      <c r="Q44" s="2"/>
    </row>
    <row r="45" spans="1:17" outlineLevel="1">
      <c r="A45" s="26" t="s">
        <v>15</v>
      </c>
      <c r="B45" s="27" t="s">
        <v>15</v>
      </c>
      <c r="C45" s="28" t="s">
        <v>24</v>
      </c>
      <c r="D45" s="29" t="s">
        <v>25</v>
      </c>
      <c r="E45" s="30">
        <v>0.09</v>
      </c>
      <c r="F45" s="31"/>
      <c r="G45" s="31">
        <v>2</v>
      </c>
      <c r="H45" s="61" t="s">
        <v>15</v>
      </c>
      <c r="I45" s="33"/>
      <c r="J45" s="33"/>
      <c r="K45" s="66"/>
      <c r="L45" s="34"/>
      <c r="M45" s="2"/>
      <c r="N45" s="2"/>
      <c r="O45" s="2"/>
      <c r="P45" s="2"/>
      <c r="Q45" s="2"/>
    </row>
    <row r="46" spans="1:17" ht="32.25" customHeight="1">
      <c r="A46" s="36" t="s">
        <v>15</v>
      </c>
      <c r="B46" s="37" t="s">
        <v>15</v>
      </c>
      <c r="C46" s="38" t="s">
        <v>26</v>
      </c>
      <c r="D46" s="36" t="s">
        <v>15</v>
      </c>
      <c r="E46" s="39" t="s">
        <v>15</v>
      </c>
      <c r="F46" s="40"/>
      <c r="G46" s="40"/>
      <c r="H46" s="63">
        <f>H44+H43+H42+H39+H40</f>
        <v>2064.9395549999999</v>
      </c>
      <c r="I46" s="41"/>
      <c r="J46" s="41"/>
      <c r="K46" s="67">
        <f>K44+K43+K42+K39+K40</f>
        <v>19859.024184720001</v>
      </c>
      <c r="L46" s="39"/>
      <c r="M46" s="2"/>
      <c r="N46" s="2"/>
      <c r="O46" s="2"/>
      <c r="P46" s="2"/>
      <c r="Q46" s="2"/>
    </row>
    <row r="47" spans="1:17" ht="90">
      <c r="A47" s="42" t="s">
        <v>58</v>
      </c>
      <c r="B47" s="43" t="s">
        <v>35</v>
      </c>
      <c r="C47" s="44" t="s">
        <v>36</v>
      </c>
      <c r="D47" s="45" t="s">
        <v>27</v>
      </c>
      <c r="E47" s="70">
        <f>12.1*2*-E38</f>
        <v>-5.0819999999999999</v>
      </c>
      <c r="F47" s="47">
        <v>406</v>
      </c>
      <c r="G47" s="47"/>
      <c r="H47" s="64">
        <f>F47*E47</f>
        <v>-2063.2919999999999</v>
      </c>
      <c r="I47" s="48" t="s">
        <v>16</v>
      </c>
      <c r="J47" s="48">
        <v>9.61</v>
      </c>
      <c r="K47" s="67">
        <f>J47*H47</f>
        <v>-19828.236119999998</v>
      </c>
      <c r="L47" s="49" t="s">
        <v>15</v>
      </c>
      <c r="M47" s="2"/>
      <c r="N47" s="2"/>
      <c r="O47" s="2"/>
      <c r="P47" s="2"/>
      <c r="Q47" s="2"/>
    </row>
    <row r="48" spans="1:17" s="3" customFormat="1" ht="31.5" customHeight="1">
      <c r="A48" s="42"/>
      <c r="B48" s="43"/>
      <c r="C48" s="72" t="s">
        <v>74</v>
      </c>
      <c r="D48" s="45"/>
      <c r="E48" s="70"/>
      <c r="F48" s="47"/>
      <c r="G48" s="47"/>
      <c r="H48" s="64"/>
      <c r="I48" s="48"/>
      <c r="J48" s="48"/>
      <c r="K48" s="67"/>
      <c r="L48" s="49"/>
      <c r="M48" s="2"/>
      <c r="N48" s="2"/>
      <c r="O48" s="2"/>
      <c r="P48" s="2"/>
      <c r="Q48" s="2"/>
    </row>
    <row r="49" spans="1:17" ht="90">
      <c r="A49" s="42" t="s">
        <v>59</v>
      </c>
      <c r="B49" s="43" t="s">
        <v>37</v>
      </c>
      <c r="C49" s="44" t="s">
        <v>38</v>
      </c>
      <c r="D49" s="45" t="s">
        <v>27</v>
      </c>
      <c r="E49" s="70">
        <f>12.1*2*E38</f>
        <v>5.0819999999999999</v>
      </c>
      <c r="F49" s="47">
        <v>351</v>
      </c>
      <c r="G49" s="47"/>
      <c r="H49" s="64">
        <f>F49*E49</f>
        <v>1783.7819999999999</v>
      </c>
      <c r="I49" s="48" t="s">
        <v>16</v>
      </c>
      <c r="J49" s="48">
        <v>9.9700000000000006</v>
      </c>
      <c r="K49" s="67">
        <f>J49*H49</f>
        <v>17784.306540000001</v>
      </c>
      <c r="L49" s="49" t="s">
        <v>15</v>
      </c>
      <c r="M49" s="83"/>
      <c r="N49" s="2"/>
      <c r="O49" s="2"/>
      <c r="P49" s="2"/>
      <c r="Q49" s="2"/>
    </row>
    <row r="50" spans="1:17" s="3" customFormat="1">
      <c r="A50" s="42"/>
      <c r="B50" s="43"/>
      <c r="C50" s="44"/>
      <c r="D50" s="45"/>
      <c r="E50" s="46"/>
      <c r="F50" s="47"/>
      <c r="G50" s="47"/>
      <c r="H50" s="64"/>
      <c r="I50" s="48"/>
      <c r="J50" s="48"/>
      <c r="K50" s="67"/>
      <c r="L50" s="49"/>
      <c r="M50" s="2"/>
      <c r="N50" s="2"/>
      <c r="O50" s="2"/>
      <c r="P50" s="2"/>
      <c r="Q50" s="2"/>
    </row>
    <row r="51" spans="1:17" ht="34.5" customHeight="1">
      <c r="A51" s="104" t="s">
        <v>41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2"/>
      <c r="N51" s="2"/>
      <c r="O51" s="2"/>
      <c r="P51" s="2"/>
      <c r="Q51" s="2"/>
    </row>
    <row r="52" spans="1:17" ht="60.75" customHeight="1">
      <c r="A52" s="26" t="s">
        <v>60</v>
      </c>
      <c r="B52" s="27" t="s">
        <v>42</v>
      </c>
      <c r="C52" s="28" t="s">
        <v>43</v>
      </c>
      <c r="D52" s="29" t="s">
        <v>28</v>
      </c>
      <c r="E52" s="73">
        <f>-(E49+E36)</f>
        <v>-25.367999999999999</v>
      </c>
      <c r="F52" s="31">
        <v>21.09</v>
      </c>
      <c r="G52" s="31"/>
      <c r="H52" s="32" t="s">
        <v>15</v>
      </c>
      <c r="I52" s="33" t="s">
        <v>16</v>
      </c>
      <c r="J52" s="33"/>
      <c r="K52" s="31"/>
      <c r="L52" s="34" t="s">
        <v>15</v>
      </c>
      <c r="M52" s="2"/>
      <c r="N52" s="2"/>
      <c r="O52" s="2"/>
      <c r="P52" s="2"/>
      <c r="Q52" s="2"/>
    </row>
    <row r="53" spans="1:17" outlineLevel="1">
      <c r="A53" s="26" t="s">
        <v>15</v>
      </c>
      <c r="B53" s="27" t="s">
        <v>15</v>
      </c>
      <c r="C53" s="28" t="s">
        <v>17</v>
      </c>
      <c r="D53" s="29" t="s">
        <v>15</v>
      </c>
      <c r="E53" s="66" t="s">
        <v>15</v>
      </c>
      <c r="F53" s="31"/>
      <c r="G53" s="31"/>
      <c r="H53" s="32" t="s">
        <v>15</v>
      </c>
      <c r="I53" s="33"/>
      <c r="J53" s="33"/>
      <c r="K53" s="31"/>
      <c r="L53" s="34" t="s">
        <v>15</v>
      </c>
      <c r="M53" s="2"/>
      <c r="N53" s="2"/>
      <c r="O53" s="2"/>
      <c r="P53" s="2"/>
      <c r="Q53" s="2"/>
    </row>
    <row r="54" spans="1:17" outlineLevel="1">
      <c r="A54" s="26" t="s">
        <v>15</v>
      </c>
      <c r="B54" s="27" t="s">
        <v>15</v>
      </c>
      <c r="C54" s="28" t="s">
        <v>18</v>
      </c>
      <c r="D54" s="29" t="s">
        <v>15</v>
      </c>
      <c r="E54" s="66" t="s">
        <v>15</v>
      </c>
      <c r="F54" s="31">
        <v>21.09</v>
      </c>
      <c r="G54" s="31"/>
      <c r="H54" s="61">
        <f>F54*E52</f>
        <v>-535.01112000000001</v>
      </c>
      <c r="I54" s="33"/>
      <c r="J54" s="33">
        <v>8.94</v>
      </c>
      <c r="K54" s="66">
        <f>J54*H54</f>
        <v>-4782.9994127999998</v>
      </c>
      <c r="L54" s="34" t="s">
        <v>15</v>
      </c>
      <c r="M54" s="2"/>
      <c r="N54" s="2"/>
      <c r="O54" s="2"/>
      <c r="P54" s="2"/>
      <c r="Q54" s="2"/>
    </row>
    <row r="55" spans="1:17" outlineLevel="1">
      <c r="A55" s="26" t="s">
        <v>15</v>
      </c>
      <c r="B55" s="27" t="s">
        <v>15</v>
      </c>
      <c r="C55" s="28" t="s">
        <v>19</v>
      </c>
      <c r="D55" s="29" t="s">
        <v>15</v>
      </c>
      <c r="E55" s="66" t="s">
        <v>15</v>
      </c>
      <c r="F55" s="31"/>
      <c r="G55" s="31"/>
      <c r="H55" s="61" t="s">
        <v>15</v>
      </c>
      <c r="I55" s="33"/>
      <c r="J55" s="33"/>
      <c r="K55" s="66"/>
      <c r="L55" s="34" t="s">
        <v>15</v>
      </c>
      <c r="M55" s="2"/>
      <c r="N55" s="2"/>
      <c r="O55" s="2"/>
      <c r="P55" s="2"/>
      <c r="Q55" s="2"/>
    </row>
    <row r="56" spans="1:17" outlineLevel="1">
      <c r="A56" s="26" t="s">
        <v>15</v>
      </c>
      <c r="B56" s="27" t="s">
        <v>15</v>
      </c>
      <c r="C56" s="28" t="s">
        <v>20</v>
      </c>
      <c r="D56" s="29" t="s">
        <v>15</v>
      </c>
      <c r="E56" s="66" t="s">
        <v>15</v>
      </c>
      <c r="F56" s="31"/>
      <c r="G56" s="31"/>
      <c r="H56" s="61" t="s">
        <v>15</v>
      </c>
      <c r="I56" s="33"/>
      <c r="J56" s="33"/>
      <c r="K56" s="66"/>
      <c r="L56" s="34" t="s">
        <v>15</v>
      </c>
      <c r="M56" s="2"/>
      <c r="N56" s="2"/>
      <c r="O56" s="2"/>
      <c r="P56" s="2"/>
      <c r="Q56" s="2"/>
    </row>
    <row r="57" spans="1:17" outlineLevel="1">
      <c r="A57" s="26" t="s">
        <v>15</v>
      </c>
      <c r="B57" s="27" t="s">
        <v>15</v>
      </c>
      <c r="C57" s="28" t="s">
        <v>21</v>
      </c>
      <c r="D57" s="29" t="s">
        <v>22</v>
      </c>
      <c r="E57" s="66">
        <v>0</v>
      </c>
      <c r="F57" s="31"/>
      <c r="G57" s="31"/>
      <c r="H57" s="61" t="s">
        <v>15</v>
      </c>
      <c r="I57" s="33"/>
      <c r="J57" s="33"/>
      <c r="K57" s="66"/>
      <c r="L57" s="34" t="s">
        <v>15</v>
      </c>
      <c r="M57" s="2"/>
      <c r="N57" s="2"/>
      <c r="O57" s="2"/>
      <c r="P57" s="2"/>
      <c r="Q57" s="2"/>
    </row>
    <row r="58" spans="1:17" ht="29.25" customHeight="1" outlineLevel="1">
      <c r="A58" s="26" t="s">
        <v>15</v>
      </c>
      <c r="B58" s="27" t="s">
        <v>15</v>
      </c>
      <c r="C58" s="28" t="s">
        <v>23</v>
      </c>
      <c r="D58" s="29" t="s">
        <v>22</v>
      </c>
      <c r="E58" s="66">
        <v>0</v>
      </c>
      <c r="F58" s="31"/>
      <c r="G58" s="31"/>
      <c r="H58" s="61" t="s">
        <v>15</v>
      </c>
      <c r="I58" s="33"/>
      <c r="J58" s="33"/>
      <c r="K58" s="66"/>
      <c r="L58" s="34"/>
      <c r="M58" s="2"/>
      <c r="N58" s="2"/>
      <c r="O58" s="2"/>
      <c r="P58" s="2"/>
      <c r="Q58" s="2"/>
    </row>
    <row r="59" spans="1:17">
      <c r="A59" s="36" t="s">
        <v>15</v>
      </c>
      <c r="B59" s="37" t="s">
        <v>15</v>
      </c>
      <c r="C59" s="38" t="s">
        <v>26</v>
      </c>
      <c r="D59" s="36" t="s">
        <v>15</v>
      </c>
      <c r="E59" s="67" t="s">
        <v>15</v>
      </c>
      <c r="F59" s="40"/>
      <c r="G59" s="40"/>
      <c r="H59" s="63">
        <f>H54</f>
        <v>-535.01112000000001</v>
      </c>
      <c r="I59" s="41"/>
      <c r="J59" s="41"/>
      <c r="K59" s="67">
        <f>K54</f>
        <v>-4782.9994127999998</v>
      </c>
      <c r="L59" s="39"/>
      <c r="M59" s="2"/>
      <c r="N59" s="2"/>
      <c r="O59" s="2"/>
      <c r="P59" s="2"/>
      <c r="Q59" s="2"/>
    </row>
    <row r="60" spans="1:17" ht="62.25" customHeight="1">
      <c r="A60" s="26" t="s">
        <v>61</v>
      </c>
      <c r="B60" s="27" t="s">
        <v>52</v>
      </c>
      <c r="C60" s="28" t="s">
        <v>53</v>
      </c>
      <c r="D60" s="29" t="s">
        <v>28</v>
      </c>
      <c r="E60" s="73">
        <f>E49+E36</f>
        <v>25.367999999999999</v>
      </c>
      <c r="F60" s="31">
        <v>31.84</v>
      </c>
      <c r="G60" s="31"/>
      <c r="H60" s="61" t="s">
        <v>15</v>
      </c>
      <c r="I60" s="33" t="s">
        <v>16</v>
      </c>
      <c r="J60" s="33"/>
      <c r="K60" s="66"/>
      <c r="L60" s="34"/>
      <c r="M60" s="2"/>
      <c r="N60" s="2"/>
      <c r="O60" s="2"/>
      <c r="P60" s="2"/>
      <c r="Q60" s="2"/>
    </row>
    <row r="61" spans="1:17" outlineLevel="1">
      <c r="A61" s="26" t="s">
        <v>15</v>
      </c>
      <c r="B61" s="27" t="s">
        <v>15</v>
      </c>
      <c r="C61" s="28" t="s">
        <v>17</v>
      </c>
      <c r="D61" s="29" t="s">
        <v>15</v>
      </c>
      <c r="E61" s="30" t="s">
        <v>15</v>
      </c>
      <c r="F61" s="31"/>
      <c r="G61" s="31"/>
      <c r="H61" s="61" t="s">
        <v>15</v>
      </c>
      <c r="I61" s="33"/>
      <c r="J61" s="33"/>
      <c r="K61" s="66"/>
      <c r="L61" s="34"/>
      <c r="M61" s="2"/>
      <c r="N61" s="2"/>
      <c r="O61" s="2"/>
      <c r="P61" s="2"/>
      <c r="Q61" s="2"/>
    </row>
    <row r="62" spans="1:17" outlineLevel="1">
      <c r="A62" s="26" t="s">
        <v>15</v>
      </c>
      <c r="B62" s="27" t="s">
        <v>15</v>
      </c>
      <c r="C62" s="28" t="s">
        <v>18</v>
      </c>
      <c r="D62" s="29" t="s">
        <v>15</v>
      </c>
      <c r="E62" s="30" t="s">
        <v>15</v>
      </c>
      <c r="F62" s="31">
        <v>31.84</v>
      </c>
      <c r="G62" s="31"/>
      <c r="H62" s="61">
        <f>F62*E60</f>
        <v>807.71711999999991</v>
      </c>
      <c r="I62" s="33"/>
      <c r="J62" s="33">
        <v>8.9499999999999993</v>
      </c>
      <c r="K62" s="66">
        <f>J62*H62</f>
        <v>7229.0682239999987</v>
      </c>
      <c r="L62" s="34"/>
      <c r="M62" s="2"/>
      <c r="N62" s="2"/>
      <c r="O62" s="2"/>
      <c r="P62" s="2"/>
      <c r="Q62" s="2"/>
    </row>
    <row r="63" spans="1:17" outlineLevel="1">
      <c r="A63" s="26" t="s">
        <v>15</v>
      </c>
      <c r="B63" s="27" t="s">
        <v>15</v>
      </c>
      <c r="C63" s="28" t="s">
        <v>19</v>
      </c>
      <c r="D63" s="29" t="s">
        <v>15</v>
      </c>
      <c r="E63" s="30" t="s">
        <v>15</v>
      </c>
      <c r="F63" s="31"/>
      <c r="G63" s="31"/>
      <c r="H63" s="61" t="s">
        <v>15</v>
      </c>
      <c r="I63" s="33"/>
      <c r="J63" s="33"/>
      <c r="K63" s="66"/>
      <c r="L63" s="34"/>
      <c r="M63" s="2"/>
      <c r="N63" s="2"/>
      <c r="O63" s="2"/>
      <c r="P63" s="2"/>
      <c r="Q63" s="2"/>
    </row>
    <row r="64" spans="1:17" outlineLevel="1">
      <c r="A64" s="26" t="s">
        <v>15</v>
      </c>
      <c r="B64" s="27" t="s">
        <v>15</v>
      </c>
      <c r="C64" s="28" t="s">
        <v>20</v>
      </c>
      <c r="D64" s="29" t="s">
        <v>15</v>
      </c>
      <c r="E64" s="30" t="s">
        <v>15</v>
      </c>
      <c r="F64" s="31"/>
      <c r="G64" s="31"/>
      <c r="H64" s="61" t="s">
        <v>15</v>
      </c>
      <c r="I64" s="33"/>
      <c r="J64" s="33"/>
      <c r="K64" s="66"/>
      <c r="L64" s="34"/>
      <c r="M64" s="2"/>
      <c r="N64" s="2"/>
      <c r="O64" s="2"/>
      <c r="P64" s="2"/>
      <c r="Q64" s="2"/>
    </row>
    <row r="65" spans="1:17" outlineLevel="1">
      <c r="A65" s="26" t="s">
        <v>15</v>
      </c>
      <c r="B65" s="27" t="s">
        <v>15</v>
      </c>
      <c r="C65" s="28" t="s">
        <v>21</v>
      </c>
      <c r="D65" s="29" t="s">
        <v>22</v>
      </c>
      <c r="E65" s="30">
        <v>0</v>
      </c>
      <c r="F65" s="31"/>
      <c r="G65" s="31"/>
      <c r="H65" s="61" t="s">
        <v>15</v>
      </c>
      <c r="I65" s="33"/>
      <c r="J65" s="33"/>
      <c r="K65" s="66"/>
      <c r="L65" s="34"/>
      <c r="M65" s="2"/>
      <c r="N65" s="2"/>
      <c r="O65" s="2"/>
      <c r="P65" s="2"/>
      <c r="Q65" s="2"/>
    </row>
    <row r="66" spans="1:17" ht="29.25" customHeight="1" outlineLevel="1">
      <c r="A66" s="26" t="s">
        <v>15</v>
      </c>
      <c r="B66" s="27" t="s">
        <v>15</v>
      </c>
      <c r="C66" s="28" t="s">
        <v>23</v>
      </c>
      <c r="D66" s="29" t="s">
        <v>22</v>
      </c>
      <c r="E66" s="30">
        <v>0</v>
      </c>
      <c r="F66" s="31"/>
      <c r="G66" s="31"/>
      <c r="H66" s="61" t="s">
        <v>15</v>
      </c>
      <c r="I66" s="33"/>
      <c r="J66" s="33"/>
      <c r="K66" s="66"/>
      <c r="L66" s="34"/>
      <c r="M66" s="2"/>
      <c r="N66" s="2"/>
      <c r="O66" s="2"/>
      <c r="P66" s="2"/>
      <c r="Q66" s="2"/>
    </row>
    <row r="67" spans="1:17">
      <c r="A67" s="36" t="s">
        <v>15</v>
      </c>
      <c r="B67" s="37" t="s">
        <v>15</v>
      </c>
      <c r="C67" s="38" t="s">
        <v>26</v>
      </c>
      <c r="D67" s="36" t="s">
        <v>15</v>
      </c>
      <c r="E67" s="39" t="s">
        <v>15</v>
      </c>
      <c r="F67" s="40"/>
      <c r="G67" s="40"/>
      <c r="H67" s="63">
        <f>H62</f>
        <v>807.71711999999991</v>
      </c>
      <c r="I67" s="41"/>
      <c r="J67" s="41"/>
      <c r="K67" s="80">
        <f>K62</f>
        <v>7229.0682239999987</v>
      </c>
      <c r="L67" s="39"/>
      <c r="M67" s="2"/>
      <c r="N67" s="2"/>
      <c r="O67" s="2"/>
      <c r="P67" s="2"/>
      <c r="Q67" s="2"/>
    </row>
    <row r="68" spans="1:17" ht="15" customHeight="1">
      <c r="A68" s="26"/>
      <c r="B68" s="27"/>
      <c r="C68" s="106" t="s">
        <v>44</v>
      </c>
      <c r="D68" s="99"/>
      <c r="E68" s="99"/>
      <c r="F68" s="99"/>
      <c r="G68" s="99"/>
      <c r="H68" s="61">
        <f>H62+H54+H49+H47+H42+H40+H39+H36+H34+H29+H27+H26+H21+H19</f>
        <v>9968.8888799999986</v>
      </c>
      <c r="I68" s="33"/>
      <c r="J68" s="33"/>
      <c r="K68" s="81">
        <f>K62+K54+K49+K47+K42+K40+K39+K36+K34+K29+K27+K26+K21+K19</f>
        <v>98157.634508500021</v>
      </c>
      <c r="L68" s="79"/>
      <c r="M68" s="2"/>
      <c r="N68" s="2"/>
      <c r="O68" s="2"/>
      <c r="P68" s="2"/>
      <c r="Q68" s="2"/>
    </row>
    <row r="69" spans="1:17">
      <c r="A69" s="26"/>
      <c r="B69" s="27"/>
      <c r="C69" s="106" t="s">
        <v>46</v>
      </c>
      <c r="D69" s="99"/>
      <c r="E69" s="99"/>
      <c r="F69" s="99"/>
      <c r="G69" s="99"/>
      <c r="H69" s="61" t="s">
        <v>15</v>
      </c>
      <c r="I69" s="33"/>
      <c r="J69" s="33"/>
      <c r="K69" s="81"/>
      <c r="L69" s="34" t="s">
        <v>45</v>
      </c>
      <c r="M69" s="2"/>
      <c r="N69" s="2"/>
      <c r="O69" s="2"/>
      <c r="P69" s="2"/>
      <c r="Q69" s="2"/>
    </row>
    <row r="70" spans="1:17">
      <c r="A70" s="26"/>
      <c r="B70" s="27"/>
      <c r="C70" s="106" t="s">
        <v>47</v>
      </c>
      <c r="D70" s="99"/>
      <c r="E70" s="99"/>
      <c r="F70" s="99"/>
      <c r="G70" s="99"/>
      <c r="H70" s="61">
        <f>H39+H28+H26+H20</f>
        <v>122.82363000000001</v>
      </c>
      <c r="I70" s="33"/>
      <c r="J70" s="33"/>
      <c r="K70" s="81">
        <f>K39+K28+K26+K20</f>
        <v>2426.9949288000003</v>
      </c>
      <c r="L70" s="34" t="s">
        <v>45</v>
      </c>
      <c r="M70" s="2"/>
      <c r="N70" s="2"/>
      <c r="O70" s="2"/>
      <c r="P70" s="2"/>
      <c r="Q70" s="2"/>
    </row>
    <row r="71" spans="1:17">
      <c r="A71" s="26"/>
      <c r="B71" s="27"/>
      <c r="C71" s="106" t="s">
        <v>48</v>
      </c>
      <c r="D71" s="99"/>
      <c r="E71" s="99"/>
      <c r="F71" s="99"/>
      <c r="G71" s="99"/>
      <c r="H71" s="61">
        <f>H49+H47+H42+H36+H34+H29+H21</f>
        <v>9180.8602299999984</v>
      </c>
      <c r="I71" s="33"/>
      <c r="J71" s="33"/>
      <c r="K71" s="81">
        <f>K49+K47+K42+K36+K34+K29+K21</f>
        <v>90889.559375800018</v>
      </c>
      <c r="L71" s="34" t="s">
        <v>45</v>
      </c>
      <c r="M71" s="2"/>
      <c r="N71" s="2"/>
      <c r="O71" s="2"/>
      <c r="P71" s="2"/>
      <c r="Q71" s="2"/>
    </row>
    <row r="72" spans="1:17" ht="15" customHeight="1">
      <c r="A72" s="26"/>
      <c r="B72" s="27"/>
      <c r="C72" s="106" t="s">
        <v>49</v>
      </c>
      <c r="D72" s="99"/>
      <c r="E72" s="99"/>
      <c r="F72" s="99"/>
      <c r="G72" s="99"/>
      <c r="H72" s="61">
        <f>H62+H54+H40+H27+H20</f>
        <v>710.92862999999988</v>
      </c>
      <c r="I72" s="33"/>
      <c r="J72" s="33"/>
      <c r="K72" s="81">
        <v>19484.009999999998</v>
      </c>
      <c r="L72" s="34" t="s">
        <v>45</v>
      </c>
      <c r="M72" s="2"/>
      <c r="N72" s="2"/>
      <c r="O72" s="2"/>
      <c r="P72" s="2"/>
      <c r="Q72" s="2"/>
    </row>
    <row r="73" spans="1:17">
      <c r="A73" s="26"/>
      <c r="B73" s="27"/>
      <c r="C73" s="107" t="s">
        <v>50</v>
      </c>
      <c r="D73" s="108"/>
      <c r="E73" s="108"/>
      <c r="F73" s="108"/>
      <c r="G73" s="108"/>
      <c r="H73" s="76">
        <f>H43+H30+H22</f>
        <v>173.98611059999999</v>
      </c>
      <c r="I73" s="58"/>
      <c r="J73" s="58"/>
      <c r="K73" s="82">
        <f>K43+K30+K22</f>
        <v>2936.6638638479999</v>
      </c>
      <c r="L73" s="59" t="s">
        <v>45</v>
      </c>
      <c r="M73" s="2"/>
      <c r="N73" s="2"/>
      <c r="O73" s="2"/>
      <c r="P73" s="2"/>
      <c r="Q73" s="2"/>
    </row>
    <row r="74" spans="1:17">
      <c r="A74" s="26"/>
      <c r="B74" s="27"/>
      <c r="C74" s="107" t="s">
        <v>51</v>
      </c>
      <c r="D74" s="108"/>
      <c r="E74" s="108"/>
      <c r="F74" s="108"/>
      <c r="G74" s="108"/>
      <c r="H74" s="76">
        <f>H44+H31+H23</f>
        <v>98.939284724999979</v>
      </c>
      <c r="I74" s="58"/>
      <c r="J74" s="58"/>
      <c r="K74" s="82">
        <f>K44+K31+K23</f>
        <v>1577.5467037199999</v>
      </c>
      <c r="L74" s="59" t="s">
        <v>45</v>
      </c>
      <c r="M74" s="2"/>
      <c r="N74" s="2"/>
      <c r="O74" s="2"/>
      <c r="P74" s="2"/>
      <c r="Q74" s="2"/>
    </row>
    <row r="75" spans="1:17">
      <c r="A75" s="26"/>
      <c r="B75" s="27"/>
      <c r="C75" s="107" t="s">
        <v>77</v>
      </c>
      <c r="D75" s="108"/>
      <c r="E75" s="108"/>
      <c r="F75" s="108"/>
      <c r="G75" s="108"/>
      <c r="H75" s="76">
        <f>H74+H73+H68</f>
        <v>10241.814275324999</v>
      </c>
      <c r="I75" s="77"/>
      <c r="J75" s="58"/>
      <c r="K75" s="82">
        <f>K74+K73+K68</f>
        <v>102671.84507606801</v>
      </c>
      <c r="L75" s="78"/>
      <c r="M75" s="2"/>
      <c r="N75" s="2"/>
      <c r="O75" s="2"/>
      <c r="P75" s="2"/>
      <c r="Q75" s="2"/>
    </row>
    <row r="76" spans="1:17" s="3" customFormat="1" ht="25.5" customHeight="1">
      <c r="A76" s="26"/>
      <c r="B76" s="27"/>
      <c r="C76" s="106" t="s">
        <v>75</v>
      </c>
      <c r="D76" s="99"/>
      <c r="E76" s="99"/>
      <c r="F76" s="99"/>
      <c r="G76" s="99"/>
      <c r="H76" s="61">
        <f>H75*0.2</f>
        <v>2048.3628550650001</v>
      </c>
      <c r="I76" s="33"/>
      <c r="J76" s="33"/>
      <c r="K76" s="81">
        <f>K75*20%</f>
        <v>20534.369015213604</v>
      </c>
      <c r="L76" s="34"/>
      <c r="M76" s="2"/>
      <c r="N76" s="2"/>
      <c r="O76" s="2"/>
      <c r="P76" s="2"/>
      <c r="Q76" s="2"/>
    </row>
    <row r="77" spans="1:17" s="3" customFormat="1">
      <c r="A77" s="26"/>
      <c r="B77" s="27"/>
      <c r="C77" s="107" t="s">
        <v>76</v>
      </c>
      <c r="D77" s="108"/>
      <c r="E77" s="108"/>
      <c r="F77" s="108"/>
      <c r="G77" s="108"/>
      <c r="H77" s="76">
        <f>H76+H75</f>
        <v>12290.177130389999</v>
      </c>
      <c r="I77" s="58"/>
      <c r="J77" s="58"/>
      <c r="K77" s="82">
        <f>K76+K75</f>
        <v>123206.21409128161</v>
      </c>
      <c r="L77" s="79"/>
      <c r="M77" s="2"/>
      <c r="N77" s="2"/>
      <c r="O77" s="2"/>
      <c r="P77" s="2"/>
      <c r="Q77" s="2"/>
    </row>
    <row r="78" spans="1:17" s="3" customFormat="1" ht="15.75">
      <c r="A78" s="26"/>
      <c r="B78" s="60"/>
      <c r="C78" s="8"/>
      <c r="D78" s="8"/>
      <c r="E78" s="8"/>
      <c r="F78" s="8"/>
      <c r="G78" s="8"/>
      <c r="H78" s="8"/>
      <c r="I78" s="8"/>
      <c r="J78" s="8"/>
      <c r="K78" s="8"/>
      <c r="L78" s="34"/>
      <c r="M78" s="2"/>
      <c r="N78" s="2"/>
      <c r="O78" s="2"/>
      <c r="P78" s="2"/>
      <c r="Q78" s="2"/>
    </row>
    <row r="79" spans="1:17" s="3" customFormat="1">
      <c r="A79" s="26"/>
      <c r="B79" s="14"/>
      <c r="C79" s="14"/>
      <c r="D79" s="99"/>
      <c r="E79" s="99"/>
      <c r="F79" s="99"/>
      <c r="G79" s="99"/>
      <c r="H79" s="99"/>
      <c r="I79" s="99"/>
      <c r="J79" s="99"/>
      <c r="K79" s="99"/>
      <c r="L79" s="34"/>
      <c r="M79" s="2"/>
      <c r="N79" s="2"/>
      <c r="O79" s="2"/>
      <c r="P79" s="2"/>
      <c r="Q79" s="2"/>
    </row>
    <row r="80" spans="1:17" s="3" customFormat="1" ht="15.75">
      <c r="A80" s="26"/>
      <c r="B80" s="6" t="s">
        <v>78</v>
      </c>
      <c r="C80" s="15" t="s">
        <v>62</v>
      </c>
      <c r="D80" s="10"/>
      <c r="E80" s="10"/>
      <c r="F80" s="5"/>
      <c r="G80" s="9"/>
      <c r="H80" s="9"/>
      <c r="I80" s="16"/>
      <c r="J80" s="16"/>
      <c r="K80" s="74"/>
      <c r="L80" s="34"/>
      <c r="M80" s="2"/>
      <c r="N80" s="2"/>
      <c r="O80" s="2"/>
      <c r="P80" s="2"/>
      <c r="Q80" s="2"/>
    </row>
    <row r="81" spans="1:17" s="3" customFormat="1" ht="15.75">
      <c r="A81" s="26"/>
      <c r="B81" s="6"/>
      <c r="C81" s="15"/>
      <c r="D81" s="10"/>
      <c r="E81" s="10"/>
      <c r="F81" s="5"/>
      <c r="G81" s="9"/>
      <c r="H81" s="9"/>
      <c r="I81" s="16"/>
      <c r="J81" s="16"/>
      <c r="K81" s="74"/>
      <c r="L81" s="34"/>
      <c r="M81" s="2"/>
      <c r="N81" s="2"/>
      <c r="O81" s="2"/>
      <c r="P81" s="2"/>
      <c r="Q81" s="2"/>
    </row>
    <row r="82" spans="1:17" s="3" customFormat="1" ht="15.75">
      <c r="A82" s="26"/>
      <c r="B82" s="18"/>
      <c r="C82" s="11"/>
      <c r="D82" s="100"/>
      <c r="E82" s="100"/>
      <c r="F82" s="100"/>
      <c r="G82" s="100"/>
      <c r="H82" s="100"/>
      <c r="I82" s="100"/>
      <c r="J82" s="100"/>
      <c r="K82" s="74"/>
      <c r="L82" s="34"/>
      <c r="M82" s="2"/>
      <c r="N82" s="2"/>
      <c r="O82" s="2"/>
      <c r="P82" s="2"/>
      <c r="Q82" s="2"/>
    </row>
    <row r="83" spans="1:17" s="3" customFormat="1" ht="15.75">
      <c r="A83" s="26"/>
      <c r="B83" s="19" t="s">
        <v>79</v>
      </c>
      <c r="C83" s="20" t="s">
        <v>63</v>
      </c>
      <c r="D83" s="101"/>
      <c r="E83" s="101"/>
      <c r="F83" s="101"/>
      <c r="G83" s="101"/>
      <c r="H83" s="101"/>
      <c r="I83" s="16"/>
      <c r="J83" s="16"/>
      <c r="K83" s="74"/>
      <c r="L83" s="34"/>
      <c r="M83" s="2"/>
      <c r="N83" s="2"/>
      <c r="O83" s="2"/>
      <c r="P83" s="2"/>
      <c r="Q83" s="2"/>
    </row>
    <row r="84" spans="1:17" s="3" customFormat="1" ht="15.75">
      <c r="A84" s="26"/>
      <c r="B84" s="19"/>
      <c r="C84" s="20"/>
      <c r="D84" s="21"/>
      <c r="E84" s="21"/>
      <c r="F84" s="21"/>
      <c r="G84" s="5"/>
      <c r="H84" s="22"/>
      <c r="I84" s="16"/>
      <c r="J84" s="16"/>
      <c r="K84" s="17"/>
      <c r="L84" s="34"/>
      <c r="M84" s="2"/>
      <c r="N84" s="2"/>
      <c r="O84" s="2"/>
      <c r="P84" s="2"/>
      <c r="Q84" s="2"/>
    </row>
    <row r="85" spans="1:17" ht="15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7" ht="15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7" ht="15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7" ht="15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7" ht="15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7" ht="15.7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7" ht="15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7" ht="15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7" ht="15.7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7" ht="15.7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7" ht="15.7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7" ht="15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5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5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5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5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ht="15.7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ht="15.7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ht="15.7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ht="15.7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ht="15.7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ht="15.7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ht="15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ht="15.7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ht="15.7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ht="15.7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ht="15.7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ht="15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ht="15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ht="15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ht="15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ht="15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ht="15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ht="15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ht="15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ht="15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ht="15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ht="15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ht="15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ht="15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ht="15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ht="15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ht="15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ht="15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ht="15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ht="15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ht="15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ht="15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ht="15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ht="15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ht="15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ht="15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ht="15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ht="15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ht="15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ht="15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ht="15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ht="15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ht="15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ht="15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ht="15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ht="15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ht="15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ht="15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ht="15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</sheetData>
  <mergeCells count="32">
    <mergeCell ref="A9:L9"/>
    <mergeCell ref="D79:K79"/>
    <mergeCell ref="D82:J82"/>
    <mergeCell ref="D83:H83"/>
    <mergeCell ref="A16:L16"/>
    <mergeCell ref="A51:L51"/>
    <mergeCell ref="C71:G71"/>
    <mergeCell ref="C72:G72"/>
    <mergeCell ref="C73:G73"/>
    <mergeCell ref="C74:G74"/>
    <mergeCell ref="C68:G68"/>
    <mergeCell ref="C76:G76"/>
    <mergeCell ref="C77:G77"/>
    <mergeCell ref="C69:G69"/>
    <mergeCell ref="C70:G70"/>
    <mergeCell ref="C75:G75"/>
    <mergeCell ref="A11:A13"/>
    <mergeCell ref="H11:H13"/>
    <mergeCell ref="I11:I13"/>
    <mergeCell ref="J11:J13"/>
    <mergeCell ref="K11:K13"/>
    <mergeCell ref="B11:B13"/>
    <mergeCell ref="C11:C13"/>
    <mergeCell ref="D11:D13"/>
    <mergeCell ref="E11:E13"/>
    <mergeCell ref="F11:F13"/>
    <mergeCell ref="G11:G13"/>
    <mergeCell ref="A6:L6"/>
    <mergeCell ref="A7:L7"/>
    <mergeCell ref="A8:L8"/>
    <mergeCell ref="A2:B2"/>
    <mergeCell ref="J2:L2"/>
  </mergeCells>
  <phoneticPr fontId="0" type="noConversion"/>
  <pageMargins left="0.39370078740157483" right="0.39370078740157483" top="0.78740157480314965" bottom="0.59055118110236227" header="0.39370078740157483" footer="0.39370078740157483"/>
  <pageSetup paperSize="9" scale="87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shemtrans</dc:creator>
  <cp:keywords>12.03.2008</cp:keywords>
  <cp:lastModifiedBy>Специалист</cp:lastModifiedBy>
  <cp:lastPrinted>2020-11-27T07:51:58Z</cp:lastPrinted>
  <dcterms:created xsi:type="dcterms:W3CDTF">2003-01-28T12:33:10Z</dcterms:created>
  <dcterms:modified xsi:type="dcterms:W3CDTF">2020-11-27T08:41:06Z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