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o3\Documents\дороги\"/>
    </mc:Choice>
  </mc:AlternateContent>
  <xr:revisionPtr revIDLastSave="0" documentId="8_{4299BC51-7D8C-45F4-950E-0DF20C8DDA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мета для ТЕР ЧР" sheetId="5" r:id="rId1"/>
    <sheet name="Акт КС-2 для ТЕР ЧР" sheetId="6" r:id="rId2"/>
    <sheet name="Объектная смета" sheetId="7" r:id="rId3"/>
    <sheet name="Source" sheetId="1" r:id="rId4"/>
    <sheet name="SourceObSm" sheetId="2" r:id="rId5"/>
    <sheet name="SmtRes" sheetId="3" r:id="rId6"/>
    <sheet name="EtalonRes" sheetId="4" r:id="rId7"/>
  </sheets>
  <definedNames>
    <definedName name="_xlnm.Print_Titles" localSheetId="1">'Акт КС-2 для ТЕР ЧР'!$34:$34</definedName>
    <definedName name="_xlnm.Print_Titles" localSheetId="2">'Объектная смета'!$23:$23</definedName>
    <definedName name="_xlnm.Print_Titles" localSheetId="0">'Смета для ТЕР ЧР'!$36:$36</definedName>
    <definedName name="_xlnm.Print_Area" localSheetId="1">'Акт КС-2 для ТЕР ЧР'!$A$1:$M$86</definedName>
    <definedName name="_xlnm.Print_Area" localSheetId="0">'Смета для ТЕР ЧР'!$A$1:$L$79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7" l="1"/>
  <c r="C44" i="7"/>
  <c r="F41" i="7"/>
  <c r="C41" i="7"/>
  <c r="H38" i="7"/>
  <c r="C38" i="7"/>
  <c r="D35" i="7"/>
  <c r="H32" i="7"/>
  <c r="C32" i="7"/>
  <c r="H31" i="7"/>
  <c r="C31" i="7"/>
  <c r="H30" i="7"/>
  <c r="C30" i="7"/>
  <c r="H29" i="7"/>
  <c r="C29" i="7"/>
  <c r="H28" i="7"/>
  <c r="C28" i="7"/>
  <c r="H27" i="7"/>
  <c r="C27" i="7"/>
  <c r="C24" i="7"/>
  <c r="B24" i="7"/>
  <c r="E17" i="7"/>
  <c r="D17" i="7"/>
  <c r="D15" i="7"/>
  <c r="D13" i="7"/>
  <c r="D11" i="7"/>
  <c r="D8" i="7"/>
  <c r="B4" i="7"/>
  <c r="A1" i="7"/>
  <c r="I84" i="6"/>
  <c r="I80" i="6"/>
  <c r="D84" i="6"/>
  <c r="D80" i="6"/>
  <c r="D76" i="6"/>
  <c r="D75" i="6"/>
  <c r="D74" i="6"/>
  <c r="D73" i="6"/>
  <c r="D72" i="6"/>
  <c r="D71" i="6"/>
  <c r="D66" i="6"/>
  <c r="D65" i="6"/>
  <c r="D64" i="6"/>
  <c r="D63" i="6"/>
  <c r="D62" i="6"/>
  <c r="D61" i="6"/>
  <c r="Z57" i="6"/>
  <c r="Y57" i="6"/>
  <c r="X57" i="6"/>
  <c r="H56" i="6"/>
  <c r="F56" i="6"/>
  <c r="K55" i="6"/>
  <c r="F55" i="6"/>
  <c r="K54" i="6"/>
  <c r="F54" i="6"/>
  <c r="K53" i="6"/>
  <c r="H53" i="6"/>
  <c r="G53" i="6"/>
  <c r="K52" i="6"/>
  <c r="H52" i="6"/>
  <c r="G52" i="6"/>
  <c r="K51" i="6"/>
  <c r="H51" i="6"/>
  <c r="G51" i="6"/>
  <c r="G49" i="6"/>
  <c r="E49" i="6"/>
  <c r="J49" i="6"/>
  <c r="D49" i="6"/>
  <c r="C49" i="6"/>
  <c r="B49" i="6"/>
  <c r="Z48" i="6"/>
  <c r="Y48" i="6"/>
  <c r="X48" i="6"/>
  <c r="K47" i="6"/>
  <c r="F47" i="6"/>
  <c r="K46" i="6"/>
  <c r="F46" i="6"/>
  <c r="K45" i="6"/>
  <c r="H45" i="6"/>
  <c r="G45" i="6"/>
  <c r="K44" i="6"/>
  <c r="H44" i="6"/>
  <c r="G44" i="6"/>
  <c r="G42" i="6"/>
  <c r="E42" i="6"/>
  <c r="J42" i="6"/>
  <c r="D42" i="6"/>
  <c r="C42" i="6"/>
  <c r="B42" i="6"/>
  <c r="Z41" i="6"/>
  <c r="Y41" i="6"/>
  <c r="X41" i="6"/>
  <c r="K40" i="6"/>
  <c r="F40" i="6"/>
  <c r="K39" i="6"/>
  <c r="F39" i="6"/>
  <c r="K38" i="6"/>
  <c r="H38" i="6"/>
  <c r="G38" i="6"/>
  <c r="K37" i="6"/>
  <c r="H37" i="6"/>
  <c r="G37" i="6"/>
  <c r="G35" i="6"/>
  <c r="E35" i="6"/>
  <c r="J35" i="6"/>
  <c r="D35" i="6"/>
  <c r="C35" i="6"/>
  <c r="B35" i="6"/>
  <c r="G26" i="6"/>
  <c r="K22" i="6"/>
  <c r="K21" i="6"/>
  <c r="K20" i="6"/>
  <c r="K19" i="6"/>
  <c r="K16" i="6"/>
  <c r="AD17" i="6"/>
  <c r="C17" i="6"/>
  <c r="K14" i="6"/>
  <c r="AD13" i="6"/>
  <c r="K12" i="6"/>
  <c r="C13" i="6"/>
  <c r="AD11" i="6"/>
  <c r="K10" i="6"/>
  <c r="C11" i="6"/>
  <c r="AD9" i="6"/>
  <c r="K8" i="6"/>
  <c r="C9" i="6"/>
  <c r="A1" i="6"/>
  <c r="H78" i="5"/>
  <c r="H74" i="5"/>
  <c r="C78" i="5"/>
  <c r="C74" i="5"/>
  <c r="C68" i="5"/>
  <c r="C67" i="5"/>
  <c r="C66" i="5"/>
  <c r="C65" i="5"/>
  <c r="C64" i="5"/>
  <c r="C63" i="5"/>
  <c r="Z59" i="5"/>
  <c r="Y59" i="5"/>
  <c r="X59" i="5"/>
  <c r="G58" i="5"/>
  <c r="E58" i="5"/>
  <c r="J57" i="5"/>
  <c r="E57" i="5"/>
  <c r="J56" i="5"/>
  <c r="E56" i="5"/>
  <c r="J55" i="5"/>
  <c r="G55" i="5"/>
  <c r="F55" i="5"/>
  <c r="J54" i="5"/>
  <c r="G54" i="5"/>
  <c r="F54" i="5"/>
  <c r="J53" i="5"/>
  <c r="G53" i="5"/>
  <c r="F53" i="5"/>
  <c r="F51" i="5"/>
  <c r="D51" i="5"/>
  <c r="I51" i="5"/>
  <c r="C51" i="5"/>
  <c r="B51" i="5"/>
  <c r="A51" i="5"/>
  <c r="Z50" i="5"/>
  <c r="Y50" i="5"/>
  <c r="X50" i="5"/>
  <c r="J49" i="5"/>
  <c r="E49" i="5"/>
  <c r="J48" i="5"/>
  <c r="E48" i="5"/>
  <c r="J47" i="5"/>
  <c r="G47" i="5"/>
  <c r="F47" i="5"/>
  <c r="J46" i="5"/>
  <c r="G46" i="5"/>
  <c r="F46" i="5"/>
  <c r="F44" i="5"/>
  <c r="D44" i="5"/>
  <c r="I44" i="5"/>
  <c r="C44" i="5"/>
  <c r="B44" i="5"/>
  <c r="A44" i="5"/>
  <c r="Z43" i="5"/>
  <c r="Y43" i="5"/>
  <c r="X43" i="5"/>
  <c r="J42" i="5"/>
  <c r="E42" i="5"/>
  <c r="J41" i="5"/>
  <c r="E41" i="5"/>
  <c r="J40" i="5"/>
  <c r="G40" i="5"/>
  <c r="F40" i="5"/>
  <c r="J39" i="5"/>
  <c r="G39" i="5"/>
  <c r="F39" i="5"/>
  <c r="F37" i="5"/>
  <c r="D37" i="5"/>
  <c r="I37" i="5"/>
  <c r="C37" i="5"/>
  <c r="B37" i="5"/>
  <c r="A37" i="5"/>
  <c r="AE22" i="5"/>
  <c r="A22" i="5"/>
  <c r="AD19" i="5"/>
  <c r="AD17" i="5"/>
  <c r="B17" i="5"/>
  <c r="A1" i="5"/>
  <c r="G28" i="5" l="1"/>
  <c r="G29" i="5"/>
  <c r="G30" i="5"/>
  <c r="A1" i="4"/>
  <c r="A2" i="4"/>
  <c r="A3" i="4"/>
  <c r="A4" i="4"/>
  <c r="A5" i="4"/>
  <c r="A6" i="4"/>
  <c r="A7" i="4"/>
  <c r="A1" i="3"/>
  <c r="CY1" i="3"/>
  <c r="CZ1" i="3"/>
  <c r="DA1" i="3"/>
  <c r="DB1" i="3"/>
  <c r="DC1" i="3"/>
  <c r="A2" i="3"/>
  <c r="CY2" i="3"/>
  <c r="CZ2" i="3"/>
  <c r="DB2" i="3" s="1"/>
  <c r="DA2" i="3"/>
  <c r="DC2" i="3"/>
  <c r="A3" i="3"/>
  <c r="CY3" i="3"/>
  <c r="CZ3" i="3"/>
  <c r="DA3" i="3"/>
  <c r="DB3" i="3"/>
  <c r="DC3" i="3"/>
  <c r="A4" i="3"/>
  <c r="CY4" i="3"/>
  <c r="CZ4" i="3"/>
  <c r="DB4" i="3" s="1"/>
  <c r="DA4" i="3"/>
  <c r="DC4" i="3"/>
  <c r="A5" i="3"/>
  <c r="CY5" i="3"/>
  <c r="CZ5" i="3"/>
  <c r="DB5" i="3" s="1"/>
  <c r="DA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AC24" i="1"/>
  <c r="AE24" i="1"/>
  <c r="AF24" i="1"/>
  <c r="CT24" i="1" s="1"/>
  <c r="S24" i="1" s="1"/>
  <c r="AG24" i="1"/>
  <c r="CU24" i="1" s="1"/>
  <c r="T24" i="1" s="1"/>
  <c r="AH24" i="1"/>
  <c r="AI24" i="1"/>
  <c r="CW24" i="1" s="1"/>
  <c r="AJ24" i="1"/>
  <c r="CQ24" i="1"/>
  <c r="P24" i="1" s="1"/>
  <c r="CV24" i="1"/>
  <c r="CX24" i="1"/>
  <c r="W24" i="1" s="1"/>
  <c r="FR24" i="1"/>
  <c r="GL24" i="1"/>
  <c r="GO24" i="1"/>
  <c r="GP24" i="1"/>
  <c r="CD28" i="1" s="1"/>
  <c r="AU28" i="1" s="1"/>
  <c r="GV24" i="1"/>
  <c r="HC24" i="1" s="1"/>
  <c r="C25" i="1"/>
  <c r="D25" i="1"/>
  <c r="I25" i="1"/>
  <c r="AC25" i="1"/>
  <c r="AE25" i="1"/>
  <c r="AF25" i="1"/>
  <c r="CT25" i="1" s="1"/>
  <c r="AG25" i="1"/>
  <c r="CU25" i="1" s="1"/>
  <c r="T25" i="1" s="1"/>
  <c r="AH25" i="1"/>
  <c r="AI25" i="1"/>
  <c r="CW25" i="1" s="1"/>
  <c r="AJ25" i="1"/>
  <c r="CX25" i="1" s="1"/>
  <c r="CQ25" i="1"/>
  <c r="P25" i="1" s="1"/>
  <c r="CV25" i="1"/>
  <c r="FR25" i="1"/>
  <c r="GL25" i="1"/>
  <c r="BZ28" i="1" s="1"/>
  <c r="AQ28" i="1" s="1"/>
  <c r="GO25" i="1"/>
  <c r="GP25" i="1"/>
  <c r="GV25" i="1"/>
  <c r="HC25" i="1" s="1"/>
  <c r="GX25" i="1" s="1"/>
  <c r="C26" i="1"/>
  <c r="D26" i="1"/>
  <c r="I26" i="1"/>
  <c r="AC26" i="1"/>
  <c r="AE26" i="1"/>
  <c r="AF26" i="1"/>
  <c r="AG26" i="1"/>
  <c r="CU26" i="1" s="1"/>
  <c r="T26" i="1" s="1"/>
  <c r="AH26" i="1"/>
  <c r="CV26" i="1" s="1"/>
  <c r="AI26" i="1"/>
  <c r="CW26" i="1" s="1"/>
  <c r="AJ26" i="1"/>
  <c r="CX26" i="1" s="1"/>
  <c r="CQ26" i="1"/>
  <c r="P26" i="1" s="1"/>
  <c r="FR26" i="1"/>
  <c r="GL26" i="1"/>
  <c r="GO26" i="1"/>
  <c r="CC28" i="1" s="1"/>
  <c r="CC22" i="1" s="1"/>
  <c r="GP26" i="1"/>
  <c r="GV26" i="1"/>
  <c r="HC26" i="1" s="1"/>
  <c r="GX26" i="1" s="1"/>
  <c r="B28" i="1"/>
  <c r="B22" i="1" s="1"/>
  <c r="C28" i="1"/>
  <c r="C22" i="1" s="1"/>
  <c r="D28" i="1"/>
  <c r="D22" i="1" s="1"/>
  <c r="F28" i="1"/>
  <c r="F22" i="1" s="1"/>
  <c r="G28" i="1"/>
  <c r="BX28" i="1"/>
  <c r="AO28" i="1" s="1"/>
  <c r="BY28" i="1"/>
  <c r="BY22" i="1" s="1"/>
  <c r="CK28" i="1"/>
  <c r="CK22" i="1" s="1"/>
  <c r="CL28" i="1"/>
  <c r="BC28" i="1" s="1"/>
  <c r="B63" i="1"/>
  <c r="B18" i="1" s="1"/>
  <c r="C63" i="1"/>
  <c r="C18" i="1" s="1"/>
  <c r="D63" i="1"/>
  <c r="D18" i="1" s="1"/>
  <c r="F63" i="1"/>
  <c r="F18" i="1" s="1"/>
  <c r="G63" i="1"/>
  <c r="AG28" i="1" l="1"/>
  <c r="AP28" i="1"/>
  <c r="U26" i="1"/>
  <c r="L58" i="5" s="1"/>
  <c r="GX24" i="1"/>
  <c r="CX4" i="3"/>
  <c r="F42" i="6"/>
  <c r="E44" i="5"/>
  <c r="D43" i="6"/>
  <c r="C45" i="5"/>
  <c r="W26" i="1"/>
  <c r="W25" i="1"/>
  <c r="AJ28" i="1" s="1"/>
  <c r="S25" i="1"/>
  <c r="U24" i="1"/>
  <c r="G18" i="1"/>
  <c r="A69" i="6"/>
  <c r="AG69" i="6"/>
  <c r="G22" i="1"/>
  <c r="A59" i="6"/>
  <c r="AG61" i="5"/>
  <c r="A61" i="5"/>
  <c r="AG59" i="6"/>
  <c r="CX5" i="3"/>
  <c r="C52" i="5"/>
  <c r="F49" i="6"/>
  <c r="D50" i="6"/>
  <c r="E51" i="5"/>
  <c r="CX1" i="3"/>
  <c r="C38" i="5"/>
  <c r="F35" i="6"/>
  <c r="E37" i="5"/>
  <c r="D36" i="6"/>
  <c r="BB28" i="1"/>
  <c r="V26" i="1"/>
  <c r="U25" i="1"/>
  <c r="V25" i="1"/>
  <c r="AI28" i="1" s="1"/>
  <c r="V24" i="1"/>
  <c r="AD26" i="1"/>
  <c r="H55" i="5"/>
  <c r="R55" i="5" s="1"/>
  <c r="I53" i="6"/>
  <c r="R53" i="6" s="1"/>
  <c r="AD25" i="1"/>
  <c r="H47" i="5"/>
  <c r="R47" i="5" s="1"/>
  <c r="S44" i="5"/>
  <c r="H48" i="5" s="1"/>
  <c r="U42" i="6"/>
  <c r="I47" i="6" s="1"/>
  <c r="I45" i="6"/>
  <c r="R45" i="6" s="1"/>
  <c r="S42" i="6"/>
  <c r="I46" i="6" s="1"/>
  <c r="U44" i="5"/>
  <c r="H49" i="5" s="1"/>
  <c r="CS24" i="1"/>
  <c r="R24" i="1" s="1"/>
  <c r="U37" i="5"/>
  <c r="H42" i="5" s="1"/>
  <c r="H40" i="5"/>
  <c r="R40" i="5" s="1"/>
  <c r="S37" i="5"/>
  <c r="H41" i="5" s="1"/>
  <c r="U35" i="6"/>
  <c r="I40" i="6" s="1"/>
  <c r="I38" i="6"/>
  <c r="R38" i="6" s="1"/>
  <c r="S35" i="6"/>
  <c r="I39" i="6" s="1"/>
  <c r="L59" i="5"/>
  <c r="Q59" i="5" s="1"/>
  <c r="CT26" i="1"/>
  <c r="S26" i="1" s="1"/>
  <c r="U49" i="6"/>
  <c r="I55" i="6" s="1"/>
  <c r="H57" i="6" s="1"/>
  <c r="S49" i="6"/>
  <c r="I54" i="6" s="1"/>
  <c r="U51" i="5"/>
  <c r="H57" i="5" s="1"/>
  <c r="I51" i="6"/>
  <c r="R51" i="6" s="1"/>
  <c r="S51" i="5"/>
  <c r="H56" i="5" s="1"/>
  <c r="G59" i="5" s="1"/>
  <c r="H53" i="5"/>
  <c r="R53" i="5" s="1"/>
  <c r="AT28" i="1"/>
  <c r="AT22" i="1" s="1"/>
  <c r="CS26" i="1"/>
  <c r="R26" i="1" s="1"/>
  <c r="AO22" i="1"/>
  <c r="AO63" i="1"/>
  <c r="F32" i="1"/>
  <c r="CR26" i="1"/>
  <c r="Q26" i="1" s="1"/>
  <c r="AB26" i="1"/>
  <c r="AB25" i="1"/>
  <c r="BC22" i="1"/>
  <c r="F44" i="1"/>
  <c r="BC63" i="1"/>
  <c r="F38" i="1"/>
  <c r="AQ22" i="1"/>
  <c r="AQ63" i="1"/>
  <c r="CJ28" i="1"/>
  <c r="AF28" i="1"/>
  <c r="AC28" i="1"/>
  <c r="AH28" i="1"/>
  <c r="F47" i="1"/>
  <c r="AU22" i="1"/>
  <c r="AU63" i="1"/>
  <c r="AG22" i="1"/>
  <c r="T28" i="1"/>
  <c r="CS25" i="1"/>
  <c r="R25" i="1" s="1"/>
  <c r="BX22" i="1"/>
  <c r="CX6" i="3"/>
  <c r="CX2" i="3"/>
  <c r="CG28" i="1"/>
  <c r="AD24" i="1"/>
  <c r="CX7" i="3"/>
  <c r="CX3" i="3"/>
  <c r="CL22" i="1"/>
  <c r="CD22" i="1"/>
  <c r="BZ22" i="1"/>
  <c r="CI28" i="1"/>
  <c r="M57" i="6" l="1"/>
  <c r="Q57" i="6" s="1"/>
  <c r="BB22" i="1"/>
  <c r="F41" i="1"/>
  <c r="BB63" i="1"/>
  <c r="M56" i="6"/>
  <c r="M48" i="6"/>
  <c r="Q48" i="6" s="1"/>
  <c r="M69" i="6" s="1"/>
  <c r="L50" i="5"/>
  <c r="Q50" i="5" s="1"/>
  <c r="AP22" i="1"/>
  <c r="AP63" i="1"/>
  <c r="F37" i="1"/>
  <c r="M41" i="6"/>
  <c r="Q41" i="6" s="1"/>
  <c r="L43" i="5"/>
  <c r="Q43" i="5" s="1"/>
  <c r="L61" i="5" s="1"/>
  <c r="O57" i="6"/>
  <c r="W57" i="6"/>
  <c r="H46" i="5"/>
  <c r="H48" i="6"/>
  <c r="I44" i="6"/>
  <c r="CR25" i="1"/>
  <c r="Q25" i="1" s="1"/>
  <c r="L38" i="6"/>
  <c r="K40" i="5"/>
  <c r="AE28" i="1"/>
  <c r="AE22" i="1" s="1"/>
  <c r="K47" i="5"/>
  <c r="L45" i="6"/>
  <c r="K53" i="5"/>
  <c r="L51" i="6"/>
  <c r="G43" i="5"/>
  <c r="G50" i="5"/>
  <c r="O59" i="5"/>
  <c r="W59" i="5"/>
  <c r="CR24" i="1"/>
  <c r="Q24" i="1" s="1"/>
  <c r="I37" i="6"/>
  <c r="H39" i="5"/>
  <c r="H41" i="6"/>
  <c r="CP26" i="1"/>
  <c r="O26" i="1" s="1"/>
  <c r="CY26" i="1" s="1"/>
  <c r="X26" i="1" s="1"/>
  <c r="K54" i="5"/>
  <c r="L52" i="6"/>
  <c r="L53" i="6"/>
  <c r="K55" i="5"/>
  <c r="G32" i="5"/>
  <c r="I52" i="6"/>
  <c r="H54" i="5"/>
  <c r="F46" i="1"/>
  <c r="AT63" i="1"/>
  <c r="AB24" i="1"/>
  <c r="F82" i="1"/>
  <c r="AU18" i="1"/>
  <c r="T63" i="1"/>
  <c r="T22" i="1"/>
  <c r="F49" i="1"/>
  <c r="AC22" i="1"/>
  <c r="CE28" i="1"/>
  <c r="P28" i="1"/>
  <c r="CF28" i="1"/>
  <c r="CH28" i="1"/>
  <c r="W28" i="1"/>
  <c r="AJ22" i="1"/>
  <c r="S28" i="1"/>
  <c r="AF22" i="1"/>
  <c r="AI22" i="1"/>
  <c r="V28" i="1"/>
  <c r="AD28" i="1"/>
  <c r="AH22" i="1"/>
  <c r="U28" i="1"/>
  <c r="BA28" i="1"/>
  <c r="CJ22" i="1"/>
  <c r="F79" i="1"/>
  <c r="BC18" i="1"/>
  <c r="AZ28" i="1"/>
  <c r="CI22" i="1"/>
  <c r="F73" i="1"/>
  <c r="AQ18" i="1"/>
  <c r="AO18" i="1"/>
  <c r="F67" i="1"/>
  <c r="CG22" i="1"/>
  <c r="AX28" i="1"/>
  <c r="G16" i="2" l="1"/>
  <c r="I29" i="5"/>
  <c r="BB18" i="1"/>
  <c r="F76" i="1"/>
  <c r="M59" i="6"/>
  <c r="AP18" i="1"/>
  <c r="F72" i="1"/>
  <c r="T51" i="5"/>
  <c r="K56" i="5" s="1"/>
  <c r="T49" i="6"/>
  <c r="L54" i="6" s="1"/>
  <c r="R28" i="1"/>
  <c r="F42" i="1" s="1"/>
  <c r="CZ26" i="1"/>
  <c r="Y26" i="1" s="1"/>
  <c r="GN26" i="1" s="1"/>
  <c r="F16" i="2"/>
  <c r="I28" i="5"/>
  <c r="CP24" i="1"/>
  <c r="O24" i="1" s="1"/>
  <c r="K39" i="5"/>
  <c r="L37" i="6"/>
  <c r="O43" i="5"/>
  <c r="W43" i="5"/>
  <c r="G27" i="5" s="1"/>
  <c r="CP25" i="1"/>
  <c r="O25" i="1" s="1"/>
  <c r="L44" i="6"/>
  <c r="K46" i="5"/>
  <c r="O41" i="6"/>
  <c r="W41" i="6"/>
  <c r="W48" i="6"/>
  <c r="O48" i="6"/>
  <c r="O50" i="5"/>
  <c r="W50" i="5"/>
  <c r="AT18" i="1"/>
  <c r="F81" i="1"/>
  <c r="BA22" i="1"/>
  <c r="BA63" i="1"/>
  <c r="F48" i="1"/>
  <c r="V63" i="1"/>
  <c r="V22" i="1"/>
  <c r="F51" i="1"/>
  <c r="AW28" i="1"/>
  <c r="CF22" i="1"/>
  <c r="U22" i="1"/>
  <c r="F50" i="1"/>
  <c r="I31" i="5" s="1"/>
  <c r="G31" i="5" s="1"/>
  <c r="U63" i="1"/>
  <c r="W63" i="1"/>
  <c r="W22" i="1"/>
  <c r="F52" i="1"/>
  <c r="AV28" i="1"/>
  <c r="CE22" i="1"/>
  <c r="T18" i="1"/>
  <c r="F84" i="1"/>
  <c r="AD22" i="1"/>
  <c r="Q28" i="1"/>
  <c r="F43" i="1"/>
  <c r="S63" i="1"/>
  <c r="S22" i="1"/>
  <c r="AY28" i="1"/>
  <c r="CH22" i="1"/>
  <c r="AX22" i="1"/>
  <c r="F35" i="1"/>
  <c r="AX63" i="1"/>
  <c r="F39" i="1"/>
  <c r="AZ22" i="1"/>
  <c r="AZ63" i="1"/>
  <c r="F31" i="1"/>
  <c r="F58" i="1" s="1"/>
  <c r="P63" i="1"/>
  <c r="P22" i="1"/>
  <c r="R22" i="1"/>
  <c r="K63" i="6" l="1"/>
  <c r="J65" i="5"/>
  <c r="R63" i="1"/>
  <c r="H16" i="2"/>
  <c r="G24" i="7" s="1"/>
  <c r="G25" i="7" s="1"/>
  <c r="I30" i="5"/>
  <c r="G18" i="2"/>
  <c r="F24" i="7"/>
  <c r="F25" i="7" s="1"/>
  <c r="I32" i="5"/>
  <c r="H59" i="6"/>
  <c r="H69" i="6"/>
  <c r="CY24" i="1"/>
  <c r="X24" i="1" s="1"/>
  <c r="CZ24" i="1"/>
  <c r="Y24" i="1" s="1"/>
  <c r="GN24" i="1" s="1"/>
  <c r="AB28" i="1"/>
  <c r="G61" i="5"/>
  <c r="G26" i="5"/>
  <c r="H18" i="2"/>
  <c r="GM26" i="1"/>
  <c r="V49" i="6"/>
  <c r="L55" i="6" s="1"/>
  <c r="K57" i="6" s="1"/>
  <c r="P57" i="6" s="1"/>
  <c r="V51" i="5"/>
  <c r="K57" i="5" s="1"/>
  <c r="J59" i="5" s="1"/>
  <c r="P59" i="5" s="1"/>
  <c r="CY25" i="1"/>
  <c r="X25" i="1" s="1"/>
  <c r="F18" i="2"/>
  <c r="E24" i="7"/>
  <c r="E25" i="7" s="1"/>
  <c r="F87" i="1"/>
  <c r="W18" i="1"/>
  <c r="F70" i="1"/>
  <c r="AX18" i="1"/>
  <c r="Q22" i="1"/>
  <c r="F40" i="1"/>
  <c r="F57" i="1" s="1"/>
  <c r="Q63" i="1"/>
  <c r="F85" i="1"/>
  <c r="U18" i="1"/>
  <c r="F86" i="1"/>
  <c r="V18" i="1"/>
  <c r="AZ18" i="1"/>
  <c r="F74" i="1"/>
  <c r="AW22" i="1"/>
  <c r="F34" i="1"/>
  <c r="AW63" i="1"/>
  <c r="F78" i="1"/>
  <c r="F91" i="1" s="1"/>
  <c r="S18" i="1"/>
  <c r="AV63" i="1"/>
  <c r="AV22" i="1"/>
  <c r="F33" i="1"/>
  <c r="BA18" i="1"/>
  <c r="F83" i="1"/>
  <c r="J16" i="2"/>
  <c r="F56" i="1"/>
  <c r="R18" i="1"/>
  <c r="F77" i="1"/>
  <c r="P18" i="1"/>
  <c r="F66" i="1"/>
  <c r="F93" i="1" s="1"/>
  <c r="K73" i="6" s="1"/>
  <c r="AY22" i="1"/>
  <c r="F36" i="1"/>
  <c r="AY63" i="1"/>
  <c r="J18" i="2" l="1"/>
  <c r="I24" i="7"/>
  <c r="I25" i="7" s="1"/>
  <c r="K71" i="6"/>
  <c r="T42" i="6"/>
  <c r="L46" i="6" s="1"/>
  <c r="T44" i="5"/>
  <c r="K48" i="5" s="1"/>
  <c r="O28" i="1"/>
  <c r="AB22" i="1"/>
  <c r="CZ25" i="1"/>
  <c r="Y25" i="1" s="1"/>
  <c r="GN25" i="1" s="1"/>
  <c r="CB28" i="1" s="1"/>
  <c r="AS28" i="1" s="1"/>
  <c r="V35" i="6"/>
  <c r="L40" i="6" s="1"/>
  <c r="V37" i="5"/>
  <c r="K42" i="5" s="1"/>
  <c r="K61" i="6"/>
  <c r="J63" i="5"/>
  <c r="J64" i="5"/>
  <c r="K62" i="6"/>
  <c r="AK28" i="1"/>
  <c r="T35" i="6"/>
  <c r="L39" i="6" s="1"/>
  <c r="T37" i="5"/>
  <c r="K41" i="5" s="1"/>
  <c r="GM24" i="1"/>
  <c r="F71" i="1"/>
  <c r="AY18" i="1"/>
  <c r="AV18" i="1"/>
  <c r="F68" i="1"/>
  <c r="AW18" i="1"/>
  <c r="F69" i="1"/>
  <c r="Q18" i="1"/>
  <c r="F75" i="1"/>
  <c r="F92" i="1" s="1"/>
  <c r="AS63" i="1" l="1"/>
  <c r="AS18" i="1" s="1"/>
  <c r="AS22" i="1"/>
  <c r="K41" i="6"/>
  <c r="P41" i="6" s="1"/>
  <c r="AL28" i="1"/>
  <c r="Y28" i="1" s="1"/>
  <c r="K72" i="6"/>
  <c r="CB22" i="1"/>
  <c r="AK22" i="1"/>
  <c r="X28" i="1"/>
  <c r="GM25" i="1"/>
  <c r="CA28" i="1" s="1"/>
  <c r="V44" i="5"/>
  <c r="K49" i="5" s="1"/>
  <c r="J50" i="5" s="1"/>
  <c r="P50" i="5" s="1"/>
  <c r="J61" i="5" s="1"/>
  <c r="V42" i="6"/>
  <c r="L47" i="6" s="1"/>
  <c r="K48" i="6" s="1"/>
  <c r="P48" i="6" s="1"/>
  <c r="F45" i="1"/>
  <c r="J43" i="5"/>
  <c r="P43" i="5" s="1"/>
  <c r="O63" i="1"/>
  <c r="O22" i="1"/>
  <c r="F30" i="1"/>
  <c r="F80" i="1"/>
  <c r="AL22" i="1" l="1"/>
  <c r="CA22" i="1"/>
  <c r="AR28" i="1"/>
  <c r="K69" i="6"/>
  <c r="K59" i="6"/>
  <c r="X63" i="1"/>
  <c r="X22" i="1"/>
  <c r="F53" i="1"/>
  <c r="F59" i="1" s="1"/>
  <c r="F65" i="1"/>
  <c r="O18" i="1"/>
  <c r="E16" i="2"/>
  <c r="I27" i="5"/>
  <c r="F54" i="1"/>
  <c r="F60" i="1" s="1"/>
  <c r="Y22" i="1"/>
  <c r="Y63" i="1"/>
  <c r="J66" i="5" l="1"/>
  <c r="K64" i="6"/>
  <c r="AM66" i="6"/>
  <c r="F61" i="1"/>
  <c r="E66" i="6"/>
  <c r="D68" i="5"/>
  <c r="AM68" i="5"/>
  <c r="D24" i="7"/>
  <c r="D25" i="7" s="1"/>
  <c r="E18" i="2"/>
  <c r="I16" i="2"/>
  <c r="K65" i="6"/>
  <c r="J67" i="5"/>
  <c r="F89" i="1"/>
  <c r="F95" i="1" s="1"/>
  <c r="K75" i="6" s="1"/>
  <c r="Y18" i="1"/>
  <c r="F55" i="1"/>
  <c r="AR63" i="1"/>
  <c r="AR22" i="1"/>
  <c r="F88" i="1"/>
  <c r="F94" i="1" s="1"/>
  <c r="X18" i="1"/>
  <c r="K74" i="6" l="1"/>
  <c r="F96" i="1"/>
  <c r="K76" i="6" s="1"/>
  <c r="E76" i="6"/>
  <c r="AM76" i="6"/>
  <c r="I18" i="2"/>
  <c r="H24" i="7"/>
  <c r="AR18" i="1"/>
  <c r="F90" i="1"/>
  <c r="K66" i="6"/>
  <c r="J68" i="5"/>
  <c r="I26" i="5"/>
  <c r="J24" i="7" l="1"/>
  <c r="H25" i="7"/>
</calcChain>
</file>

<file path=xl/sharedStrings.xml><?xml version="1.0" encoding="utf-8"?>
<sst xmlns="http://schemas.openxmlformats.org/spreadsheetml/2006/main" count="919" uniqueCount="280">
  <si>
    <t>Smeta.RU  (495) 974-1589</t>
  </si>
  <si>
    <t>_PS_</t>
  </si>
  <si>
    <t>Smeta.RU</t>
  </si>
  <si>
    <t/>
  </si>
  <si>
    <t>Новый объект_(Копия)</t>
  </si>
  <si>
    <t>зимнее содержание Бишево</t>
  </si>
  <si>
    <t>Пегей С.В.</t>
  </si>
  <si>
    <t>ведущий специалист - эксперт</t>
  </si>
  <si>
    <t>Иванова Н.Г.</t>
  </si>
  <si>
    <t>начальник отдела строительства</t>
  </si>
  <si>
    <t>Сметные нормы списания</t>
  </si>
  <si>
    <t>Коды ценников</t>
  </si>
  <si>
    <t>Чувашская Республика. ЭСНиЕРс Работы по содержанию автомобильных дорог</t>
  </si>
  <si>
    <t>ТР для Версии 10: Центральные регионы (с учетом п-ма 2536-ИП/12/ГС от 22.03.2017 г</t>
  </si>
  <si>
    <t>Поправки  для НБ 2014 года от 28.04.2017</t>
  </si>
  <si>
    <t>Новая локальная смета</t>
  </si>
  <si>
    <t>1</t>
  </si>
  <si>
    <t>с01-05-004-1</t>
  </si>
  <si>
    <t>Очистка дороги от снега плужными снегоочистителями на базе трактора.</t>
  </si>
  <si>
    <t>10000 м2</t>
  </si>
  <si>
    <t>ЭСНиЕРс Чувашской Республики, с01-05-004-1, приказ Минтранса России от 4 декабря 2014 г. № 394</t>
  </si>
  <si>
    <t>10000 М2</t>
  </si>
  <si>
    <t xml:space="preserve"> ТС ОСНс-2001</t>
  </si>
  <si>
    <t>ТС ОСНс-2001</t>
  </si>
  <si>
    <t>2</t>
  </si>
  <si>
    <t>с01-05-009-2</t>
  </si>
  <si>
    <t>Уборка снежных валов бульдозерами  108 л.с.</t>
  </si>
  <si>
    <t>10 КМ ВАЛА</t>
  </si>
  <si>
    <t>ЭСНиЕРс Чувашской Республики, с01-05-009-2, приказ Минтранса России от 4 декабря 2014 г. № 394</t>
  </si>
  <si>
    <t>3</t>
  </si>
  <si>
    <t>с01-05-023-1</t>
  </si>
  <si>
    <t>Очистка тротуаров, площадок отдыха и стоянок автомобилей от снега и льда вручную.</t>
  </si>
  <si>
    <t>1000 м2</t>
  </si>
  <si>
    <t>ЭСНиЕРс Чувашской Республики, с01-05-023-1, приказ Минтранса России от 4 декабря 2014 г. № 394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</si>
  <si>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</si>
  <si>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</si>
  <si>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</si>
  <si>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</si>
  <si>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</si>
  <si>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</si>
  <si>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</si>
  <si>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</si>
  <si>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</si>
  <si>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</si>
  <si>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</si>
  <si>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</si>
  <si>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</si>
  <si>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</si>
  <si>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</si>
  <si>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</si>
  <si>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</si>
  <si>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</si>
  <si>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</si>
  <si>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</si>
  <si>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</si>
  <si>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</si>
  <si>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</si>
  <si>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</si>
  <si>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</si>
  <si>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</si>
  <si>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</si>
  <si>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</si>
  <si>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</si>
  <si>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</si>
  <si>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</si>
  <si>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</si>
  <si>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</si>
  <si>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</si>
  <si>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</si>
  <si>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</si>
  <si>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</si>
  <si>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</si>
  <si>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</si>
  <si>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</si>
  <si>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</si>
  <si>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</si>
  <si>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</si>
  <si>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</si>
  <si>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</si>
  <si>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</si>
  <si>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</si>
  <si>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</si>
  <si>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</si>
  <si>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</si>
  <si>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</si>
  <si>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</si>
  <si>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</si>
  <si>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Э</t>
  </si>
  <si>
    <t>ЭММ, в т.ч. ЗПМ</t>
  </si>
  <si>
    <t>М</t>
  </si>
  <si>
    <t>Стоимость материалов</t>
  </si>
  <si>
    <t>Н</t>
  </si>
  <si>
    <t>С</t>
  </si>
  <si>
    <t>СП</t>
  </si>
  <si>
    <t>И</t>
  </si>
  <si>
    <t>Итого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</si>
  <si>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</si>
  <si>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</si>
  <si>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</si>
  <si>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</si>
  <si>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</si>
  <si>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</si>
  <si>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</si>
  <si>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</si>
  <si>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</si>
  <si>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</si>
  <si>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</si>
  <si>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</si>
  <si>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</si>
  <si>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</si>
  <si>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</si>
  <si>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М/Т/Я</t>
  </si>
  <si>
    <t>Работы по строительству мостов, тоннелей, метрополитенов, атомных станций, объектов с ядерным топливом и радиокативными отходами ( письмо Госстроя РФ № 2536-ИП/12/ГС от 27.11.12), коэффициенты к НР =0,85 и к СП-0,8 не назначаются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</si>
  <si>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</si>
  <si>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</si>
  <si>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</si>
  <si>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</si>
  <si>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</si>
  <si>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</si>
  <si>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</si>
  <si>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</si>
  <si>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</si>
  <si>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</si>
  <si>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</si>
  <si>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</si>
  <si>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</si>
  <si>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</si>
  <si>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</si>
  <si>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</si>
  <si>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</si>
  <si>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</si>
  <si>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</si>
  <si>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</si>
  <si>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</si>
  <si>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</si>
  <si>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</si>
  <si>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</si>
  <si>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</si>
  <si>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</si>
  <si>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</si>
  <si>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</si>
  <si>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</si>
  <si>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  если (М/Т/Я) = {выкл.}</t>
  </si>
  <si>
    <t>К_СП_12</t>
  </si>
  <si>
    <t>Корректировка СП с 03.12.12  в текущем уровне цен по письму  2536-ИП/12/ГС от 27.11.12  ( если (М/Т/Я)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</si>
  <si>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</si>
  <si>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</si>
  <si>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</si>
  <si>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</si>
  <si>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</si>
  <si>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</si>
  <si>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</si>
  <si>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 и  кап. ремонте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</si>
  <si>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</si>
  <si>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</si>
  <si>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</si>
  <si>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</si>
  <si>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Текущий уровень цен</t>
  </si>
  <si>
    <t>Вид цен</t>
  </si>
  <si>
    <t>ТССЦ на ресурсы ЭСНиЕРс Чувашской Республики, 3 кв 2018 г - сметные</t>
  </si>
  <si>
    <t>_OBSM_</t>
  </si>
  <si>
    <t>Затраты труда машинистов</t>
  </si>
  <si>
    <t>чел.час</t>
  </si>
  <si>
    <t>010411</t>
  </si>
  <si>
    <t>ЭСНиЕРс Чувашской Республики, 010411, приказ Минтранса России от 4 декабря 2014 г. № 394</t>
  </si>
  <si>
    <t>Тракторы на пневмоколесном ходу при работе на других видах строительства 158 кВт (215 л.с.)</t>
  </si>
  <si>
    <t>маш.-ч</t>
  </si>
  <si>
    <t>070149</t>
  </si>
  <si>
    <t>ЭСНиЕРс Чувашской Республики, 070149, приказ Минтранса России от 4 декабря 2014 г. № 394</t>
  </si>
  <si>
    <t>Бульдозеры при работе на других видах строительства 79 кВт (108 л.с.)</t>
  </si>
  <si>
    <t>с0-0002-21</t>
  </si>
  <si>
    <t>Рабочий 2 разряда</t>
  </si>
  <si>
    <t>чел.-ч</t>
  </si>
  <si>
    <t>121550</t>
  </si>
  <si>
    <t>ЭСНиЕРс Чувашской Республики, 121550, приказ Минтранса России от 4 декабря 2014 г. № 394</t>
  </si>
  <si>
    <t>Машины дорожной службы</t>
  </si>
  <si>
    <t>"УТВЕРЖДАЮ"</t>
  </si>
  <si>
    <t>"_____"________________ 2019 г.</t>
  </si>
  <si>
    <t>(наименование стройки)</t>
  </si>
  <si>
    <t xml:space="preserve">Номер заказа   </t>
  </si>
  <si>
    <t xml:space="preserve">ЛОКАЛЬНАЯ СМЕТА № </t>
  </si>
  <si>
    <t xml:space="preserve">  на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</si>
  <si>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</si>
  <si>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</si>
  <si>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</si>
  <si>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</si>
  <si>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тыс.руб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</si>
  <si>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</si>
  <si>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</si>
  <si>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</si>
  <si>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</si>
  <si>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</si>
  <si>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</si>
  <si>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</si>
  <si>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</si>
  <si>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</si>
  <si>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</si>
  <si>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</si>
  <si>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</si>
  <si>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</si>
  <si>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</si>
  <si>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</si>
  <si>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</si>
  <si>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</si>
  <si>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</si>
  <si>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ТССЦ на ресурсы ЭСНиЕРс Чувашской Республики, 3 кв 2018 г - сметные</t>
  </si>
  <si>
    <t>в т.ч. зарплата машинистов</t>
  </si>
  <si>
    <t>НР от ФОТ</t>
  </si>
  <si>
    <t>%</t>
  </si>
  <si>
    <t>СП от ФОТ</t>
  </si>
  <si>
    <t>Зарплата</t>
  </si>
  <si>
    <t>Затраты труда</t>
  </si>
  <si>
    <t>чел-ч</t>
  </si>
  <si>
    <t>Составил</t>
  </si>
  <si>
    <t>Должность</t>
  </si>
  <si>
    <t>Подпись</t>
  </si>
  <si>
    <t>Ф.И.О.</t>
  </si>
  <si>
    <t>М.П.</t>
  </si>
  <si>
    <t>Проверил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</si>
  <si>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</si>
  <si>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</si>
  <si>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</si>
  <si>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</si>
  <si>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</si>
  <si>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</si>
  <si>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</t>
  </si>
  <si>
    <t>по ОКПО</t>
  </si>
  <si>
    <t>организация, адрес, телефон, факс</t>
  </si>
  <si>
    <t>Заказчик</t>
  </si>
  <si>
    <t>Подрядчик</t>
  </si>
  <si>
    <t>Стройка</t>
  </si>
  <si>
    <t>наименование, адрес</t>
  </si>
  <si>
    <t>Объект</t>
  </si>
  <si>
    <t>наименование</t>
  </si>
  <si>
    <t xml:space="preserve">Вид деятельности по ОКДП  </t>
  </si>
  <si>
    <t xml:space="preserve">Договор подряда  </t>
  </si>
  <si>
    <t>номер</t>
  </si>
  <si>
    <t>дата</t>
  </si>
  <si>
    <t xml:space="preserve">Вид операции  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</si>
  <si>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</si>
  <si>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</si>
  <si>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</si>
  <si>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</si>
  <si>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</si>
  <si>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</si>
  <si>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</si>
  <si>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Номер</t>
  </si>
  <si>
    <t>поз. по сме-те</t>
  </si>
  <si>
    <t>Составлен(а) в ценах 2001 г. с учетом коэффициентов пересчета к базисной стоимости СМР в текущий уровень цен базисно-индексным методом за ТССЦ на ресурсы ЭСНиЕРс Чувашской Республики, 3 кв 2018 г - сметные</t>
  </si>
  <si>
    <t>Сдал</t>
  </si>
  <si>
    <t>Принял</t>
  </si>
  <si>
    <t>Форма 3</t>
  </si>
  <si>
    <t>(Наименование стройки)</t>
  </si>
  <si>
    <t>ОБЪЕКТНЫЙ СМЕТНЫЙ РАСЧЕТ №</t>
  </si>
  <si>
    <t>(объектная смета)</t>
  </si>
  <si>
    <t>на строительство (капитальный ремонт)</t>
  </si>
  <si>
    <t xml:space="preserve">  тыс.руб.</t>
  </si>
  <si>
    <t xml:space="preserve">Средства на оплату труда  </t>
  </si>
  <si>
    <t xml:space="preserve">Расчетный измеритель единичной стоимости  </t>
  </si>
  <si>
    <t>Номера сметных расчетов (смет)</t>
  </si>
  <si>
    <t>Показатели единичной стоимости</t>
  </si>
  <si>
    <t>строите-льных работ</t>
  </si>
  <si>
    <t>монтажных работ</t>
  </si>
  <si>
    <t>оборудо-вания, мебели, инвентаря</t>
  </si>
  <si>
    <t>прочих затрат</t>
  </si>
  <si>
    <t>Составлен(а) в уровне текущих (прогнозных) цен ТССЦ на ресурсы ЭСНиЕРс Чувашской Республики, 3 кв 2018 г - сметные</t>
  </si>
  <si>
    <t>Сметная стоимость, тыс.руб.</t>
  </si>
  <si>
    <t>Средства на оплату труда, тыс. руб.</t>
  </si>
  <si>
    <t xml:space="preserve">ИТОГО: </t>
  </si>
  <si>
    <t>Главный инженер проекта</t>
  </si>
  <si>
    <t>[подпись(инициалы,фамилия)]</t>
  </si>
  <si>
    <t xml:space="preserve">Начальник  </t>
  </si>
  <si>
    <t>отдела</t>
  </si>
  <si>
    <t xml:space="preserve">   (наименование)</t>
  </si>
  <si>
    <t xml:space="preserve">Составил  </t>
  </si>
  <si>
    <t>[должность,подпись(инициалы,фамилия)]</t>
  </si>
  <si>
    <t xml:space="preserve">Проверил:  </t>
  </si>
  <si>
    <t>выполнение работ по зимнему содержанию дорог местного значения в границах Кудеснерского сельского поселения Урмарского района</t>
  </si>
  <si>
    <t>Глава Кудеснерского сельского поселения</t>
  </si>
  <si>
    <t>______________________ Николаев О.Л.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</si>
</sst>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\ #,##0.00"/>
    <numFmt numFmtId="165" formatCode="#,##0.00####;[Red]\-\ #,##0.00####"/>
    <numFmt numFmtId="166" formatCode="#,##0;[Red]\-\ #,##0"/>
  </numFmts>
  <fonts count="22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 wrapText="1"/>
    </xf>
    <xf numFmtId="164" fontId="0" fillId="0" borderId="0" xfId="0" applyNumberFormat="1"/>
    <xf numFmtId="164" fontId="19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9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 wrapText="1"/>
    </xf>
    <xf numFmtId="0" fontId="11" fillId="0" borderId="2" xfId="0" applyFont="1" applyFill="1" applyBorder="1"/>
    <xf numFmtId="0" fontId="11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21" fillId="0" borderId="0" xfId="0" applyFont="1" applyFill="1"/>
    <xf numFmtId="0" fontId="21" fillId="0" borderId="2" xfId="0" applyFont="1" applyFill="1" applyBorder="1"/>
    <xf numFmtId="0" fontId="10" fillId="0" borderId="0" xfId="0" applyFont="1" applyFill="1"/>
    <xf numFmtId="0" fontId="21" fillId="0" borderId="0" xfId="0" applyFont="1" applyFill="1" applyAlignment="1">
      <alignment horizontal="right"/>
    </xf>
    <xf numFmtId="0" fontId="15" fillId="0" borderId="0" xfId="0" applyFont="1" applyAlignment="1"/>
    <xf numFmtId="1" fontId="11" fillId="0" borderId="0" xfId="0" applyNumberFormat="1" applyFont="1"/>
    <xf numFmtId="0" fontId="11" fillId="0" borderId="0" xfId="0" applyFont="1" applyBorder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0" fontId="11" fillId="0" borderId="0" xfId="0" applyFont="1" applyBorder="1" applyAlignment="1"/>
    <xf numFmtId="0" fontId="11" fillId="0" borderId="0" xfId="0" applyFont="1" applyAlignment="1">
      <alignment horizontal="left" vertical="center"/>
    </xf>
    <xf numFmtId="164" fontId="11" fillId="0" borderId="0" xfId="0" applyNumberFormat="1" applyFont="1" applyBorder="1" applyAlignment="1"/>
    <xf numFmtId="1" fontId="11" fillId="0" borderId="0" xfId="0" applyNumberFormat="1" applyFont="1" applyAlignment="1">
      <alignment horizontal="left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wrapText="1"/>
    </xf>
    <xf numFmtId="164" fontId="11" fillId="0" borderId="1" xfId="0" applyNumberFormat="1" applyFont="1" applyBorder="1" applyAlignment="1">
      <alignment horizontal="right" wrapText="1"/>
    </xf>
    <xf numFmtId="1" fontId="11" fillId="0" borderId="7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164" fontId="11" fillId="0" borderId="7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164" fontId="15" fillId="0" borderId="3" xfId="0" applyNumberFormat="1" applyFont="1" applyBorder="1" applyAlignment="1">
      <alignment horizontal="right" wrapText="1"/>
    </xf>
    <xf numFmtId="164" fontId="11" fillId="0" borderId="8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0" fontId="11" fillId="0" borderId="2" xfId="0" applyFont="1" applyBorder="1"/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66" fontId="0" fillId="0" borderId="0" xfId="0" applyNumberForma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/>
    <xf numFmtId="0" fontId="11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4" fontId="11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0" borderId="2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wrapText="1"/>
    </xf>
    <xf numFmtId="164" fontId="11" fillId="0" borderId="11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right" wrapText="1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0"/>
  <sheetViews>
    <sheetView tabSelected="1" topLeftCell="A22" zoomScale="102" zoomScaleNormal="102" workbookViewId="0">
      <selection activeCell="H13" sqref="H13:K13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8" width="0" hidden="1" customWidth="1"/>
    <col min="39" max="39" width="76.7109375" hidden="1" customWidth="1"/>
  </cols>
  <sheetData>
    <row r="1" spans="1:12" x14ac:dyDescent="0.2">
      <c r="A1" s="9" t="str">
        <f>Source!B1</f>
        <v>Smeta.RU  (495) 974-1589</v>
      </c>
    </row>
    <row r="2" spans="1:12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 x14ac:dyDescent="0.25">
      <c r="A3" s="12"/>
      <c r="B3" s="104"/>
      <c r="C3" s="104"/>
      <c r="D3" s="104"/>
      <c r="E3" s="104"/>
      <c r="F3" s="11"/>
      <c r="G3" s="11"/>
      <c r="H3" s="104" t="s">
        <v>176</v>
      </c>
      <c r="I3" s="104"/>
      <c r="J3" s="104"/>
      <c r="K3" s="104"/>
      <c r="L3" s="104"/>
    </row>
    <row r="4" spans="1:12" ht="14.25" x14ac:dyDescent="0.2">
      <c r="A4" s="11"/>
      <c r="B4" s="105"/>
      <c r="C4" s="105"/>
      <c r="D4" s="105"/>
      <c r="E4" s="105"/>
      <c r="F4" s="11"/>
      <c r="G4" s="11"/>
      <c r="H4" s="105" t="s">
        <v>278</v>
      </c>
      <c r="I4" s="105"/>
      <c r="J4" s="105"/>
      <c r="K4" s="105"/>
      <c r="L4" s="105"/>
    </row>
    <row r="5" spans="1:12" ht="14.25" x14ac:dyDescent="0.2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 x14ac:dyDescent="0.2">
      <c r="A6" s="15"/>
      <c r="B6" s="105"/>
      <c r="C6" s="105"/>
      <c r="D6" s="105"/>
      <c r="E6" s="105"/>
      <c r="F6" s="11"/>
      <c r="G6" s="11"/>
      <c r="H6" s="105" t="s">
        <v>279</v>
      </c>
      <c r="I6" s="105"/>
      <c r="J6" s="105"/>
      <c r="K6" s="105"/>
      <c r="L6" s="105"/>
    </row>
    <row r="7" spans="1:12" ht="14.25" x14ac:dyDescent="0.2">
      <c r="A7" s="16"/>
      <c r="B7" s="107"/>
      <c r="C7" s="107"/>
      <c r="D7" s="107"/>
      <c r="E7" s="107"/>
      <c r="F7" s="11"/>
      <c r="G7" s="11"/>
      <c r="H7" s="107" t="s">
        <v>177</v>
      </c>
      <c r="I7" s="107"/>
      <c r="J7" s="107"/>
      <c r="K7" s="107"/>
      <c r="L7" s="107"/>
    </row>
    <row r="10" spans="1:12" ht="15.75" x14ac:dyDescent="0.25">
      <c r="A10" s="16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6"/>
    </row>
    <row r="11" spans="1:12" ht="14.25" x14ac:dyDescent="0.2">
      <c r="A11" s="17"/>
      <c r="B11" s="109" t="s">
        <v>178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6"/>
    </row>
    <row r="12" spans="1:12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 x14ac:dyDescent="0.2">
      <c r="A13" s="11"/>
      <c r="B13" s="11"/>
      <c r="C13" s="11"/>
      <c r="D13" s="11"/>
      <c r="E13" s="11"/>
      <c r="F13" s="110" t="s">
        <v>179</v>
      </c>
      <c r="G13" s="110"/>
      <c r="H13" s="111"/>
      <c r="I13" s="111"/>
      <c r="J13" s="111"/>
      <c r="K13" s="111"/>
      <c r="L13" s="18"/>
    </row>
    <row r="14" spans="1:12" ht="14.2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 x14ac:dyDescent="0.25">
      <c r="A15" s="19"/>
      <c r="B15" s="112" t="s">
        <v>180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9"/>
    </row>
    <row r="16" spans="1:12" ht="14.2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31" ht="15.75" x14ac:dyDescent="0.25">
      <c r="A17" s="11"/>
      <c r="B17" s="112" t="str">
        <f>Source!G20</f>
        <v>Новая локальная смета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6"/>
      <c r="AD17" s="25" t="str">
        <f>Source!G20</f>
        <v>Новая локальная смета</v>
      </c>
    </row>
    <row r="18" spans="1:31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31" ht="18" x14ac:dyDescent="0.25">
      <c r="A19" s="11" t="s">
        <v>181</v>
      </c>
      <c r="B19" s="113" t="s">
        <v>277</v>
      </c>
      <c r="C19" s="113"/>
      <c r="D19" s="113"/>
      <c r="E19" s="113"/>
      <c r="F19" s="113"/>
      <c r="G19" s="113"/>
      <c r="H19" s="113"/>
      <c r="I19" s="113"/>
      <c r="J19" s="113"/>
      <c r="K19" s="113"/>
      <c r="L19" s="20"/>
      <c r="AD19" s="26" t="str">
        <f>Source!G12</f>
        <v>зимнее содержание Бишево</v>
      </c>
    </row>
    <row r="20" spans="1:31" ht="14.25" x14ac:dyDescent="0.2">
      <c r="A20" s="11"/>
      <c r="B20" s="114" t="s">
        <v>182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6"/>
    </row>
    <row r="21" spans="1:31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31" ht="14.25" x14ac:dyDescent="0.2">
      <c r="A22" s="115" t="str">
        <f>CONCATENATE("Основание: ", Source!J20)</f>
        <v xml:space="preserve">Основание: 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AE22" s="27" t="str">
        <f>CONCATENATE("Основание: ", Source!J20)</f>
        <v xml:space="preserve">Основание: </v>
      </c>
    </row>
    <row r="23" spans="1:31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31" ht="14.2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31" ht="14.25" x14ac:dyDescent="0.2">
      <c r="A25" s="11"/>
      <c r="B25" s="11"/>
      <c r="C25" s="11"/>
      <c r="D25" s="11"/>
      <c r="E25" s="21"/>
      <c r="F25" s="21"/>
      <c r="G25" s="106" t="s">
        <v>183</v>
      </c>
      <c r="H25" s="106"/>
      <c r="I25" s="106" t="s">
        <v>184</v>
      </c>
      <c r="J25" s="106"/>
      <c r="K25" s="11"/>
      <c r="L25" s="11"/>
    </row>
    <row r="26" spans="1:31" ht="15" x14ac:dyDescent="0.25">
      <c r="A26" s="11"/>
      <c r="B26" s="11"/>
      <c r="C26" s="116" t="s">
        <v>185</v>
      </c>
      <c r="D26" s="116"/>
      <c r="E26" s="116"/>
      <c r="F26" s="116"/>
      <c r="G26" s="117">
        <f>SUM(O37:O62)/1000</f>
        <v>229.16953000000004</v>
      </c>
      <c r="H26" s="117"/>
      <c r="I26" s="117">
        <f>(Source!F61/1000)</f>
        <v>290.00031999999999</v>
      </c>
      <c r="J26" s="117"/>
      <c r="K26" s="118" t="s">
        <v>186</v>
      </c>
      <c r="L26" s="118"/>
    </row>
    <row r="27" spans="1:31" ht="14.25" x14ac:dyDescent="0.2">
      <c r="A27" s="11"/>
      <c r="B27" s="11"/>
      <c r="C27" s="119" t="s">
        <v>187</v>
      </c>
      <c r="D27" s="119"/>
      <c r="E27" s="119"/>
      <c r="F27" s="119"/>
      <c r="G27" s="117">
        <f>SUM(W37:W62)/1000</f>
        <v>229.16953000000004</v>
      </c>
      <c r="H27" s="117"/>
      <c r="I27" s="117">
        <f>(Source!F45)/1000</f>
        <v>290.00031999999999</v>
      </c>
      <c r="J27" s="117"/>
      <c r="K27" s="118" t="s">
        <v>186</v>
      </c>
      <c r="L27" s="118"/>
    </row>
    <row r="28" spans="1:31" ht="14.25" x14ac:dyDescent="0.2">
      <c r="A28" s="11"/>
      <c r="B28" s="11"/>
      <c r="C28" s="119" t="s">
        <v>188</v>
      </c>
      <c r="D28" s="119"/>
      <c r="E28" s="119"/>
      <c r="F28" s="119"/>
      <c r="G28" s="117">
        <f>SUM(X37:X62)/1000</f>
        <v>0</v>
      </c>
      <c r="H28" s="117"/>
      <c r="I28" s="117">
        <f>(Source!F46)/1000</f>
        <v>0</v>
      </c>
      <c r="J28" s="117"/>
      <c r="K28" s="118" t="s">
        <v>186</v>
      </c>
      <c r="L28" s="118"/>
    </row>
    <row r="29" spans="1:31" ht="14.25" x14ac:dyDescent="0.2">
      <c r="A29" s="11"/>
      <c r="B29" s="11"/>
      <c r="C29" s="119" t="s">
        <v>189</v>
      </c>
      <c r="D29" s="119"/>
      <c r="E29" s="119"/>
      <c r="F29" s="119"/>
      <c r="G29" s="117">
        <f>SUM(Y37:Y62)/1000</f>
        <v>0</v>
      </c>
      <c r="H29" s="117"/>
      <c r="I29" s="117">
        <f>(Source!F37)/1000</f>
        <v>0</v>
      </c>
      <c r="J29" s="117"/>
      <c r="K29" s="118" t="s">
        <v>186</v>
      </c>
      <c r="L29" s="118"/>
    </row>
    <row r="30" spans="1:31" ht="14.25" x14ac:dyDescent="0.2">
      <c r="A30" s="11"/>
      <c r="B30" s="11"/>
      <c r="C30" s="119" t="s">
        <v>190</v>
      </c>
      <c r="D30" s="119"/>
      <c r="E30" s="119"/>
      <c r="F30" s="119"/>
      <c r="G30" s="117">
        <f>SUM(Z37:Z62)/1000</f>
        <v>0</v>
      </c>
      <c r="H30" s="117"/>
      <c r="I30" s="117">
        <f>(Source!F47+Source!F48)/1000</f>
        <v>0</v>
      </c>
      <c r="J30" s="117"/>
      <c r="K30" s="118" t="s">
        <v>186</v>
      </c>
      <c r="L30" s="118"/>
    </row>
    <row r="31" spans="1:31" ht="15" x14ac:dyDescent="0.25">
      <c r="A31" s="11"/>
      <c r="B31" s="11"/>
      <c r="C31" s="116" t="s">
        <v>191</v>
      </c>
      <c r="D31" s="116"/>
      <c r="E31" s="116"/>
      <c r="F31" s="116"/>
      <c r="G31" s="117">
        <f>I31</f>
        <v>290.63010700000001</v>
      </c>
      <c r="H31" s="117"/>
      <c r="I31" s="117">
        <f>(Source!F50+Source!F51)</f>
        <v>290.63010700000001</v>
      </c>
      <c r="J31" s="117"/>
      <c r="K31" s="118" t="s">
        <v>172</v>
      </c>
      <c r="L31" s="118"/>
    </row>
    <row r="32" spans="1:31" ht="15" x14ac:dyDescent="0.25">
      <c r="A32" s="11"/>
      <c r="B32" s="11"/>
      <c r="C32" s="116" t="s">
        <v>192</v>
      </c>
      <c r="D32" s="116"/>
      <c r="E32" s="116"/>
      <c r="F32" s="116"/>
      <c r="G32" s="117">
        <f>SUM(R37:R62)/1000</f>
        <v>54.355319999999999</v>
      </c>
      <c r="H32" s="117"/>
      <c r="I32" s="117">
        <f>(Source!F43+ Source!F42)/1000</f>
        <v>54.355319999999999</v>
      </c>
      <c r="J32" s="117"/>
      <c r="K32" s="118" t="s">
        <v>186</v>
      </c>
      <c r="L32" s="118"/>
    </row>
    <row r="33" spans="1:26" ht="14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26" ht="14.25" x14ac:dyDescent="0.2">
      <c r="A34" s="121" t="s">
        <v>205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26" ht="57" x14ac:dyDescent="0.2">
      <c r="A35" s="22" t="s">
        <v>193</v>
      </c>
      <c r="B35" s="22" t="s">
        <v>194</v>
      </c>
      <c r="C35" s="22" t="s">
        <v>195</v>
      </c>
      <c r="D35" s="22" t="s">
        <v>196</v>
      </c>
      <c r="E35" s="22" t="s">
        <v>197</v>
      </c>
      <c r="F35" s="22" t="s">
        <v>198</v>
      </c>
      <c r="G35" s="22" t="s">
        <v>199</v>
      </c>
      <c r="H35" s="22" t="s">
        <v>200</v>
      </c>
      <c r="I35" s="22" t="s">
        <v>201</v>
      </c>
      <c r="J35" s="22" t="s">
        <v>202</v>
      </c>
      <c r="K35" s="22" t="s">
        <v>203</v>
      </c>
      <c r="L35" s="22" t="s">
        <v>204</v>
      </c>
    </row>
    <row r="36" spans="1:26" ht="14.25" x14ac:dyDescent="0.2">
      <c r="A36" s="23">
        <v>1</v>
      </c>
      <c r="B36" s="23">
        <v>2</v>
      </c>
      <c r="C36" s="23">
        <v>3</v>
      </c>
      <c r="D36" s="23">
        <v>4</v>
      </c>
      <c r="E36" s="23">
        <v>5</v>
      </c>
      <c r="F36" s="23">
        <v>6</v>
      </c>
      <c r="G36" s="23">
        <v>7</v>
      </c>
      <c r="H36" s="23">
        <v>8</v>
      </c>
      <c r="I36" s="23">
        <v>9</v>
      </c>
      <c r="J36" s="23">
        <v>10</v>
      </c>
      <c r="K36" s="23">
        <v>11</v>
      </c>
      <c r="L36" s="24">
        <v>12</v>
      </c>
    </row>
    <row r="37" spans="1:26" ht="28.5" x14ac:dyDescent="0.2">
      <c r="A37" s="28" t="str">
        <f>Source!E24</f>
        <v>1</v>
      </c>
      <c r="B37" s="29" t="str">
        <f>Source!F24</f>
        <v>с01-05-004-1</v>
      </c>
      <c r="C37" s="27" t="str">
        <f>Source!G24</f>
        <v>Очистка дороги от снега плужными снегоочистителями на базе трактора.</v>
      </c>
      <c r="D37" s="30" t="str">
        <f>Source!H24</f>
        <v>10000 м2</v>
      </c>
      <c r="E37" s="10">
        <f>Source!I24</f>
        <v>362</v>
      </c>
      <c r="F37" s="32">
        <f>IF(Source!AK24&lt;&gt; 0, Source!AK24,Source!AL24 + Source!AM24 + Source!AO24)</f>
        <v>491.51959999999997</v>
      </c>
      <c r="G37" s="31"/>
      <c r="H37" s="33"/>
      <c r="I37" s="31" t="str">
        <f>Source!BO24</f>
        <v/>
      </c>
      <c r="J37" s="31"/>
      <c r="K37" s="33"/>
      <c r="L37" s="34"/>
      <c r="S37">
        <f>ROUND((Source!FX24/100)*((ROUND(Source!AF24*Source!I24, 2)+ROUND(Source!AE24*Source!I24, 2))), 2)</f>
        <v>7179.07</v>
      </c>
      <c r="T37">
        <f>Source!X24</f>
        <v>35586.019999999997</v>
      </c>
      <c r="U37">
        <f>ROUND((Source!FY24/100)*((ROUND(Source!AF24*Source!I24, 2)+ROUND(Source!AE24*Source!I24, 2))), 2)</f>
        <v>5384.3</v>
      </c>
      <c r="V37">
        <f>Source!Y24</f>
        <v>32027.42</v>
      </c>
    </row>
    <row r="38" spans="1:26" x14ac:dyDescent="0.2">
      <c r="C38" s="35" t="str">
        <f>"Объем: "&amp;Source!I24&amp;"=3620000/"&amp;"10000"</f>
        <v>Объем: 362=3620000/10000</v>
      </c>
    </row>
    <row r="39" spans="1:26" ht="14.25" x14ac:dyDescent="0.2">
      <c r="A39" s="28"/>
      <c r="B39" s="29"/>
      <c r="C39" s="27" t="s">
        <v>55</v>
      </c>
      <c r="D39" s="30"/>
      <c r="E39" s="10"/>
      <c r="F39" s="32">
        <f>Source!AM24</f>
        <v>491.51959999999997</v>
      </c>
      <c r="G39" s="31" t="str">
        <f>Source!DE24</f>
        <v/>
      </c>
      <c r="H39" s="33">
        <f>ROUND(Source!AD24*Source!I24, 2)</f>
        <v>177930.1</v>
      </c>
      <c r="I39" s="31"/>
      <c r="J39" s="31">
        <f>IF(Source!BB24&lt;&gt; 0, Source!BB24, 1)</f>
        <v>1</v>
      </c>
      <c r="K39" s="33">
        <f>Source!Q24</f>
        <v>177930.1</v>
      </c>
      <c r="L39" s="34"/>
    </row>
    <row r="40" spans="1:26" ht="14.25" x14ac:dyDescent="0.2">
      <c r="A40" s="28"/>
      <c r="B40" s="29"/>
      <c r="C40" s="27" t="s">
        <v>206</v>
      </c>
      <c r="D40" s="30"/>
      <c r="E40" s="10"/>
      <c r="F40" s="32">
        <f>Source!AN24</f>
        <v>99.1584</v>
      </c>
      <c r="G40" s="31" t="str">
        <f>Source!DF24</f>
        <v/>
      </c>
      <c r="H40" s="33">
        <f>ROUND(Source!AE24*Source!I24, 2)</f>
        <v>35895.339999999997</v>
      </c>
      <c r="I40" s="31"/>
      <c r="J40" s="31">
        <f>IF(Source!BS24&lt;&gt; 0, Source!BS24, 1)</f>
        <v>1</v>
      </c>
      <c r="K40" s="33">
        <f>Source!R24</f>
        <v>35895.339999999997</v>
      </c>
      <c r="L40" s="34"/>
      <c r="R40">
        <f>H40</f>
        <v>35895.339999999997</v>
      </c>
    </row>
    <row r="41" spans="1:26" ht="14.25" x14ac:dyDescent="0.2">
      <c r="A41" s="28"/>
      <c r="B41" s="29"/>
      <c r="C41" s="27" t="s">
        <v>207</v>
      </c>
      <c r="D41" s="30" t="s">
        <v>208</v>
      </c>
      <c r="E41" s="10">
        <f>Source!BZ24</f>
        <v>20</v>
      </c>
      <c r="F41" s="36"/>
      <c r="G41" s="31"/>
      <c r="H41" s="33">
        <f>SUM(S37:S42)</f>
        <v>7179.07</v>
      </c>
      <c r="I41" s="37"/>
      <c r="J41" s="27">
        <f>Source!AT24</f>
        <v>20</v>
      </c>
      <c r="K41" s="33">
        <f>SUM(T37:T42)</f>
        <v>35586.019999999997</v>
      </c>
      <c r="L41" s="34"/>
    </row>
    <row r="42" spans="1:26" ht="14.25" x14ac:dyDescent="0.2">
      <c r="A42" s="40"/>
      <c r="B42" s="41"/>
      <c r="C42" s="42" t="s">
        <v>209</v>
      </c>
      <c r="D42" s="43" t="s">
        <v>208</v>
      </c>
      <c r="E42" s="44">
        <f>Source!CA24</f>
        <v>15</v>
      </c>
      <c r="F42" s="45"/>
      <c r="G42" s="46"/>
      <c r="H42" s="47">
        <f>SUM(U37:U42)</f>
        <v>5384.3</v>
      </c>
      <c r="I42" s="48"/>
      <c r="J42" s="42">
        <f>Source!AU24</f>
        <v>15</v>
      </c>
      <c r="K42" s="47">
        <f>SUM(V37:V42)</f>
        <v>32027.42</v>
      </c>
      <c r="L42" s="49"/>
    </row>
    <row r="43" spans="1:26" ht="15" x14ac:dyDescent="0.25">
      <c r="G43" s="120">
        <f>ROUND(Source!AC24*Source!I24, 2)+ROUND(Source!AF24*Source!I24, 2)+ROUND(Source!AD24*Source!I24, 2)+SUM(H41:H42)</f>
        <v>190493.47</v>
      </c>
      <c r="H43" s="120"/>
      <c r="J43" s="120">
        <f>Source!O24+SUM(K41:K42)</f>
        <v>245543.54</v>
      </c>
      <c r="K43" s="120"/>
      <c r="L43" s="39">
        <f>Source!U24</f>
        <v>0</v>
      </c>
      <c r="O43" s="38">
        <f>G43</f>
        <v>190493.47</v>
      </c>
      <c r="P43" s="38">
        <f>J43</f>
        <v>245543.54</v>
      </c>
      <c r="Q43" s="38">
        <f>L43</f>
        <v>0</v>
      </c>
      <c r="W43">
        <f>IF(Source!BI24&lt;=1,G43, 0)</f>
        <v>190493.47</v>
      </c>
      <c r="X43">
        <f>IF(Source!BI24=2,G43, 0)</f>
        <v>0</v>
      </c>
      <c r="Y43">
        <f>IF(Source!BI24=3,G43, 0)</f>
        <v>0</v>
      </c>
      <c r="Z43">
        <f>IF(Source!BI24=4,G43, 0)</f>
        <v>0</v>
      </c>
    </row>
    <row r="44" spans="1:26" ht="28.5" x14ac:dyDescent="0.2">
      <c r="A44" s="28" t="str">
        <f>Source!E25</f>
        <v>2</v>
      </c>
      <c r="B44" s="29" t="str">
        <f>Source!F25</f>
        <v>с01-05-009-2</v>
      </c>
      <c r="C44" s="27" t="str">
        <f>Source!G25</f>
        <v>Уборка снежных валов бульдозерами  108 л.с.</v>
      </c>
      <c r="D44" s="30" t="str">
        <f>Source!H25</f>
        <v>10 КМ ВАЛА</v>
      </c>
      <c r="E44" s="10">
        <f>Source!I25</f>
        <v>4.2</v>
      </c>
      <c r="F44" s="32">
        <f>IF(Source!AK25&lt;&gt; 0, Source!AK25,Source!AL25 + Source!AM25 + Source!AO25)</f>
        <v>2218.819</v>
      </c>
      <c r="G44" s="31"/>
      <c r="H44" s="33"/>
      <c r="I44" s="31" t="str">
        <f>Source!BO25</f>
        <v/>
      </c>
      <c r="J44" s="31"/>
      <c r="K44" s="33"/>
      <c r="L44" s="34"/>
      <c r="S44">
        <f>ROUND((Source!FX25/100)*((ROUND(Source!AF25*Source!I25, 2)+ROUND(Source!AE25*Source!I25, 2))), 2)</f>
        <v>514.95000000000005</v>
      </c>
      <c r="T44">
        <f>Source!X25</f>
        <v>1863.81</v>
      </c>
      <c r="U44">
        <f>ROUND((Source!FY25/100)*((ROUND(Source!AF25*Source!I25, 2)+ROUND(Source!AE25*Source!I25, 2))), 2)</f>
        <v>386.21</v>
      </c>
      <c r="V44">
        <f>Source!Y25</f>
        <v>1677.43</v>
      </c>
    </row>
    <row r="45" spans="1:26" x14ac:dyDescent="0.2">
      <c r="C45" s="35" t="str">
        <f>"Объем: "&amp;Source!I25&amp;"=42/"&amp;"10"</f>
        <v>Объем: 4,2=42/10</v>
      </c>
    </row>
    <row r="46" spans="1:26" ht="14.25" x14ac:dyDescent="0.2">
      <c r="A46" s="28"/>
      <c r="B46" s="29"/>
      <c r="C46" s="27" t="s">
        <v>55</v>
      </c>
      <c r="D46" s="30"/>
      <c r="E46" s="10"/>
      <c r="F46" s="32">
        <f>Source!AM25</f>
        <v>2218.819</v>
      </c>
      <c r="G46" s="31" t="str">
        <f>Source!DE25</f>
        <v/>
      </c>
      <c r="H46" s="33">
        <f>ROUND(Source!AD25*Source!I25, 2)</f>
        <v>9319.0400000000009</v>
      </c>
      <c r="I46" s="31"/>
      <c r="J46" s="31">
        <f>IF(Source!BB25&lt;&gt; 0, Source!BB25, 1)</f>
        <v>1</v>
      </c>
      <c r="K46" s="33">
        <f>Source!Q25</f>
        <v>9319.0400000000009</v>
      </c>
      <c r="L46" s="34"/>
    </row>
    <row r="47" spans="1:26" ht="14.25" x14ac:dyDescent="0.2">
      <c r="A47" s="28"/>
      <c r="B47" s="29"/>
      <c r="C47" s="27" t="s">
        <v>206</v>
      </c>
      <c r="D47" s="30"/>
      <c r="E47" s="10"/>
      <c r="F47" s="32">
        <f>Source!AN25</f>
        <v>613.03099999999995</v>
      </c>
      <c r="G47" s="31" t="str">
        <f>Source!DF25</f>
        <v/>
      </c>
      <c r="H47" s="33">
        <f>ROUND(Source!AE25*Source!I25, 2)</f>
        <v>2574.73</v>
      </c>
      <c r="I47" s="31"/>
      <c r="J47" s="31">
        <f>IF(Source!BS25&lt;&gt; 0, Source!BS25, 1)</f>
        <v>1</v>
      </c>
      <c r="K47" s="33">
        <f>Source!R25</f>
        <v>2574.73</v>
      </c>
      <c r="L47" s="34"/>
      <c r="R47">
        <f>H47</f>
        <v>2574.73</v>
      </c>
    </row>
    <row r="48" spans="1:26" ht="14.25" x14ac:dyDescent="0.2">
      <c r="A48" s="28"/>
      <c r="B48" s="29"/>
      <c r="C48" s="27" t="s">
        <v>207</v>
      </c>
      <c r="D48" s="30" t="s">
        <v>208</v>
      </c>
      <c r="E48" s="10">
        <f>Source!BZ25</f>
        <v>20</v>
      </c>
      <c r="F48" s="36"/>
      <c r="G48" s="31"/>
      <c r="H48" s="33">
        <f>SUM(S44:S49)</f>
        <v>514.95000000000005</v>
      </c>
      <c r="I48" s="37"/>
      <c r="J48" s="27">
        <f>Source!AT25</f>
        <v>20</v>
      </c>
      <c r="K48" s="33">
        <f>SUM(T44:T49)</f>
        <v>1863.81</v>
      </c>
      <c r="L48" s="34"/>
    </row>
    <row r="49" spans="1:33" ht="14.25" x14ac:dyDescent="0.2">
      <c r="A49" s="40"/>
      <c r="B49" s="41"/>
      <c r="C49" s="42" t="s">
        <v>209</v>
      </c>
      <c r="D49" s="43" t="s">
        <v>208</v>
      </c>
      <c r="E49" s="44">
        <f>Source!CA25</f>
        <v>15</v>
      </c>
      <c r="F49" s="45"/>
      <c r="G49" s="46"/>
      <c r="H49" s="47">
        <f>SUM(U44:U49)</f>
        <v>386.21</v>
      </c>
      <c r="I49" s="48"/>
      <c r="J49" s="42">
        <f>Source!AU25</f>
        <v>15</v>
      </c>
      <c r="K49" s="47">
        <f>SUM(V44:V49)</f>
        <v>1677.43</v>
      </c>
      <c r="L49" s="49"/>
    </row>
    <row r="50" spans="1:33" ht="15" x14ac:dyDescent="0.25">
      <c r="G50" s="120">
        <f>ROUND(Source!AC25*Source!I25, 2)+ROUND(Source!AF25*Source!I25, 2)+ROUND(Source!AD25*Source!I25, 2)+SUM(H48:H49)</f>
        <v>10220.200000000001</v>
      </c>
      <c r="H50" s="120"/>
      <c r="J50" s="120">
        <f>Source!O25+SUM(K48:K49)</f>
        <v>12860.28</v>
      </c>
      <c r="K50" s="120"/>
      <c r="L50" s="39">
        <f>Source!U25</f>
        <v>0</v>
      </c>
      <c r="O50" s="38">
        <f>G50</f>
        <v>10220.200000000001</v>
      </c>
      <c r="P50" s="38">
        <f>J50</f>
        <v>12860.28</v>
      </c>
      <c r="Q50" s="38">
        <f>L50</f>
        <v>0</v>
      </c>
      <c r="W50">
        <f>IF(Source!BI25&lt;=1,G50, 0)</f>
        <v>10220.200000000001</v>
      </c>
      <c r="X50">
        <f>IF(Source!BI25=2,G50, 0)</f>
        <v>0</v>
      </c>
      <c r="Y50">
        <f>IF(Source!BI25=3,G50, 0)</f>
        <v>0</v>
      </c>
      <c r="Z50">
        <f>IF(Source!BI25=4,G50, 0)</f>
        <v>0</v>
      </c>
    </row>
    <row r="51" spans="1:33" ht="42.75" x14ac:dyDescent="0.2">
      <c r="A51" s="28" t="str">
        <f>Source!E26</f>
        <v>3</v>
      </c>
      <c r="B51" s="29" t="str">
        <f>Source!F26</f>
        <v>с01-05-023-1</v>
      </c>
      <c r="C51" s="27" t="str">
        <f>Source!G26</f>
        <v>Очистка тротуаров, площадок отдыха и стоянок автомобилей от снега и льда вручную.</v>
      </c>
      <c r="D51" s="30" t="str">
        <f>Source!H26</f>
        <v>1000 м2</v>
      </c>
      <c r="E51" s="10">
        <f>Source!I26</f>
        <v>3.4937</v>
      </c>
      <c r="F51" s="32">
        <f>IF(Source!AK26&lt;&gt; 0, Source!AK26,Source!AL26 + Source!AM26 + Source!AO26)</f>
        <v>6553.5164000000004</v>
      </c>
      <c r="G51" s="31"/>
      <c r="H51" s="33"/>
      <c r="I51" s="31" t="str">
        <f>Source!BO26</f>
        <v/>
      </c>
      <c r="J51" s="31"/>
      <c r="K51" s="33"/>
      <c r="L51" s="34"/>
      <c r="S51">
        <f>ROUND((Source!FX26/100)*((ROUND(Source!AF26*Source!I26, 2)+ROUND(Source!AE26*Source!I26, 2))), 2)</f>
        <v>3177.05</v>
      </c>
      <c r="T51">
        <f>Source!X26</f>
        <v>4579.2</v>
      </c>
      <c r="U51">
        <f>ROUND((Source!FY26/100)*((ROUND(Source!AF26*Source!I26, 2)+ROUND(Source!AE26*Source!I26, 2))), 2)</f>
        <v>2382.79</v>
      </c>
      <c r="V51">
        <f>Source!Y26</f>
        <v>4121.28</v>
      </c>
    </row>
    <row r="52" spans="1:33" x14ac:dyDescent="0.2">
      <c r="C52" s="35" t="str">
        <f>"Объем: "&amp;Source!I26&amp;"=3493,7/"&amp;"1000"</f>
        <v>Объем: 3,4937=3493,7/1000</v>
      </c>
    </row>
    <row r="53" spans="1:33" ht="14.25" x14ac:dyDescent="0.2">
      <c r="A53" s="28"/>
      <c r="B53" s="29"/>
      <c r="C53" s="27" t="s">
        <v>210</v>
      </c>
      <c r="D53" s="30"/>
      <c r="E53" s="10"/>
      <c r="F53" s="32">
        <f>Source!AO26</f>
        <v>3861.5552000000002</v>
      </c>
      <c r="G53" s="31" t="str">
        <f>Source!DG26</f>
        <v/>
      </c>
      <c r="H53" s="33">
        <f>ROUND(Source!AF26*Source!I26, 2)</f>
        <v>13491.12</v>
      </c>
      <c r="I53" s="31"/>
      <c r="J53" s="31">
        <f>IF(Source!BA26&lt;&gt; 0, Source!BA26, 1)</f>
        <v>1</v>
      </c>
      <c r="K53" s="33">
        <f>Source!S26</f>
        <v>13491.12</v>
      </c>
      <c r="L53" s="34"/>
      <c r="R53">
        <f>H53</f>
        <v>13491.12</v>
      </c>
    </row>
    <row r="54" spans="1:33" ht="14.25" x14ac:dyDescent="0.2">
      <c r="A54" s="28"/>
      <c r="B54" s="29"/>
      <c r="C54" s="27" t="s">
        <v>55</v>
      </c>
      <c r="D54" s="30"/>
      <c r="E54" s="10"/>
      <c r="F54" s="32">
        <f>Source!AM26</f>
        <v>2691.9611999999997</v>
      </c>
      <c r="G54" s="31" t="str">
        <f>Source!DE26</f>
        <v/>
      </c>
      <c r="H54" s="33">
        <f>ROUND(Source!AD26*Source!I26, 2)</f>
        <v>9404.9</v>
      </c>
      <c r="I54" s="31"/>
      <c r="J54" s="31">
        <f>IF(Source!BB26&lt;&gt; 0, Source!BB26, 1)</f>
        <v>1</v>
      </c>
      <c r="K54" s="33">
        <f>Source!Q26</f>
        <v>9404.9</v>
      </c>
      <c r="L54" s="34"/>
    </row>
    <row r="55" spans="1:33" ht="14.25" x14ac:dyDescent="0.2">
      <c r="A55" s="28"/>
      <c r="B55" s="29"/>
      <c r="C55" s="27" t="s">
        <v>206</v>
      </c>
      <c r="D55" s="30"/>
      <c r="E55" s="10"/>
      <c r="F55" s="32">
        <f>Source!AN26</f>
        <v>685.26990000000001</v>
      </c>
      <c r="G55" s="31" t="str">
        <f>Source!DF26</f>
        <v/>
      </c>
      <c r="H55" s="33">
        <f>ROUND(Source!AE26*Source!I26, 2)</f>
        <v>2394.13</v>
      </c>
      <c r="I55" s="31"/>
      <c r="J55" s="31">
        <f>IF(Source!BS26&lt;&gt; 0, Source!BS26, 1)</f>
        <v>1</v>
      </c>
      <c r="K55" s="33">
        <f>Source!R26</f>
        <v>2394.13</v>
      </c>
      <c r="L55" s="34"/>
      <c r="R55">
        <f>H55</f>
        <v>2394.13</v>
      </c>
    </row>
    <row r="56" spans="1:33" ht="14.25" x14ac:dyDescent="0.2">
      <c r="A56" s="28"/>
      <c r="B56" s="29"/>
      <c r="C56" s="27" t="s">
        <v>207</v>
      </c>
      <c r="D56" s="30" t="s">
        <v>208</v>
      </c>
      <c r="E56" s="10">
        <f>Source!BZ26</f>
        <v>20</v>
      </c>
      <c r="F56" s="36"/>
      <c r="G56" s="31"/>
      <c r="H56" s="33">
        <f>SUM(S51:S58)</f>
        <v>3177.05</v>
      </c>
      <c r="I56" s="37"/>
      <c r="J56" s="27">
        <f>Source!AT26</f>
        <v>20</v>
      </c>
      <c r="K56" s="33">
        <f>SUM(T51:T58)</f>
        <v>4579.2</v>
      </c>
      <c r="L56" s="34"/>
    </row>
    <row r="57" spans="1:33" ht="14.25" x14ac:dyDescent="0.2">
      <c r="A57" s="28"/>
      <c r="B57" s="29"/>
      <c r="C57" s="27" t="s">
        <v>209</v>
      </c>
      <c r="D57" s="30" t="s">
        <v>208</v>
      </c>
      <c r="E57" s="10">
        <f>Source!CA26</f>
        <v>15</v>
      </c>
      <c r="F57" s="36"/>
      <c r="G57" s="31"/>
      <c r="H57" s="33">
        <f>SUM(U51:U58)</f>
        <v>2382.79</v>
      </c>
      <c r="I57" s="37"/>
      <c r="J57" s="27">
        <f>Source!AU26</f>
        <v>15</v>
      </c>
      <c r="K57" s="33">
        <f>SUM(V51:V58)</f>
        <v>4121.28</v>
      </c>
      <c r="L57" s="34"/>
    </row>
    <row r="58" spans="1:33" ht="14.25" x14ac:dyDescent="0.2">
      <c r="A58" s="40"/>
      <c r="B58" s="41"/>
      <c r="C58" s="42" t="s">
        <v>211</v>
      </c>
      <c r="D58" s="43" t="s">
        <v>212</v>
      </c>
      <c r="E58" s="44">
        <f>Source!AQ26</f>
        <v>30.32</v>
      </c>
      <c r="F58" s="50"/>
      <c r="G58" s="46" t="str">
        <f>Source!DI26</f>
        <v/>
      </c>
      <c r="H58" s="47"/>
      <c r="I58" s="46"/>
      <c r="J58" s="46"/>
      <c r="K58" s="47"/>
      <c r="L58" s="51">
        <f>Source!U26</f>
        <v>105.928984</v>
      </c>
    </row>
    <row r="59" spans="1:33" ht="15" x14ac:dyDescent="0.25">
      <c r="G59" s="124">
        <f>ROUND(Source!AC26*Source!I26, 2)+ROUND(Source!AF26*Source!I26, 2)+ROUND(Source!AD26*Source!I26, 2)+SUM(H56:H57)</f>
        <v>28455.86</v>
      </c>
      <c r="H59" s="124"/>
      <c r="J59" s="124">
        <f>Source!O26+SUM(K56:K57)</f>
        <v>31596.5</v>
      </c>
      <c r="K59" s="124"/>
      <c r="L59" s="39">
        <f>Source!U26</f>
        <v>105.928984</v>
      </c>
      <c r="O59" s="38">
        <f>G59</f>
        <v>28455.86</v>
      </c>
      <c r="P59" s="38">
        <f>J59</f>
        <v>31596.5</v>
      </c>
      <c r="Q59" s="38">
        <f>L59</f>
        <v>105.928984</v>
      </c>
      <c r="W59">
        <f>IF(Source!BI26&lt;=1,G59, 0)</f>
        <v>28455.86</v>
      </c>
      <c r="X59">
        <f>IF(Source!BI26=2,G59, 0)</f>
        <v>0</v>
      </c>
      <c r="Y59">
        <f>IF(Source!BI26=3,G59, 0)</f>
        <v>0</v>
      </c>
      <c r="Z59">
        <f>IF(Source!BI26=4,G59, 0)</f>
        <v>0</v>
      </c>
    </row>
    <row r="60" spans="1:33" x14ac:dyDescent="0.2">
      <c r="G60" s="103"/>
      <c r="H60" s="103"/>
      <c r="J60" s="103"/>
      <c r="K60" s="103"/>
    </row>
    <row r="61" spans="1:33" ht="15" x14ac:dyDescent="0.25">
      <c r="A61" s="125" t="str">
        <f>CONCATENATE("Итого по локальной смете: ", Source!G28)</f>
        <v>Итого по локальной смете: Новая локальная смета</v>
      </c>
      <c r="B61" s="125"/>
      <c r="C61" s="125"/>
      <c r="D61" s="125"/>
      <c r="E61" s="125"/>
      <c r="F61" s="125"/>
      <c r="G61" s="124">
        <f>SUM(O37:O60)</f>
        <v>229169.53000000003</v>
      </c>
      <c r="H61" s="124"/>
      <c r="I61" s="52"/>
      <c r="J61" s="124">
        <f>SUM(P37:P60)</f>
        <v>290000.32</v>
      </c>
      <c r="K61" s="124"/>
      <c r="L61" s="39">
        <f>SUM(Q37:Q60)</f>
        <v>105.928984</v>
      </c>
      <c r="AG61" s="53" t="str">
        <f>CONCATENATE("Итого по локальной смете: ", Source!G28)</f>
        <v>Итого по локальной смете: Новая локальная смета</v>
      </c>
    </row>
    <row r="62" spans="1:33" x14ac:dyDescent="0.2">
      <c r="J62" s="103"/>
      <c r="K62" s="103"/>
    </row>
    <row r="63" spans="1:33" ht="14.25" x14ac:dyDescent="0.2">
      <c r="C63" s="27" t="str">
        <f>Source!H56</f>
        <v>ОЗП</v>
      </c>
      <c r="J63" s="123">
        <f>Source!F56</f>
        <v>13491.12</v>
      </c>
      <c r="K63" s="123"/>
    </row>
    <row r="64" spans="1:33" ht="14.25" x14ac:dyDescent="0.2">
      <c r="C64" s="27" t="str">
        <f>Source!H57</f>
        <v>ЭММ, в т.ч. ЗПМ</v>
      </c>
      <c r="J64" s="123">
        <f>Source!F57</f>
        <v>196654.04</v>
      </c>
      <c r="K64" s="123"/>
    </row>
    <row r="65" spans="1:39" ht="14.25" x14ac:dyDescent="0.2">
      <c r="C65" s="27" t="str">
        <f>Source!H58</f>
        <v>Стоимость материалов</v>
      </c>
      <c r="J65" s="123">
        <f>Source!F58</f>
        <v>0</v>
      </c>
      <c r="K65" s="123"/>
    </row>
    <row r="66" spans="1:39" ht="14.25" x14ac:dyDescent="0.2">
      <c r="C66" s="27" t="str">
        <f>Source!H59</f>
        <v>НР</v>
      </c>
      <c r="J66" s="123">
        <f>Source!F59</f>
        <v>42029.03</v>
      </c>
      <c r="K66" s="123"/>
    </row>
    <row r="67" spans="1:39" ht="14.25" x14ac:dyDescent="0.2">
      <c r="C67" s="27" t="str">
        <f>Source!H60</f>
        <v>СП</v>
      </c>
      <c r="J67" s="123">
        <f>Source!F60</f>
        <v>37826.129999999997</v>
      </c>
      <c r="K67" s="123"/>
    </row>
    <row r="68" spans="1:39" ht="14.25" x14ac:dyDescent="0.2">
      <c r="C68" s="27" t="str">
        <f>Source!H61</f>
        <v>Итого</v>
      </c>
      <c r="D68" s="122" t="str">
        <f>"="&amp;Source!F56&amp;"+"&amp;""&amp;Source!F57&amp;"+"&amp;""&amp;Source!F58&amp;"+"&amp;""&amp;Source!F59&amp;"+"&amp;""&amp;Source!F60&amp;""</f>
        <v>=13491,12+196654,04+0+42029,03+37826,13</v>
      </c>
      <c r="E68" s="115"/>
      <c r="F68" s="115"/>
      <c r="G68" s="115"/>
      <c r="H68" s="115"/>
      <c r="I68" s="115"/>
      <c r="J68" s="123">
        <f>Source!F61</f>
        <v>290000.32</v>
      </c>
      <c r="K68" s="123"/>
      <c r="AM68" s="55" t="str">
        <f>"="&amp;Source!F56&amp;"+"&amp;""&amp;Source!F57&amp;"+"&amp;""&amp;Source!F58&amp;"+"&amp;""&amp;Source!F59&amp;"+"&amp;""&amp;Source!F60&amp;""</f>
        <v>=13491,12+196654,04+0+42029,03+37826,13</v>
      </c>
    </row>
    <row r="74" spans="1:39" ht="14.25" x14ac:dyDescent="0.2">
      <c r="A74" s="126" t="s">
        <v>213</v>
      </c>
      <c r="B74" s="126"/>
      <c r="C74" s="56" t="str">
        <f>IF(Source!AC12&lt;&gt;"", Source!AC12," ")</f>
        <v>ведущий специалист - эксперт</v>
      </c>
      <c r="D74" s="57"/>
      <c r="E74" s="56"/>
      <c r="F74" s="56"/>
      <c r="G74" s="57"/>
      <c r="H74" s="56" t="str">
        <f>IF(Source!AB12&lt;&gt;"", Source!AB12," ")</f>
        <v>Пегей С.В.</v>
      </c>
      <c r="I74" s="56"/>
      <c r="J74" s="56"/>
      <c r="K74" s="56"/>
      <c r="L74" s="11"/>
    </row>
    <row r="75" spans="1:39" ht="14.25" x14ac:dyDescent="0.2">
      <c r="A75" s="57"/>
      <c r="B75" s="57"/>
      <c r="C75" s="58" t="s">
        <v>214</v>
      </c>
      <c r="D75" s="57"/>
      <c r="E75" s="127" t="s">
        <v>215</v>
      </c>
      <c r="F75" s="127"/>
      <c r="G75" s="57"/>
      <c r="H75" s="127" t="s">
        <v>216</v>
      </c>
      <c r="I75" s="127"/>
      <c r="J75" s="127"/>
      <c r="K75" s="127"/>
      <c r="L75" s="11"/>
    </row>
    <row r="76" spans="1:39" ht="14.25" x14ac:dyDescent="0.2">
      <c r="A76" s="57"/>
      <c r="B76" s="59"/>
      <c r="C76" s="57"/>
      <c r="D76" s="59"/>
      <c r="E76" s="57"/>
      <c r="F76" s="57"/>
      <c r="G76" s="57"/>
      <c r="H76" s="57"/>
      <c r="I76" s="57"/>
      <c r="J76" s="57"/>
      <c r="K76" s="57"/>
      <c r="L76" s="11"/>
    </row>
    <row r="77" spans="1:39" ht="14.25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11"/>
    </row>
    <row r="78" spans="1:39" ht="14.25" x14ac:dyDescent="0.2">
      <c r="A78" s="126" t="s">
        <v>218</v>
      </c>
      <c r="B78" s="126"/>
      <c r="C78" s="56" t="str">
        <f>IF(Source!AE12&lt;&gt;"", Source!AE12," ")</f>
        <v>начальник отдела строительства</v>
      </c>
      <c r="D78" s="57"/>
      <c r="E78" s="56"/>
      <c r="F78" s="56"/>
      <c r="G78" s="57"/>
      <c r="H78" s="56" t="str">
        <f>IF(Source!AD12&lt;&gt;"", Source!AD12," ")</f>
        <v>Иванова Н.Г.</v>
      </c>
      <c r="I78" s="56"/>
      <c r="J78" s="56"/>
      <c r="K78" s="56"/>
      <c r="L78" s="11"/>
    </row>
    <row r="79" spans="1:39" ht="14.25" x14ac:dyDescent="0.2">
      <c r="A79" s="57"/>
      <c r="B79" s="57"/>
      <c r="C79" s="58" t="s">
        <v>214</v>
      </c>
      <c r="D79" s="57"/>
      <c r="E79" s="127" t="s">
        <v>215</v>
      </c>
      <c r="F79" s="127"/>
      <c r="G79" s="57"/>
      <c r="H79" s="127" t="s">
        <v>216</v>
      </c>
      <c r="I79" s="127"/>
      <c r="J79" s="127"/>
      <c r="K79" s="127"/>
      <c r="L79" s="11"/>
    </row>
    <row r="80" spans="1:39" ht="14.25" x14ac:dyDescent="0.2">
      <c r="A80" s="60"/>
      <c r="B80" s="60"/>
      <c r="C80" s="57"/>
      <c r="D80" s="61"/>
      <c r="E80" s="57"/>
      <c r="F80" s="60"/>
      <c r="G80" s="60"/>
      <c r="H80" s="60"/>
      <c r="I80" s="60"/>
      <c r="J80" s="60"/>
      <c r="K80" s="60"/>
      <c r="L80" s="11"/>
    </row>
  </sheetData>
  <mergeCells count="70">
    <mergeCell ref="A78:B78"/>
    <mergeCell ref="E79:F79"/>
    <mergeCell ref="H79:K79"/>
    <mergeCell ref="A74:B74"/>
    <mergeCell ref="E75:F75"/>
    <mergeCell ref="H75:K75"/>
    <mergeCell ref="D68:I68"/>
    <mergeCell ref="J68:K68"/>
    <mergeCell ref="G50:H50"/>
    <mergeCell ref="J50:K50"/>
    <mergeCell ref="G59:H59"/>
    <mergeCell ref="J59:K59"/>
    <mergeCell ref="A61:F61"/>
    <mergeCell ref="J61:K61"/>
    <mergeCell ref="G61:H61"/>
    <mergeCell ref="J63:K63"/>
    <mergeCell ref="J64:K64"/>
    <mergeCell ref="J65:K65"/>
    <mergeCell ref="J66:K66"/>
    <mergeCell ref="J67:K67"/>
    <mergeCell ref="G43:H43"/>
    <mergeCell ref="J43:K43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A34:L34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86"/>
  <sheetViews>
    <sheetView zoomScale="99" zoomScaleNormal="99" workbookViewId="0"/>
  </sheetViews>
  <sheetFormatPr defaultRowHeight="12.75" x14ac:dyDescent="0.2"/>
  <cols>
    <col min="1" max="2" width="5.7109375" customWidth="1"/>
    <col min="3" max="3" width="11.7109375" customWidth="1"/>
    <col min="4" max="4" width="40.7109375" customWidth="1"/>
    <col min="5" max="6" width="10.7109375" customWidth="1"/>
    <col min="7" max="9" width="12.7109375" customWidth="1"/>
    <col min="10" max="10" width="17.7109375" customWidth="1"/>
    <col min="11" max="11" width="8.7109375" customWidth="1"/>
    <col min="12" max="12" width="12.7109375" customWidth="1"/>
    <col min="13" max="13" width="8.7109375" customWidth="1"/>
    <col min="15" max="29" width="0" hidden="1" customWidth="1"/>
    <col min="30" max="30" width="110.7109375" hidden="1" customWidth="1"/>
    <col min="31" max="32" width="0" hidden="1" customWidth="1"/>
    <col min="33" max="33" width="96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5" x14ac:dyDescent="0.25">
      <c r="A2" s="11"/>
      <c r="B2" s="11"/>
      <c r="C2" s="11"/>
      <c r="D2" s="52"/>
      <c r="E2" s="52"/>
      <c r="F2" s="52"/>
      <c r="G2" s="11"/>
      <c r="H2" s="11"/>
      <c r="I2" s="11"/>
      <c r="J2" s="128" t="s">
        <v>219</v>
      </c>
      <c r="K2" s="128"/>
      <c r="L2" s="128"/>
      <c r="M2" s="128"/>
    </row>
    <row r="3" spans="1:30" ht="14.25" x14ac:dyDescent="0.2">
      <c r="A3" s="11"/>
      <c r="B3" s="11"/>
      <c r="C3" s="11"/>
      <c r="D3" s="11"/>
      <c r="E3" s="11"/>
      <c r="F3" s="11"/>
      <c r="G3" s="11"/>
      <c r="H3" s="11"/>
      <c r="I3" s="128" t="s">
        <v>220</v>
      </c>
      <c r="J3" s="129"/>
      <c r="K3" s="129"/>
      <c r="L3" s="129"/>
      <c r="M3" s="129"/>
    </row>
    <row r="4" spans="1:30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28" t="s">
        <v>221</v>
      </c>
      <c r="K4" s="128"/>
      <c r="L4" s="128"/>
      <c r="M4" s="128"/>
    </row>
    <row r="5" spans="1:30" ht="14.2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30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30" t="s">
        <v>222</v>
      </c>
      <c r="L6" s="130"/>
      <c r="M6" s="130"/>
    </row>
    <row r="7" spans="1:30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0" t="s">
        <v>223</v>
      </c>
      <c r="K7" s="131" t="s">
        <v>224</v>
      </c>
      <c r="L7" s="131"/>
      <c r="M7" s="131"/>
    </row>
    <row r="8" spans="1:30" ht="14.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30" t="str">
        <f>IF(Source!AT15 &lt;&gt; "", Source!AT15, "")</f>
        <v/>
      </c>
      <c r="L8" s="130"/>
      <c r="M8" s="130"/>
    </row>
    <row r="9" spans="1:30" ht="14.25" x14ac:dyDescent="0.2">
      <c r="A9" s="105" t="s">
        <v>225</v>
      </c>
      <c r="B9" s="105"/>
      <c r="C9" s="132" t="str">
        <f>IF(Source!BA15 &lt;&gt; "", Source!BA15, IF(Source!AU15 &lt;&gt; "", Source!AU15, ""))</f>
        <v/>
      </c>
      <c r="D9" s="132"/>
      <c r="E9" s="132"/>
      <c r="F9" s="132"/>
      <c r="G9" s="132"/>
      <c r="H9" s="132"/>
      <c r="I9" s="132"/>
      <c r="J9" s="10" t="s">
        <v>226</v>
      </c>
      <c r="K9" s="130"/>
      <c r="L9" s="130"/>
      <c r="M9" s="130"/>
      <c r="AD9" s="42" t="str">
        <f>IF(Source!BA15 &lt;&gt; "", Source!BA15, IF(Source!AU15 &lt;&gt; "", Source!AU15, ""))</f>
        <v/>
      </c>
    </row>
    <row r="10" spans="1:30" ht="14.25" x14ac:dyDescent="0.2">
      <c r="A10" s="11"/>
      <c r="B10" s="11"/>
      <c r="C10" s="133" t="s">
        <v>227</v>
      </c>
      <c r="D10" s="133"/>
      <c r="E10" s="133"/>
      <c r="F10" s="133"/>
      <c r="G10" s="133"/>
      <c r="H10" s="133"/>
      <c r="I10" s="133"/>
      <c r="J10" s="11"/>
      <c r="K10" s="130" t="str">
        <f>IF(Source!AK15 &lt;&gt; "", Source!AK15, "")</f>
        <v/>
      </c>
      <c r="L10" s="130"/>
      <c r="M10" s="130"/>
    </row>
    <row r="11" spans="1:30" ht="14.25" x14ac:dyDescent="0.2">
      <c r="A11" s="105" t="s">
        <v>228</v>
      </c>
      <c r="B11" s="105"/>
      <c r="C11" s="132" t="str">
        <f>IF(Source!AX12&lt;&gt; "", Source!AX12, IF(Source!AJ12 &lt;&gt; "", Source!AJ12, ""))</f>
        <v/>
      </c>
      <c r="D11" s="132"/>
      <c r="E11" s="132"/>
      <c r="F11" s="132"/>
      <c r="G11" s="132"/>
      <c r="H11" s="132"/>
      <c r="I11" s="132"/>
      <c r="J11" s="10" t="s">
        <v>226</v>
      </c>
      <c r="K11" s="130"/>
      <c r="L11" s="130"/>
      <c r="M11" s="130"/>
      <c r="AD11" s="42" t="str">
        <f>IF(Source!AX12&lt;&gt; "", Source!AX12, IF(Source!AJ12 &lt;&gt; "", Source!AJ12, ""))</f>
        <v/>
      </c>
    </row>
    <row r="12" spans="1:30" ht="14.25" x14ac:dyDescent="0.2">
      <c r="A12" s="11"/>
      <c r="B12" s="11"/>
      <c r="C12" s="133" t="s">
        <v>227</v>
      </c>
      <c r="D12" s="133"/>
      <c r="E12" s="133"/>
      <c r="F12" s="133"/>
      <c r="G12" s="133"/>
      <c r="H12" s="133"/>
      <c r="I12" s="133"/>
      <c r="J12" s="11"/>
      <c r="K12" s="130" t="str">
        <f>IF(Source!AO15 &lt;&gt; "", Source!AO15, "")</f>
        <v/>
      </c>
      <c r="L12" s="130"/>
      <c r="M12" s="130"/>
    </row>
    <row r="13" spans="1:30" ht="14.25" x14ac:dyDescent="0.2">
      <c r="A13" s="105" t="s">
        <v>229</v>
      </c>
      <c r="B13" s="105"/>
      <c r="C13" s="132" t="str">
        <f>IF(Source!AY12&lt;&gt; "", Source!AY12, IF(Source!AN12 &lt;&gt; "", Source!AN12, ""))</f>
        <v/>
      </c>
      <c r="D13" s="132"/>
      <c r="E13" s="132"/>
      <c r="F13" s="132"/>
      <c r="G13" s="132"/>
      <c r="H13" s="132"/>
      <c r="I13" s="132"/>
      <c r="J13" s="10" t="s">
        <v>226</v>
      </c>
      <c r="K13" s="130"/>
      <c r="L13" s="130"/>
      <c r="M13" s="130"/>
      <c r="AD13" s="42" t="str">
        <f>IF(Source!AY12&lt;&gt; "", Source!AY12, IF(Source!AN12 &lt;&gt; "", Source!AN12, ""))</f>
        <v/>
      </c>
    </row>
    <row r="14" spans="1:30" ht="14.25" x14ac:dyDescent="0.2">
      <c r="A14" s="11"/>
      <c r="B14" s="11"/>
      <c r="C14" s="133" t="s">
        <v>227</v>
      </c>
      <c r="D14" s="133"/>
      <c r="E14" s="133"/>
      <c r="F14" s="133"/>
      <c r="G14" s="133"/>
      <c r="H14" s="133"/>
      <c r="I14" s="133"/>
      <c r="J14" s="11"/>
      <c r="K14" s="130" t="str">
        <f>IF(Source!CO15 &lt;&gt; "", Source!CO15, "")</f>
        <v/>
      </c>
      <c r="L14" s="130"/>
      <c r="M14" s="130"/>
    </row>
    <row r="15" spans="1:30" ht="14.25" x14ac:dyDescent="0.2">
      <c r="A15" s="105" t="s">
        <v>230</v>
      </c>
      <c r="B15" s="105"/>
      <c r="C15" s="132" t="s">
        <v>5</v>
      </c>
      <c r="D15" s="132"/>
      <c r="E15" s="132"/>
      <c r="F15" s="132"/>
      <c r="G15" s="132"/>
      <c r="H15" s="132"/>
      <c r="I15" s="132"/>
      <c r="J15" s="11"/>
      <c r="K15" s="130"/>
      <c r="L15" s="130"/>
      <c r="M15" s="130"/>
      <c r="AD15" s="42" t="s">
        <v>5</v>
      </c>
    </row>
    <row r="16" spans="1:30" ht="14.25" x14ac:dyDescent="0.2">
      <c r="A16" s="11"/>
      <c r="B16" s="11"/>
      <c r="C16" s="133" t="s">
        <v>231</v>
      </c>
      <c r="D16" s="133"/>
      <c r="E16" s="133"/>
      <c r="F16" s="133"/>
      <c r="G16" s="133"/>
      <c r="H16" s="133"/>
      <c r="I16" s="133"/>
      <c r="J16" s="11"/>
      <c r="K16" s="130" t="str">
        <f>IF(Source!CP15 &lt;&gt; "", Source!CP15, "")</f>
        <v/>
      </c>
      <c r="L16" s="130"/>
      <c r="M16" s="130"/>
    </row>
    <row r="17" spans="1:30" ht="14.25" x14ac:dyDescent="0.2">
      <c r="A17" s="105" t="s">
        <v>232</v>
      </c>
      <c r="B17" s="105"/>
      <c r="C17" s="132" t="str">
        <f>Source!G12</f>
        <v>зимнее содержание Бишево</v>
      </c>
      <c r="D17" s="132"/>
      <c r="E17" s="132"/>
      <c r="F17" s="132"/>
      <c r="G17" s="132"/>
      <c r="H17" s="132"/>
      <c r="I17" s="132"/>
      <c r="J17" s="11"/>
      <c r="K17" s="130"/>
      <c r="L17" s="130"/>
      <c r="M17" s="130"/>
      <c r="AD17" s="42" t="str">
        <f>Source!G12</f>
        <v>зимнее содержание Бишево</v>
      </c>
    </row>
    <row r="18" spans="1:30" ht="14.25" x14ac:dyDescent="0.2">
      <c r="A18" s="11"/>
      <c r="B18" s="11"/>
      <c r="C18" s="133" t="s">
        <v>233</v>
      </c>
      <c r="D18" s="133"/>
      <c r="E18" s="133"/>
      <c r="F18" s="133"/>
      <c r="G18" s="133"/>
      <c r="H18" s="133"/>
      <c r="I18" s="133"/>
      <c r="J18" s="11"/>
      <c r="K18" s="11"/>
      <c r="L18" s="11"/>
      <c r="M18" s="11"/>
    </row>
    <row r="19" spans="1:30" ht="14.25" x14ac:dyDescent="0.2">
      <c r="A19" s="11"/>
      <c r="B19" s="11"/>
      <c r="C19" s="11"/>
      <c r="D19" s="11"/>
      <c r="E19" s="11"/>
      <c r="F19" s="11"/>
      <c r="G19" s="11"/>
      <c r="H19" s="119" t="s">
        <v>234</v>
      </c>
      <c r="I19" s="119"/>
      <c r="J19" s="134"/>
      <c r="K19" s="130" t="str">
        <f>IF(Source!CQ15 &lt;&gt; "", Source!CQ15, "")</f>
        <v/>
      </c>
      <c r="L19" s="130"/>
      <c r="M19" s="130"/>
    </row>
    <row r="20" spans="1:30" ht="14.25" x14ac:dyDescent="0.2">
      <c r="A20" s="11"/>
      <c r="B20" s="11"/>
      <c r="C20" s="11"/>
      <c r="D20" s="11"/>
      <c r="E20" s="11"/>
      <c r="F20" s="11"/>
      <c r="G20" s="11"/>
      <c r="H20" s="119" t="s">
        <v>235</v>
      </c>
      <c r="I20" s="135"/>
      <c r="J20" s="62" t="s">
        <v>236</v>
      </c>
      <c r="K20" s="130" t="str">
        <f>IF(Source!CR15 &lt;&gt; "", Source!CR15, "")</f>
        <v/>
      </c>
      <c r="L20" s="130"/>
      <c r="M20" s="130"/>
    </row>
    <row r="21" spans="1:30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23" t="s">
        <v>237</v>
      </c>
      <c r="K21" s="136" t="str">
        <f>IF(Source!CS15 &lt;&gt; 0, Source!CS15, "")</f>
        <v/>
      </c>
      <c r="L21" s="136"/>
      <c r="M21" s="136"/>
    </row>
    <row r="22" spans="1:30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0" t="s">
        <v>238</v>
      </c>
      <c r="K22" s="130" t="str">
        <f>IF(Source!CT15 &lt;&gt; "", Source!CT15, "")</f>
        <v/>
      </c>
      <c r="L22" s="130"/>
      <c r="M22" s="130"/>
    </row>
    <row r="23" spans="1:30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30" ht="14.25" x14ac:dyDescent="0.2">
      <c r="A24" s="11"/>
      <c r="B24" s="11"/>
      <c r="C24" s="11"/>
      <c r="D24" s="11"/>
      <c r="E24" s="11"/>
      <c r="F24" s="11"/>
      <c r="G24" s="137" t="s">
        <v>239</v>
      </c>
      <c r="H24" s="139" t="s">
        <v>240</v>
      </c>
      <c r="I24" s="139" t="s">
        <v>241</v>
      </c>
      <c r="J24" s="141"/>
      <c r="K24" s="11"/>
      <c r="L24" s="11"/>
      <c r="M24" s="11"/>
    </row>
    <row r="25" spans="1:30" ht="14.25" x14ac:dyDescent="0.2">
      <c r="A25" s="11"/>
      <c r="B25" s="11"/>
      <c r="C25" s="11"/>
      <c r="D25" s="11"/>
      <c r="E25" s="11"/>
      <c r="F25" s="11"/>
      <c r="G25" s="138"/>
      <c r="H25" s="140"/>
      <c r="I25" s="63" t="s">
        <v>242</v>
      </c>
      <c r="J25" s="64" t="s">
        <v>243</v>
      </c>
      <c r="K25" s="11"/>
      <c r="L25" s="11"/>
      <c r="M25" s="11"/>
    </row>
    <row r="26" spans="1:30" ht="14.25" x14ac:dyDescent="0.2">
      <c r="A26" s="11"/>
      <c r="B26" s="11"/>
      <c r="C26" s="11"/>
      <c r="D26" s="11"/>
      <c r="E26" s="11"/>
      <c r="F26" s="11"/>
      <c r="G26" s="23" t="str">
        <f>IF(Source!CN15 &lt;&gt; "", Source!CN15, "")</f>
        <v/>
      </c>
      <c r="H26" s="65">
        <v>43826.694143518522</v>
      </c>
      <c r="I26" s="23"/>
      <c r="J26" s="24"/>
      <c r="K26" s="11"/>
      <c r="L26" s="11"/>
      <c r="M26" s="11"/>
    </row>
    <row r="27" spans="1:30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30" ht="18" x14ac:dyDescent="0.25">
      <c r="A28" s="11"/>
      <c r="B28" s="142" t="s">
        <v>244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0" ht="18" x14ac:dyDescent="0.25">
      <c r="A29" s="11"/>
      <c r="B29" s="142" t="s">
        <v>245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0" ht="14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30" x14ac:dyDescent="0.2">
      <c r="A31" s="143" t="s">
        <v>248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30" ht="14.25" x14ac:dyDescent="0.2">
      <c r="A32" s="144" t="s">
        <v>246</v>
      </c>
      <c r="B32" s="144"/>
      <c r="C32" s="144" t="s">
        <v>194</v>
      </c>
      <c r="D32" s="144" t="s">
        <v>195</v>
      </c>
      <c r="E32" s="144" t="s">
        <v>196</v>
      </c>
      <c r="F32" s="144" t="s">
        <v>197</v>
      </c>
      <c r="G32" s="144" t="s">
        <v>198</v>
      </c>
      <c r="H32" s="144" t="s">
        <v>199</v>
      </c>
      <c r="I32" s="144" t="s">
        <v>200</v>
      </c>
      <c r="J32" s="144" t="s">
        <v>201</v>
      </c>
      <c r="K32" s="144" t="s">
        <v>202</v>
      </c>
      <c r="L32" s="144" t="s">
        <v>203</v>
      </c>
      <c r="M32" s="144" t="s">
        <v>204</v>
      </c>
    </row>
    <row r="33" spans="1:26" ht="57" x14ac:dyDescent="0.2">
      <c r="A33" s="22" t="s">
        <v>193</v>
      </c>
      <c r="B33" s="22" t="s">
        <v>247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26" ht="14.25" x14ac:dyDescent="0.2">
      <c r="A34" s="66">
        <v>1</v>
      </c>
      <c r="B34" s="66">
        <v>2</v>
      </c>
      <c r="C34" s="66">
        <v>3</v>
      </c>
      <c r="D34" s="66">
        <v>4</v>
      </c>
      <c r="E34" s="66">
        <v>5</v>
      </c>
      <c r="F34" s="66">
        <v>6</v>
      </c>
      <c r="G34" s="66">
        <v>7</v>
      </c>
      <c r="H34" s="66">
        <v>8</v>
      </c>
      <c r="I34" s="66">
        <v>9</v>
      </c>
      <c r="J34" s="66">
        <v>10</v>
      </c>
      <c r="K34" s="66">
        <v>11</v>
      </c>
      <c r="L34" s="66">
        <v>12</v>
      </c>
      <c r="M34" s="66">
        <v>13</v>
      </c>
    </row>
    <row r="35" spans="1:26" ht="28.5" x14ac:dyDescent="0.2">
      <c r="A35" s="28">
        <v>1</v>
      </c>
      <c r="B35" s="28" t="str">
        <f>Source!E24</f>
        <v>1</v>
      </c>
      <c r="C35" s="29" t="str">
        <f>Source!F24</f>
        <v>с01-05-004-1</v>
      </c>
      <c r="D35" s="27" t="str">
        <f>Source!G24</f>
        <v>Очистка дороги от снега плужными снегоочистителями на базе трактора.</v>
      </c>
      <c r="E35" s="30" t="str">
        <f>Source!H24</f>
        <v>10000 м2</v>
      </c>
      <c r="F35" s="10">
        <f>Source!I24</f>
        <v>362</v>
      </c>
      <c r="G35" s="32">
        <f>IF(Source!AK24&lt;&gt; 0, Source!AK24,Source!AL24 + Source!AM24 + Source!AO24)</f>
        <v>491.51959999999997</v>
      </c>
      <c r="H35" s="31"/>
      <c r="I35" s="33"/>
      <c r="J35" s="31" t="str">
        <f>Source!BO24</f>
        <v/>
      </c>
      <c r="K35" s="31"/>
      <c r="L35" s="33"/>
      <c r="M35" s="34"/>
      <c r="S35">
        <f>ROUND((Source!FX24/100)*((ROUND(Source!AF24*Source!I24, 2)+ROUND(Source!AE24*Source!I24, 2))), 2)</f>
        <v>7179.07</v>
      </c>
      <c r="T35">
        <f>Source!X24</f>
        <v>35586.019999999997</v>
      </c>
      <c r="U35">
        <f>ROUND((Source!FY24/100)*((ROUND(Source!AF24*Source!I24, 2)+ROUND(Source!AE24*Source!I24, 2))), 2)</f>
        <v>5384.3</v>
      </c>
      <c r="V35">
        <f>Source!Y24</f>
        <v>32027.42</v>
      </c>
    </row>
    <row r="36" spans="1:26" x14ac:dyDescent="0.2">
      <c r="D36" s="35" t="str">
        <f>"Объем: "&amp;Source!I24&amp;"=3620000/"&amp;"10000"</f>
        <v>Объем: 362=3620000/10000</v>
      </c>
    </row>
    <row r="37" spans="1:26" ht="14.25" x14ac:dyDescent="0.2">
      <c r="A37" s="28"/>
      <c r="B37" s="28"/>
      <c r="C37" s="29"/>
      <c r="D37" s="27" t="s">
        <v>55</v>
      </c>
      <c r="E37" s="30"/>
      <c r="F37" s="10"/>
      <c r="G37" s="32">
        <f>Source!AM24</f>
        <v>491.51959999999997</v>
      </c>
      <c r="H37" s="31" t="str">
        <f>Source!DE24</f>
        <v/>
      </c>
      <c r="I37" s="33">
        <f>ROUND(Source!AD24*Source!I24, 2)</f>
        <v>177930.1</v>
      </c>
      <c r="J37" s="31"/>
      <c r="K37" s="31">
        <f>IF(Source!BB24&lt;&gt; 0, Source!BB24, 1)</f>
        <v>1</v>
      </c>
      <c r="L37" s="33">
        <f>Source!Q24</f>
        <v>177930.1</v>
      </c>
      <c r="M37" s="34"/>
    </row>
    <row r="38" spans="1:26" ht="14.25" x14ac:dyDescent="0.2">
      <c r="A38" s="28"/>
      <c r="B38" s="28"/>
      <c r="C38" s="29"/>
      <c r="D38" s="27" t="s">
        <v>206</v>
      </c>
      <c r="E38" s="30"/>
      <c r="F38" s="10"/>
      <c r="G38" s="32">
        <f>Source!AN24</f>
        <v>99.1584</v>
      </c>
      <c r="H38" s="31" t="str">
        <f>Source!DF24</f>
        <v/>
      </c>
      <c r="I38" s="33">
        <f>ROUND(Source!AE24*Source!I24, 2)</f>
        <v>35895.339999999997</v>
      </c>
      <c r="J38" s="31"/>
      <c r="K38" s="31">
        <f>IF(Source!BS24&lt;&gt; 0, Source!BS24, 1)</f>
        <v>1</v>
      </c>
      <c r="L38" s="33">
        <f>Source!R24</f>
        <v>35895.339999999997</v>
      </c>
      <c r="M38" s="34"/>
      <c r="R38">
        <f>I38</f>
        <v>35895.339999999997</v>
      </c>
    </row>
    <row r="39" spans="1:26" ht="14.25" x14ac:dyDescent="0.2">
      <c r="A39" s="28"/>
      <c r="B39" s="28"/>
      <c r="C39" s="29"/>
      <c r="D39" s="27" t="s">
        <v>207</v>
      </c>
      <c r="E39" s="30" t="s">
        <v>208</v>
      </c>
      <c r="F39" s="10">
        <f>Source!BZ24</f>
        <v>20</v>
      </c>
      <c r="G39" s="36"/>
      <c r="H39" s="31"/>
      <c r="I39" s="33">
        <f>SUM(S35:S40)</f>
        <v>7179.07</v>
      </c>
      <c r="J39" s="37"/>
      <c r="K39" s="27">
        <f>Source!AT24</f>
        <v>20</v>
      </c>
      <c r="L39" s="33">
        <f>SUM(T35:T40)</f>
        <v>35586.019999999997</v>
      </c>
      <c r="M39" s="34"/>
    </row>
    <row r="40" spans="1:26" ht="14.25" x14ac:dyDescent="0.2">
      <c r="A40" s="40"/>
      <c r="B40" s="40"/>
      <c r="C40" s="41"/>
      <c r="D40" s="42" t="s">
        <v>209</v>
      </c>
      <c r="E40" s="43" t="s">
        <v>208</v>
      </c>
      <c r="F40" s="44">
        <f>Source!CA24</f>
        <v>15</v>
      </c>
      <c r="G40" s="45"/>
      <c r="H40" s="46"/>
      <c r="I40" s="47">
        <f>SUM(U35:U40)</f>
        <v>5384.3</v>
      </c>
      <c r="J40" s="48"/>
      <c r="K40" s="42">
        <f>Source!AU24</f>
        <v>15</v>
      </c>
      <c r="L40" s="47">
        <f>SUM(V35:V40)</f>
        <v>32027.42</v>
      </c>
      <c r="M40" s="49"/>
    </row>
    <row r="41" spans="1:26" ht="15" x14ac:dyDescent="0.25">
      <c r="H41" s="120">
        <f>ROUND(Source!AC24*Source!I24, 2)+ROUND(Source!AF24*Source!I24, 2)+ROUND(Source!AD24*Source!I24, 2)+SUM(I39:I40)</f>
        <v>190493.47</v>
      </c>
      <c r="I41" s="120"/>
      <c r="K41" s="120">
        <f>Source!O24+SUM(L39:L40)</f>
        <v>245543.54</v>
      </c>
      <c r="L41" s="120"/>
      <c r="M41" s="39">
        <f>Source!U24</f>
        <v>0</v>
      </c>
      <c r="O41" s="38">
        <f>H41</f>
        <v>190493.47</v>
      </c>
      <c r="P41" s="38">
        <f>K41</f>
        <v>245543.54</v>
      </c>
      <c r="Q41" s="38">
        <f>M41</f>
        <v>0</v>
      </c>
      <c r="W41">
        <f>IF(Source!BI24&lt;=1,H41, 0)</f>
        <v>190493.47</v>
      </c>
      <c r="X41">
        <f>IF(Source!BI24=2,H41, 0)</f>
        <v>0</v>
      </c>
      <c r="Y41">
        <f>IF(Source!BI24=3,H41, 0)</f>
        <v>0</v>
      </c>
      <c r="Z41">
        <f>IF(Source!BI24=4,H41, 0)</f>
        <v>0</v>
      </c>
    </row>
    <row r="42" spans="1:26" ht="28.5" x14ac:dyDescent="0.2">
      <c r="A42" s="28">
        <v>2</v>
      </c>
      <c r="B42" s="28" t="str">
        <f>Source!E25</f>
        <v>2</v>
      </c>
      <c r="C42" s="29" t="str">
        <f>Source!F25</f>
        <v>с01-05-009-2</v>
      </c>
      <c r="D42" s="27" t="str">
        <f>Source!G25</f>
        <v>Уборка снежных валов бульдозерами  108 л.с.</v>
      </c>
      <c r="E42" s="30" t="str">
        <f>Source!H25</f>
        <v>10 КМ ВАЛА</v>
      </c>
      <c r="F42" s="10">
        <f>Source!I25</f>
        <v>4.2</v>
      </c>
      <c r="G42" s="32">
        <f>IF(Source!AK25&lt;&gt; 0, Source!AK25,Source!AL25 + Source!AM25 + Source!AO25)</f>
        <v>2218.819</v>
      </c>
      <c r="H42" s="31"/>
      <c r="I42" s="33"/>
      <c r="J42" s="31" t="str">
        <f>Source!BO25</f>
        <v/>
      </c>
      <c r="K42" s="31"/>
      <c r="L42" s="33"/>
      <c r="M42" s="34"/>
      <c r="S42">
        <f>ROUND((Source!FX25/100)*((ROUND(Source!AF25*Source!I25, 2)+ROUND(Source!AE25*Source!I25, 2))), 2)</f>
        <v>514.95000000000005</v>
      </c>
      <c r="T42">
        <f>Source!X25</f>
        <v>1863.81</v>
      </c>
      <c r="U42">
        <f>ROUND((Source!FY25/100)*((ROUND(Source!AF25*Source!I25, 2)+ROUND(Source!AE25*Source!I25, 2))), 2)</f>
        <v>386.21</v>
      </c>
      <c r="V42">
        <f>Source!Y25</f>
        <v>1677.43</v>
      </c>
    </row>
    <row r="43" spans="1:26" x14ac:dyDescent="0.2">
      <c r="D43" s="35" t="str">
        <f>"Объем: "&amp;Source!I25&amp;"=42/"&amp;"10"</f>
        <v>Объем: 4,2=42/10</v>
      </c>
    </row>
    <row r="44" spans="1:26" ht="14.25" x14ac:dyDescent="0.2">
      <c r="A44" s="28"/>
      <c r="B44" s="28"/>
      <c r="C44" s="29"/>
      <c r="D44" s="27" t="s">
        <v>55</v>
      </c>
      <c r="E44" s="30"/>
      <c r="F44" s="10"/>
      <c r="G44" s="32">
        <f>Source!AM25</f>
        <v>2218.819</v>
      </c>
      <c r="H44" s="31" t="str">
        <f>Source!DE25</f>
        <v/>
      </c>
      <c r="I44" s="33">
        <f>ROUND(Source!AD25*Source!I25, 2)</f>
        <v>9319.0400000000009</v>
      </c>
      <c r="J44" s="31"/>
      <c r="K44" s="31">
        <f>IF(Source!BB25&lt;&gt; 0, Source!BB25, 1)</f>
        <v>1</v>
      </c>
      <c r="L44" s="33">
        <f>Source!Q25</f>
        <v>9319.0400000000009</v>
      </c>
      <c r="M44" s="34"/>
    </row>
    <row r="45" spans="1:26" ht="14.25" x14ac:dyDescent="0.2">
      <c r="A45" s="28"/>
      <c r="B45" s="28"/>
      <c r="C45" s="29"/>
      <c r="D45" s="27" t="s">
        <v>206</v>
      </c>
      <c r="E45" s="30"/>
      <c r="F45" s="10"/>
      <c r="G45" s="32">
        <f>Source!AN25</f>
        <v>613.03099999999995</v>
      </c>
      <c r="H45" s="31" t="str">
        <f>Source!DF25</f>
        <v/>
      </c>
      <c r="I45" s="33">
        <f>ROUND(Source!AE25*Source!I25, 2)</f>
        <v>2574.73</v>
      </c>
      <c r="J45" s="31"/>
      <c r="K45" s="31">
        <f>IF(Source!BS25&lt;&gt; 0, Source!BS25, 1)</f>
        <v>1</v>
      </c>
      <c r="L45" s="33">
        <f>Source!R25</f>
        <v>2574.73</v>
      </c>
      <c r="M45" s="34"/>
      <c r="R45">
        <f>I45</f>
        <v>2574.73</v>
      </c>
    </row>
    <row r="46" spans="1:26" ht="14.25" x14ac:dyDescent="0.2">
      <c r="A46" s="28"/>
      <c r="B46" s="28"/>
      <c r="C46" s="29"/>
      <c r="D46" s="27" t="s">
        <v>207</v>
      </c>
      <c r="E46" s="30" t="s">
        <v>208</v>
      </c>
      <c r="F46" s="10">
        <f>Source!BZ25</f>
        <v>20</v>
      </c>
      <c r="G46" s="36"/>
      <c r="H46" s="31"/>
      <c r="I46" s="33">
        <f>SUM(S42:S47)</f>
        <v>514.95000000000005</v>
      </c>
      <c r="J46" s="37"/>
      <c r="K46" s="27">
        <f>Source!AT25</f>
        <v>20</v>
      </c>
      <c r="L46" s="33">
        <f>SUM(T42:T47)</f>
        <v>1863.81</v>
      </c>
      <c r="M46" s="34"/>
    </row>
    <row r="47" spans="1:26" ht="14.25" x14ac:dyDescent="0.2">
      <c r="A47" s="40"/>
      <c r="B47" s="40"/>
      <c r="C47" s="41"/>
      <c r="D47" s="42" t="s">
        <v>209</v>
      </c>
      <c r="E47" s="43" t="s">
        <v>208</v>
      </c>
      <c r="F47" s="44">
        <f>Source!CA25</f>
        <v>15</v>
      </c>
      <c r="G47" s="45"/>
      <c r="H47" s="46"/>
      <c r="I47" s="47">
        <f>SUM(U42:U47)</f>
        <v>386.21</v>
      </c>
      <c r="J47" s="48"/>
      <c r="K47" s="42">
        <f>Source!AU25</f>
        <v>15</v>
      </c>
      <c r="L47" s="47">
        <f>SUM(V42:V47)</f>
        <v>1677.43</v>
      </c>
      <c r="M47" s="49"/>
    </row>
    <row r="48" spans="1:26" ht="15" x14ac:dyDescent="0.25">
      <c r="H48" s="120">
        <f>ROUND(Source!AC25*Source!I25, 2)+ROUND(Source!AF25*Source!I25, 2)+ROUND(Source!AD25*Source!I25, 2)+SUM(I46:I47)</f>
        <v>10220.200000000001</v>
      </c>
      <c r="I48" s="120"/>
      <c r="K48" s="120">
        <f>Source!O25+SUM(L46:L47)</f>
        <v>12860.28</v>
      </c>
      <c r="L48" s="120"/>
      <c r="M48" s="39">
        <f>Source!U25</f>
        <v>0</v>
      </c>
      <c r="O48" s="38">
        <f>H48</f>
        <v>10220.200000000001</v>
      </c>
      <c r="P48" s="38">
        <f>K48</f>
        <v>12860.28</v>
      </c>
      <c r="Q48" s="38">
        <f>M48</f>
        <v>0</v>
      </c>
      <c r="W48">
        <f>IF(Source!BI25&lt;=1,H48, 0)</f>
        <v>10220.200000000001</v>
      </c>
      <c r="X48">
        <f>IF(Source!BI25=2,H48, 0)</f>
        <v>0</v>
      </c>
      <c r="Y48">
        <f>IF(Source!BI25=3,H48, 0)</f>
        <v>0</v>
      </c>
      <c r="Z48">
        <f>IF(Source!BI25=4,H48, 0)</f>
        <v>0</v>
      </c>
    </row>
    <row r="49" spans="1:33" ht="42.75" x14ac:dyDescent="0.2">
      <c r="A49" s="28">
        <v>3</v>
      </c>
      <c r="B49" s="28" t="str">
        <f>Source!E26</f>
        <v>3</v>
      </c>
      <c r="C49" s="29" t="str">
        <f>Source!F26</f>
        <v>с01-05-023-1</v>
      </c>
      <c r="D49" s="27" t="str">
        <f>Source!G26</f>
        <v>Очистка тротуаров, площадок отдыха и стоянок автомобилей от снега и льда вручную.</v>
      </c>
      <c r="E49" s="30" t="str">
        <f>Source!H26</f>
        <v>1000 м2</v>
      </c>
      <c r="F49" s="10">
        <f>Source!I26</f>
        <v>3.4937</v>
      </c>
      <c r="G49" s="32">
        <f>IF(Source!AK26&lt;&gt; 0, Source!AK26,Source!AL26 + Source!AM26 + Source!AO26)</f>
        <v>6553.5164000000004</v>
      </c>
      <c r="H49" s="31"/>
      <c r="I49" s="33"/>
      <c r="J49" s="31" t="str">
        <f>Source!BO26</f>
        <v/>
      </c>
      <c r="K49" s="31"/>
      <c r="L49" s="33"/>
      <c r="M49" s="34"/>
      <c r="S49">
        <f>ROUND((Source!FX26/100)*((ROUND(Source!AF26*Source!I26, 2)+ROUND(Source!AE26*Source!I26, 2))), 2)</f>
        <v>3177.05</v>
      </c>
      <c r="T49">
        <f>Source!X26</f>
        <v>4579.2</v>
      </c>
      <c r="U49">
        <f>ROUND((Source!FY26/100)*((ROUND(Source!AF26*Source!I26, 2)+ROUND(Source!AE26*Source!I26, 2))), 2)</f>
        <v>2382.79</v>
      </c>
      <c r="V49">
        <f>Source!Y26</f>
        <v>4121.28</v>
      </c>
    </row>
    <row r="50" spans="1:33" x14ac:dyDescent="0.2">
      <c r="D50" s="35" t="str">
        <f>"Объем: "&amp;Source!I26&amp;"=3493,7/"&amp;"1000"</f>
        <v>Объем: 3,4937=3493,7/1000</v>
      </c>
    </row>
    <row r="51" spans="1:33" ht="14.25" x14ac:dyDescent="0.2">
      <c r="A51" s="28"/>
      <c r="B51" s="28"/>
      <c r="C51" s="29"/>
      <c r="D51" s="27" t="s">
        <v>210</v>
      </c>
      <c r="E51" s="30"/>
      <c r="F51" s="10"/>
      <c r="G51" s="32">
        <f>Source!AO26</f>
        <v>3861.5552000000002</v>
      </c>
      <c r="H51" s="31" t="str">
        <f>Source!DG26</f>
        <v/>
      </c>
      <c r="I51" s="33">
        <f>ROUND(Source!AF26*Source!I26, 2)</f>
        <v>13491.12</v>
      </c>
      <c r="J51" s="31"/>
      <c r="K51" s="31">
        <f>IF(Source!BA26&lt;&gt; 0, Source!BA26, 1)</f>
        <v>1</v>
      </c>
      <c r="L51" s="33">
        <f>Source!S26</f>
        <v>13491.12</v>
      </c>
      <c r="M51" s="34"/>
      <c r="R51">
        <f>I51</f>
        <v>13491.12</v>
      </c>
    </row>
    <row r="52" spans="1:33" ht="14.25" x14ac:dyDescent="0.2">
      <c r="A52" s="28"/>
      <c r="B52" s="28"/>
      <c r="C52" s="29"/>
      <c r="D52" s="27" t="s">
        <v>55</v>
      </c>
      <c r="E52" s="30"/>
      <c r="F52" s="10"/>
      <c r="G52" s="32">
        <f>Source!AM26</f>
        <v>2691.9611999999997</v>
      </c>
      <c r="H52" s="31" t="str">
        <f>Source!DE26</f>
        <v/>
      </c>
      <c r="I52" s="33">
        <f>ROUND(Source!AD26*Source!I26, 2)</f>
        <v>9404.9</v>
      </c>
      <c r="J52" s="31"/>
      <c r="K52" s="31">
        <f>IF(Source!BB26&lt;&gt; 0, Source!BB26, 1)</f>
        <v>1</v>
      </c>
      <c r="L52" s="33">
        <f>Source!Q26</f>
        <v>9404.9</v>
      </c>
      <c r="M52" s="34"/>
    </row>
    <row r="53" spans="1:33" ht="14.25" x14ac:dyDescent="0.2">
      <c r="A53" s="28"/>
      <c r="B53" s="28"/>
      <c r="C53" s="29"/>
      <c r="D53" s="27" t="s">
        <v>206</v>
      </c>
      <c r="E53" s="30"/>
      <c r="F53" s="10"/>
      <c r="G53" s="32">
        <f>Source!AN26</f>
        <v>685.26990000000001</v>
      </c>
      <c r="H53" s="31" t="str">
        <f>Source!DF26</f>
        <v/>
      </c>
      <c r="I53" s="33">
        <f>ROUND(Source!AE26*Source!I26, 2)</f>
        <v>2394.13</v>
      </c>
      <c r="J53" s="31"/>
      <c r="K53" s="31">
        <f>IF(Source!BS26&lt;&gt; 0, Source!BS26, 1)</f>
        <v>1</v>
      </c>
      <c r="L53" s="33">
        <f>Source!R26</f>
        <v>2394.13</v>
      </c>
      <c r="M53" s="34"/>
      <c r="R53">
        <f>I53</f>
        <v>2394.13</v>
      </c>
    </row>
    <row r="54" spans="1:33" ht="14.25" x14ac:dyDescent="0.2">
      <c r="A54" s="28"/>
      <c r="B54" s="28"/>
      <c r="C54" s="29"/>
      <c r="D54" s="27" t="s">
        <v>207</v>
      </c>
      <c r="E54" s="30" t="s">
        <v>208</v>
      </c>
      <c r="F54" s="10">
        <f>Source!BZ26</f>
        <v>20</v>
      </c>
      <c r="G54" s="36"/>
      <c r="H54" s="31"/>
      <c r="I54" s="33">
        <f>SUM(S49:S56)</f>
        <v>3177.05</v>
      </c>
      <c r="J54" s="37"/>
      <c r="K54" s="27">
        <f>Source!AT26</f>
        <v>20</v>
      </c>
      <c r="L54" s="33">
        <f>SUM(T49:T56)</f>
        <v>4579.2</v>
      </c>
      <c r="M54" s="34"/>
    </row>
    <row r="55" spans="1:33" ht="14.25" x14ac:dyDescent="0.2">
      <c r="A55" s="28"/>
      <c r="B55" s="28"/>
      <c r="C55" s="29"/>
      <c r="D55" s="27" t="s">
        <v>209</v>
      </c>
      <c r="E55" s="30" t="s">
        <v>208</v>
      </c>
      <c r="F55" s="10">
        <f>Source!CA26</f>
        <v>15</v>
      </c>
      <c r="G55" s="36"/>
      <c r="H55" s="31"/>
      <c r="I55" s="33">
        <f>SUM(U49:U56)</f>
        <v>2382.79</v>
      </c>
      <c r="J55" s="37"/>
      <c r="K55" s="27">
        <f>Source!AU26</f>
        <v>15</v>
      </c>
      <c r="L55" s="33">
        <f>SUM(V49:V56)</f>
        <v>4121.28</v>
      </c>
      <c r="M55" s="34"/>
    </row>
    <row r="56" spans="1:33" ht="14.25" x14ac:dyDescent="0.2">
      <c r="A56" s="40"/>
      <c r="B56" s="40"/>
      <c r="C56" s="41"/>
      <c r="D56" s="42" t="s">
        <v>211</v>
      </c>
      <c r="E56" s="43" t="s">
        <v>212</v>
      </c>
      <c r="F56" s="44">
        <f>Source!AQ26</f>
        <v>30.32</v>
      </c>
      <c r="G56" s="50"/>
      <c r="H56" s="46" t="str">
        <f>Source!DI26</f>
        <v/>
      </c>
      <c r="I56" s="47"/>
      <c r="J56" s="46"/>
      <c r="K56" s="46"/>
      <c r="L56" s="47"/>
      <c r="M56" s="51">
        <f>Source!U26</f>
        <v>105.928984</v>
      </c>
    </row>
    <row r="57" spans="1:33" ht="15" x14ac:dyDescent="0.25">
      <c r="H57" s="120">
        <f>ROUND(Source!AC26*Source!I26, 2)+ROUND(Source!AF26*Source!I26, 2)+ROUND(Source!AD26*Source!I26, 2)+SUM(I54:I55)</f>
        <v>28455.86</v>
      </c>
      <c r="I57" s="120"/>
      <c r="K57" s="120">
        <f>Source!O26+SUM(L54:L55)</f>
        <v>31596.5</v>
      </c>
      <c r="L57" s="120"/>
      <c r="M57" s="39">
        <f>Source!U26</f>
        <v>105.928984</v>
      </c>
      <c r="O57" s="38">
        <f>H57</f>
        <v>28455.86</v>
      </c>
      <c r="P57" s="38">
        <f>K57</f>
        <v>31596.5</v>
      </c>
      <c r="Q57" s="38">
        <f>M57</f>
        <v>105.928984</v>
      </c>
      <c r="W57">
        <f>IF(Source!BI26&lt;=1,H57, 0)</f>
        <v>28455.86</v>
      </c>
      <c r="X57">
        <f>IF(Source!BI26=2,H57, 0)</f>
        <v>0</v>
      </c>
      <c r="Y57">
        <f>IF(Source!BI26=3,H57, 0)</f>
        <v>0</v>
      </c>
      <c r="Z57">
        <f>IF(Source!BI26=4,H57, 0)</f>
        <v>0</v>
      </c>
    </row>
    <row r="59" spans="1:33" ht="15" x14ac:dyDescent="0.25">
      <c r="A59" s="125" t="str">
        <f>CONCATENATE("Итого по локальной смете: ", Source!G28)</f>
        <v>Итого по локальной смете: Новая локальная смета</v>
      </c>
      <c r="B59" s="125"/>
      <c r="C59" s="125"/>
      <c r="D59" s="125"/>
      <c r="E59" s="125"/>
      <c r="F59" s="125"/>
      <c r="G59" s="125"/>
      <c r="H59" s="120">
        <f>SUM(O35:O58)</f>
        <v>229169.53000000003</v>
      </c>
      <c r="I59" s="116"/>
      <c r="J59" s="52"/>
      <c r="K59" s="120">
        <f>SUM(P35:P58)</f>
        <v>290000.32</v>
      </c>
      <c r="L59" s="116"/>
      <c r="M59" s="39">
        <f>SUM(Q35:Q58)</f>
        <v>105.928984</v>
      </c>
      <c r="AG59" s="53" t="str">
        <f>CONCATENATE("Итого по локальной смете: ", Source!G28)</f>
        <v>Итого по локальной смете: Новая локальная смета</v>
      </c>
    </row>
    <row r="61" spans="1:33" ht="14.25" x14ac:dyDescent="0.2">
      <c r="D61" s="27" t="str">
        <f>Source!H56</f>
        <v>ОЗП</v>
      </c>
      <c r="K61" s="117">
        <f>Source!F56</f>
        <v>13491.12</v>
      </c>
      <c r="L61" s="117"/>
    </row>
    <row r="62" spans="1:33" ht="14.25" x14ac:dyDescent="0.2">
      <c r="D62" s="27" t="str">
        <f>Source!H57</f>
        <v>ЭММ, в т.ч. ЗПМ</v>
      </c>
      <c r="K62" s="117">
        <f>Source!F57</f>
        <v>196654.04</v>
      </c>
      <c r="L62" s="117"/>
    </row>
    <row r="63" spans="1:33" ht="14.25" x14ac:dyDescent="0.2">
      <c r="D63" s="27" t="str">
        <f>Source!H58</f>
        <v>Стоимость материалов</v>
      </c>
      <c r="K63" s="117">
        <f>Source!F58</f>
        <v>0</v>
      </c>
      <c r="L63" s="117"/>
    </row>
    <row r="64" spans="1:33" ht="14.25" x14ac:dyDescent="0.2">
      <c r="D64" s="27" t="str">
        <f>Source!H59</f>
        <v>НР</v>
      </c>
      <c r="K64" s="117">
        <f>Source!F59</f>
        <v>42029.03</v>
      </c>
      <c r="L64" s="117"/>
    </row>
    <row r="65" spans="1:39" ht="14.25" x14ac:dyDescent="0.2">
      <c r="D65" s="27" t="str">
        <f>Source!H60</f>
        <v>СП</v>
      </c>
      <c r="K65" s="117">
        <f>Source!F60</f>
        <v>37826.129999999997</v>
      </c>
      <c r="L65" s="117"/>
    </row>
    <row r="66" spans="1:39" ht="14.25" x14ac:dyDescent="0.2">
      <c r="D66" s="27" t="str">
        <f>Source!H61</f>
        <v>Итого</v>
      </c>
      <c r="E66" s="122" t="str">
        <f>"="&amp;Source!F56&amp;"+"&amp;""&amp;Source!F57&amp;"+"&amp;""&amp;Source!F58&amp;"+"&amp;""&amp;Source!F59&amp;"+"&amp;""&amp;Source!F60&amp;""</f>
        <v>=13491,12+196654,04+0+42029,03+37826,13</v>
      </c>
      <c r="F66" s="115"/>
      <c r="G66" s="115"/>
      <c r="H66" s="115"/>
      <c r="I66" s="115"/>
      <c r="J66" s="115"/>
      <c r="K66" s="117">
        <f>Source!F61</f>
        <v>290000.32</v>
      </c>
      <c r="L66" s="117"/>
      <c r="AM66" s="55" t="str">
        <f>"="&amp;Source!F56&amp;"+"&amp;""&amp;Source!F57&amp;"+"&amp;""&amp;Source!F58&amp;"+"&amp;""&amp;Source!F59&amp;"+"&amp;""&amp;Source!F60&amp;""</f>
        <v>=13491,12+196654,04+0+42029,03+37826,13</v>
      </c>
    </row>
    <row r="69" spans="1:39" ht="15" x14ac:dyDescent="0.25">
      <c r="A69" s="125" t="str">
        <f>CONCATENATE("Итого по смете: ", Source!G63)</f>
        <v>Итого по смете: зимнее содержание Бишево</v>
      </c>
      <c r="B69" s="125"/>
      <c r="C69" s="125"/>
      <c r="D69" s="125"/>
      <c r="E69" s="125"/>
      <c r="F69" s="125"/>
      <c r="G69" s="125"/>
      <c r="H69" s="120">
        <f>SUM(O1:O68)</f>
        <v>229169.53000000003</v>
      </c>
      <c r="I69" s="116"/>
      <c r="J69" s="52"/>
      <c r="K69" s="120">
        <f>SUM(P1:P68)</f>
        <v>290000.32</v>
      </c>
      <c r="L69" s="116"/>
      <c r="M69" s="39">
        <f>SUM(Q1:Q68)</f>
        <v>105.928984</v>
      </c>
      <c r="AG69" s="53" t="str">
        <f>CONCATENATE("Итого по смете: ", Source!G63)</f>
        <v>Итого по смете: зимнее содержание Бишево</v>
      </c>
    </row>
    <row r="71" spans="1:39" ht="14.25" x14ac:dyDescent="0.2">
      <c r="D71" s="27" t="str">
        <f>Source!H91</f>
        <v>ОЗП</v>
      </c>
      <c r="K71" s="117">
        <f>Source!F91</f>
        <v>13491.12</v>
      </c>
      <c r="L71" s="117"/>
    </row>
    <row r="72" spans="1:39" ht="14.25" x14ac:dyDescent="0.2">
      <c r="D72" s="27" t="str">
        <f>Source!H92</f>
        <v>ЭММ, в т.ч. ЗПМ</v>
      </c>
      <c r="K72" s="117">
        <f>Source!F92</f>
        <v>196654.04</v>
      </c>
      <c r="L72" s="117"/>
    </row>
    <row r="73" spans="1:39" ht="14.25" x14ac:dyDescent="0.2">
      <c r="D73" s="27" t="str">
        <f>Source!H93</f>
        <v>Стоимость материалов</v>
      </c>
      <c r="K73" s="117">
        <f>Source!F93</f>
        <v>0</v>
      </c>
      <c r="L73" s="117"/>
    </row>
    <row r="74" spans="1:39" ht="14.25" x14ac:dyDescent="0.2">
      <c r="D74" s="27" t="str">
        <f>Source!H94</f>
        <v>НР</v>
      </c>
      <c r="K74" s="117">
        <f>Source!F94</f>
        <v>42029.03</v>
      </c>
      <c r="L74" s="117"/>
    </row>
    <row r="75" spans="1:39" ht="14.25" x14ac:dyDescent="0.2">
      <c r="D75" s="27" t="str">
        <f>Source!H95</f>
        <v>СП</v>
      </c>
      <c r="K75" s="117">
        <f>Source!F95</f>
        <v>37826.129999999997</v>
      </c>
      <c r="L75" s="117"/>
    </row>
    <row r="76" spans="1:39" ht="14.25" x14ac:dyDescent="0.2">
      <c r="D76" s="27" t="str">
        <f>Source!H96</f>
        <v>Итого</v>
      </c>
      <c r="E76" s="122" t="str">
        <f>"="&amp;Source!F91&amp;"+"&amp;""&amp;Source!F92&amp;"+"&amp;""&amp;Source!F93&amp;"+"&amp;""&amp;Source!F94&amp;"+"&amp;""&amp;Source!F95&amp;""</f>
        <v>=13491,12+196654,04+0+42029,03+37826,13</v>
      </c>
      <c r="F76" s="115"/>
      <c r="G76" s="115"/>
      <c r="H76" s="115"/>
      <c r="I76" s="115"/>
      <c r="J76" s="115"/>
      <c r="K76" s="117">
        <f>Source!F96</f>
        <v>290000.32</v>
      </c>
      <c r="L76" s="117"/>
      <c r="AM76" s="55" t="str">
        <f>"="&amp;Source!F91&amp;"+"&amp;""&amp;Source!F92&amp;"+"&amp;""&amp;Source!F93&amp;"+"&amp;""&amp;Source!F94&amp;"+"&amp;""&amp;Source!F95&amp;""</f>
        <v>=13491,12+196654,04+0+42029,03+37826,13</v>
      </c>
    </row>
    <row r="80" spans="1:39" ht="15" x14ac:dyDescent="0.2">
      <c r="A80" s="11"/>
      <c r="B80" s="126" t="s">
        <v>249</v>
      </c>
      <c r="C80" s="126"/>
      <c r="D80" s="67" t="str">
        <f>IF(Source!AM12&lt;&gt;"", Source!AM12," ")</f>
        <v xml:space="preserve"> </v>
      </c>
      <c r="E80" s="68"/>
      <c r="F80" s="67"/>
      <c r="G80" s="69"/>
      <c r="H80" s="68"/>
      <c r="I80" s="67" t="str">
        <f>IF(Source!AL12&lt;&gt;"", Source!AL12," ")</f>
        <v xml:space="preserve"> </v>
      </c>
      <c r="J80" s="69"/>
      <c r="K80" s="69"/>
      <c r="L80" s="69"/>
      <c r="M80" s="11"/>
    </row>
    <row r="81" spans="1:13" ht="14.25" x14ac:dyDescent="0.2">
      <c r="A81" s="11"/>
      <c r="B81" s="70"/>
      <c r="C81" s="70"/>
      <c r="D81" s="58" t="s">
        <v>214</v>
      </c>
      <c r="E81" s="70"/>
      <c r="F81" s="127" t="s">
        <v>215</v>
      </c>
      <c r="G81" s="127"/>
      <c r="H81" s="70"/>
      <c r="I81" s="127" t="s">
        <v>216</v>
      </c>
      <c r="J81" s="127"/>
      <c r="K81" s="127"/>
      <c r="L81" s="127"/>
      <c r="M81" s="11"/>
    </row>
    <row r="82" spans="1:13" ht="15" x14ac:dyDescent="0.2">
      <c r="A82" s="11"/>
      <c r="B82" s="68"/>
      <c r="C82" s="71"/>
      <c r="D82" s="68"/>
      <c r="E82" s="59"/>
      <c r="F82" s="57" t="s">
        <v>217</v>
      </c>
      <c r="G82" s="68"/>
      <c r="H82" s="68"/>
      <c r="I82" s="68"/>
      <c r="J82" s="68"/>
      <c r="K82" s="68"/>
      <c r="L82" s="68"/>
      <c r="M82" s="11"/>
    </row>
    <row r="83" spans="1:13" ht="14.25" x14ac:dyDescent="0.2">
      <c r="A83" s="11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11"/>
    </row>
    <row r="84" spans="1:13" ht="15" x14ac:dyDescent="0.2">
      <c r="A84" s="11"/>
      <c r="B84" s="126" t="s">
        <v>250</v>
      </c>
      <c r="C84" s="126"/>
      <c r="D84" s="67" t="str">
        <f>IF(Source!AI12&lt;&gt;"", Source!AI12," ")</f>
        <v xml:space="preserve"> </v>
      </c>
      <c r="E84" s="68"/>
      <c r="F84" s="67"/>
      <c r="G84" s="69"/>
      <c r="H84" s="68"/>
      <c r="I84" s="67" t="str">
        <f>IF(Source!AH12&lt;&gt;"", Source!AH12," ")</f>
        <v xml:space="preserve"> </v>
      </c>
      <c r="J84" s="69"/>
      <c r="K84" s="69"/>
      <c r="L84" s="69"/>
      <c r="M84" s="11"/>
    </row>
    <row r="85" spans="1:13" ht="14.25" x14ac:dyDescent="0.2">
      <c r="A85" s="11"/>
      <c r="B85" s="70"/>
      <c r="C85" s="70"/>
      <c r="D85" s="58" t="s">
        <v>214</v>
      </c>
      <c r="E85" s="70"/>
      <c r="F85" s="127" t="s">
        <v>215</v>
      </c>
      <c r="G85" s="127"/>
      <c r="H85" s="70"/>
      <c r="I85" s="127" t="s">
        <v>216</v>
      </c>
      <c r="J85" s="127"/>
      <c r="K85" s="127"/>
      <c r="L85" s="127"/>
      <c r="M85" s="11"/>
    </row>
    <row r="86" spans="1:13" ht="15" x14ac:dyDescent="0.2">
      <c r="A86" s="11"/>
      <c r="B86" s="68"/>
      <c r="C86" s="71"/>
      <c r="D86" s="68"/>
      <c r="E86" s="71"/>
      <c r="F86" s="57" t="s">
        <v>217</v>
      </c>
      <c r="G86" s="68"/>
      <c r="H86" s="68"/>
      <c r="I86" s="68"/>
      <c r="J86" s="68"/>
      <c r="K86" s="68"/>
      <c r="L86" s="68"/>
      <c r="M86" s="11"/>
    </row>
  </sheetData>
  <mergeCells count="81">
    <mergeCell ref="B84:C84"/>
    <mergeCell ref="F85:G85"/>
    <mergeCell ref="I85:L85"/>
    <mergeCell ref="K74:L74"/>
    <mergeCell ref="K75:L75"/>
    <mergeCell ref="E76:J76"/>
    <mergeCell ref="K76:L76"/>
    <mergeCell ref="B80:C80"/>
    <mergeCell ref="F81:G81"/>
    <mergeCell ref="I81:L81"/>
    <mergeCell ref="A69:G69"/>
    <mergeCell ref="K69:L69"/>
    <mergeCell ref="H69:I69"/>
    <mergeCell ref="K71:L71"/>
    <mergeCell ref="K72:L72"/>
    <mergeCell ref="K73:L73"/>
    <mergeCell ref="K61:L61"/>
    <mergeCell ref="K62:L62"/>
    <mergeCell ref="K63:L63"/>
    <mergeCell ref="K64:L64"/>
    <mergeCell ref="K65:L65"/>
    <mergeCell ref="M32:M33"/>
    <mergeCell ref="E66:J66"/>
    <mergeCell ref="K66:L66"/>
    <mergeCell ref="H48:I48"/>
    <mergeCell ref="K48:L48"/>
    <mergeCell ref="H57:I57"/>
    <mergeCell ref="K57:L57"/>
    <mergeCell ref="A59:G59"/>
    <mergeCell ref="K59:L59"/>
    <mergeCell ref="H59:I59"/>
    <mergeCell ref="H41:I41"/>
    <mergeCell ref="K41:L41"/>
    <mergeCell ref="B28:M28"/>
    <mergeCell ref="B29:M29"/>
    <mergeCell ref="A31:M31"/>
    <mergeCell ref="A32:B32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H20:I20"/>
    <mergeCell ref="K20:M20"/>
    <mergeCell ref="K21:M21"/>
    <mergeCell ref="K22:M22"/>
    <mergeCell ref="G24:G25"/>
    <mergeCell ref="H24:H25"/>
    <mergeCell ref="I24:J24"/>
    <mergeCell ref="H19:J19"/>
    <mergeCell ref="K19:M19"/>
    <mergeCell ref="C12:I12"/>
    <mergeCell ref="K12:M13"/>
    <mergeCell ref="A13:B13"/>
    <mergeCell ref="C13:I13"/>
    <mergeCell ref="C14:I14"/>
    <mergeCell ref="K14:M15"/>
    <mergeCell ref="A15:B15"/>
    <mergeCell ref="C15:I15"/>
    <mergeCell ref="C16:I16"/>
    <mergeCell ref="K16:M17"/>
    <mergeCell ref="A17:B17"/>
    <mergeCell ref="C17:I17"/>
    <mergeCell ref="C18:I18"/>
    <mergeCell ref="A9:B9"/>
    <mergeCell ref="C9:I9"/>
    <mergeCell ref="C10:I10"/>
    <mergeCell ref="K10:M11"/>
    <mergeCell ref="A11:B11"/>
    <mergeCell ref="C11:I11"/>
    <mergeCell ref="K8:M9"/>
    <mergeCell ref="J2:M2"/>
    <mergeCell ref="I3:M3"/>
    <mergeCell ref="J4:M4"/>
    <mergeCell ref="K6:M6"/>
    <mergeCell ref="K7:M7"/>
  </mergeCells>
  <pageMargins left="0.4" right="0.2" top="0.2" bottom="0.4" header="0.2" footer="0.2"/>
  <pageSetup paperSize="9" scale="55" orientation="portrait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zoomScaleNormal="100" workbookViewId="0">
      <selection sqref="A1:D1"/>
    </sheetView>
  </sheetViews>
  <sheetFormatPr defaultRowHeight="12.75" x14ac:dyDescent="0.2"/>
  <cols>
    <col min="1" max="1" width="5.7109375" customWidth="1"/>
    <col min="2" max="2" width="20.7109375" customWidth="1"/>
    <col min="3" max="3" width="40.7109375" customWidth="1"/>
    <col min="4" max="10" width="12.7109375" customWidth="1"/>
    <col min="30" max="33" width="0" hidden="1" customWidth="1"/>
  </cols>
  <sheetData>
    <row r="1" spans="1:10" x14ac:dyDescent="0.2">
      <c r="A1" s="146" t="str">
        <f>SourceObSm!B1</f>
        <v>Smeta.RU  (495) 974-1589</v>
      </c>
      <c r="B1" s="146"/>
      <c r="C1" s="146"/>
      <c r="D1" s="146"/>
    </row>
    <row r="2" spans="1:10" ht="15" x14ac:dyDescent="0.25">
      <c r="A2" s="72"/>
      <c r="B2" s="72"/>
      <c r="C2" s="72"/>
      <c r="D2" s="72"/>
      <c r="E2" s="72"/>
      <c r="F2" s="72"/>
      <c r="G2" s="72"/>
      <c r="H2" s="72"/>
      <c r="I2" s="11"/>
      <c r="J2" s="54" t="s">
        <v>251</v>
      </c>
    </row>
    <row r="3" spans="1:10" ht="14.25" x14ac:dyDescent="0.2">
      <c r="A3" s="73"/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">
      <c r="A4" s="74"/>
      <c r="B4" s="147" t="str">
        <f>IF(SourceObSm!G4&lt;&gt;"",SourceObSm!G4,IF(SourceObSm!F4&lt;&gt;"",SourceObSm!F4,IF(SourceObSm!G5&lt;&gt;"",SourceObSm!G5,IF(SourceObSm!F5&lt;&gt;"",SourceObSm!F5,IF(SourceObSm!G6&lt;&gt;"",SourceObSm!G6,IF(SourceObSm!G12&lt;&gt;"",SourceObSm!G12," "))))))</f>
        <v>зимнее содержание Бишево</v>
      </c>
      <c r="C4" s="147"/>
      <c r="D4" s="147"/>
      <c r="E4" s="147"/>
      <c r="F4" s="147"/>
      <c r="G4" s="147"/>
      <c r="H4" s="147"/>
      <c r="I4" s="147"/>
      <c r="J4" s="74"/>
    </row>
    <row r="5" spans="1:10" ht="14.25" x14ac:dyDescent="0.2">
      <c r="A5" s="74"/>
      <c r="B5" s="148" t="s">
        <v>252</v>
      </c>
      <c r="C5" s="148"/>
      <c r="D5" s="148"/>
      <c r="E5" s="148"/>
      <c r="F5" s="148"/>
      <c r="G5" s="148"/>
      <c r="H5" s="148"/>
      <c r="I5" s="148"/>
      <c r="J5" s="74"/>
    </row>
    <row r="6" spans="1:10" ht="14.25" x14ac:dyDescent="0.2">
      <c r="A6" s="73"/>
      <c r="B6" s="11"/>
      <c r="C6" s="11"/>
      <c r="D6" s="11"/>
      <c r="E6" s="11"/>
      <c r="F6" s="11"/>
      <c r="G6" s="11"/>
      <c r="H6" s="11"/>
      <c r="I6" s="11"/>
      <c r="J6" s="11"/>
    </row>
    <row r="7" spans="1:10" ht="15" x14ac:dyDescent="0.2">
      <c r="A7" s="75"/>
      <c r="B7" s="75"/>
      <c r="C7" s="75"/>
      <c r="D7" s="11"/>
      <c r="E7" s="11"/>
      <c r="F7" s="11"/>
      <c r="G7" s="11"/>
      <c r="H7" s="11"/>
      <c r="I7" s="11"/>
      <c r="J7" s="11"/>
    </row>
    <row r="8" spans="1:10" ht="15.75" x14ac:dyDescent="0.2">
      <c r="A8" s="149" t="s">
        <v>253</v>
      </c>
      <c r="B8" s="149"/>
      <c r="C8" s="149"/>
      <c r="D8" s="150" t="str">
        <f>SourceObSm!F12</f>
        <v>Новый объект_(Копия)</v>
      </c>
      <c r="E8" s="150"/>
      <c r="F8" s="150"/>
      <c r="G8" s="150"/>
      <c r="H8" s="150"/>
      <c r="I8" s="150"/>
      <c r="J8" s="16"/>
    </row>
    <row r="9" spans="1:10" ht="15" x14ac:dyDescent="0.2">
      <c r="A9" s="75"/>
      <c r="B9" s="75"/>
      <c r="C9" s="76"/>
      <c r="D9" s="145" t="s">
        <v>254</v>
      </c>
      <c r="E9" s="145"/>
      <c r="F9" s="145"/>
      <c r="G9" s="145"/>
      <c r="H9" s="145"/>
      <c r="I9" s="145"/>
      <c r="J9" s="76"/>
    </row>
    <row r="10" spans="1:10" ht="14.25" x14ac:dyDescent="0.2">
      <c r="A10" s="73"/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.75" x14ac:dyDescent="0.2">
      <c r="A11" s="153" t="s">
        <v>255</v>
      </c>
      <c r="B11" s="153"/>
      <c r="C11" s="153"/>
      <c r="D11" s="154" t="str">
        <f>IF(SourceObSm!G12&lt;&gt;"",SourceObSm!G12,IF(SourceObSm!F12&lt;&gt;"",SourceObSm!F12," "))</f>
        <v>зимнее содержание Бишево</v>
      </c>
      <c r="E11" s="154"/>
      <c r="F11" s="154"/>
      <c r="G11" s="154"/>
      <c r="H11" s="154"/>
      <c r="I11" s="154"/>
      <c r="J11" s="74"/>
    </row>
    <row r="12" spans="1:10" ht="14.25" x14ac:dyDescent="0.2">
      <c r="A12" s="73"/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4.25" x14ac:dyDescent="0.2">
      <c r="A13" s="153" t="s">
        <v>266</v>
      </c>
      <c r="B13" s="153"/>
      <c r="C13" s="153"/>
      <c r="D13" s="83">
        <f>(SourceObSm!F51)/1000</f>
        <v>290.00031999999999</v>
      </c>
      <c r="E13" s="77" t="s">
        <v>256</v>
      </c>
      <c r="F13" s="78"/>
      <c r="G13" s="11"/>
      <c r="H13" s="11"/>
      <c r="I13" s="11"/>
      <c r="J13" s="11"/>
    </row>
    <row r="14" spans="1:10" ht="14.25" x14ac:dyDescent="0.2">
      <c r="A14" s="79"/>
      <c r="B14" s="15"/>
      <c r="C14" s="15"/>
      <c r="D14" s="80"/>
      <c r="E14" s="77"/>
      <c r="F14" s="17"/>
      <c r="G14" s="11"/>
      <c r="H14" s="11"/>
      <c r="I14" s="11"/>
      <c r="J14" s="11"/>
    </row>
    <row r="15" spans="1:10" ht="14.25" x14ac:dyDescent="0.2">
      <c r="A15" s="153" t="s">
        <v>257</v>
      </c>
      <c r="B15" s="153"/>
      <c r="C15" s="153"/>
      <c r="D15" s="83">
        <f>(SourceObSm!F33)/1000</f>
        <v>13.49112</v>
      </c>
      <c r="E15" s="77" t="s">
        <v>256</v>
      </c>
      <c r="F15" s="78"/>
      <c r="G15" s="11"/>
      <c r="H15" s="11"/>
      <c r="I15" s="11"/>
      <c r="J15" s="11"/>
    </row>
    <row r="16" spans="1:10" ht="14.25" x14ac:dyDescent="0.2">
      <c r="A16" s="73"/>
      <c r="B16" s="11"/>
      <c r="C16" s="11"/>
      <c r="D16" s="80"/>
      <c r="E16" s="77"/>
      <c r="F16" s="11"/>
      <c r="G16" s="11"/>
      <c r="H16" s="11"/>
      <c r="I16" s="11"/>
      <c r="J16" s="11"/>
    </row>
    <row r="17" spans="1:10" ht="14.25" x14ac:dyDescent="0.2">
      <c r="A17" s="153" t="s">
        <v>258</v>
      </c>
      <c r="B17" s="153"/>
      <c r="C17" s="153"/>
      <c r="D17" s="84">
        <f>SourceObSm!I12</f>
        <v>0</v>
      </c>
      <c r="E17" s="81" t="str">
        <f>SourceObSm!H12</f>
        <v/>
      </c>
      <c r="F17" s="82"/>
      <c r="G17" s="11"/>
      <c r="H17" s="11"/>
      <c r="I17" s="11"/>
      <c r="J17" s="11"/>
    </row>
    <row r="18" spans="1:10" ht="14.25" x14ac:dyDescent="0.2">
      <c r="A18" s="73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4.25" x14ac:dyDescent="0.2">
      <c r="A19" s="153" t="s">
        <v>265</v>
      </c>
      <c r="B19" s="153"/>
      <c r="C19" s="153"/>
      <c r="D19" s="153"/>
      <c r="E19" s="153"/>
      <c r="F19" s="153"/>
      <c r="G19" s="153"/>
      <c r="H19" s="153"/>
      <c r="I19" s="153"/>
      <c r="J19" s="153"/>
    </row>
    <row r="20" spans="1:10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 t="s">
        <v>256</v>
      </c>
    </row>
    <row r="21" spans="1:10" ht="14.25" x14ac:dyDescent="0.2">
      <c r="A21" s="151" t="s">
        <v>193</v>
      </c>
      <c r="B21" s="151" t="s">
        <v>259</v>
      </c>
      <c r="C21" s="151" t="s">
        <v>195</v>
      </c>
      <c r="D21" s="144" t="s">
        <v>266</v>
      </c>
      <c r="E21" s="144"/>
      <c r="F21" s="144"/>
      <c r="G21" s="144"/>
      <c r="H21" s="144"/>
      <c r="I21" s="151" t="s">
        <v>267</v>
      </c>
      <c r="J21" s="151" t="s">
        <v>260</v>
      </c>
    </row>
    <row r="22" spans="1:10" ht="57" x14ac:dyDescent="0.2">
      <c r="A22" s="152"/>
      <c r="B22" s="152"/>
      <c r="C22" s="152"/>
      <c r="D22" s="22" t="s">
        <v>261</v>
      </c>
      <c r="E22" s="22" t="s">
        <v>262</v>
      </c>
      <c r="F22" s="22" t="s">
        <v>263</v>
      </c>
      <c r="G22" s="22" t="s">
        <v>264</v>
      </c>
      <c r="H22" s="22" t="s">
        <v>84</v>
      </c>
      <c r="I22" s="152"/>
      <c r="J22" s="152"/>
    </row>
    <row r="23" spans="1:10" ht="14.25" x14ac:dyDescent="0.2">
      <c r="A23" s="87">
        <v>1</v>
      </c>
      <c r="B23" s="87">
        <v>2</v>
      </c>
      <c r="C23" s="87">
        <v>3</v>
      </c>
      <c r="D23" s="87">
        <v>4</v>
      </c>
      <c r="E23" s="87">
        <v>5</v>
      </c>
      <c r="F23" s="87">
        <v>6</v>
      </c>
      <c r="G23" s="87">
        <v>7</v>
      </c>
      <c r="H23" s="87">
        <v>8</v>
      </c>
      <c r="I23" s="87">
        <v>9</v>
      </c>
      <c r="J23" s="87">
        <v>10</v>
      </c>
    </row>
    <row r="24" spans="1:10" ht="28.5" x14ac:dyDescent="0.2">
      <c r="A24" s="90">
        <v>1</v>
      </c>
      <c r="B24" s="91" t="str">
        <f>SourceObSm!C16</f>
        <v>Новая локальная смета</v>
      </c>
      <c r="C24" s="91" t="str">
        <f>SourceObSm!D16</f>
        <v>Новая локальная смета</v>
      </c>
      <c r="D24" s="92">
        <f>IF(SourceObSm!E16=0, "-", ROUND(SourceObSm!E16,6))</f>
        <v>290.00031999999999</v>
      </c>
      <c r="E24" s="92" t="str">
        <f>IF(SourceObSm!F16=0, "-", ROUND(SourceObSm!F16,6))</f>
        <v>-</v>
      </c>
      <c r="F24" s="92" t="str">
        <f>IF(SourceObSm!G16=0, "-", ROUND(SourceObSm!G16,6))</f>
        <v>-</v>
      </c>
      <c r="G24" s="92" t="str">
        <f>IF(SourceObSm!H16=0, "-", ROUND(SourceObSm!H16,6))</f>
        <v>-</v>
      </c>
      <c r="H24" s="92">
        <f>IF(SourceObSm!I16=0, "-", ROUND(SourceObSm!I16,6))</f>
        <v>290.00031999999999</v>
      </c>
      <c r="I24" s="92">
        <f>IF(SourceObSm!J16=0, "-", ROUND(SourceObSm!J16,6))</f>
        <v>13.49112</v>
      </c>
      <c r="J24" s="92" t="str">
        <f>IF(H24="-","-",IF(SourceObSm!I12=0,"-",H24/SourceObSm!I12))</f>
        <v>-</v>
      </c>
    </row>
    <row r="25" spans="1:10" ht="15" x14ac:dyDescent="0.25">
      <c r="A25" s="93"/>
      <c r="B25" s="94"/>
      <c r="C25" s="94" t="s">
        <v>268</v>
      </c>
      <c r="D25" s="95">
        <f t="shared" ref="D25:I25" si="0">IF(SUM(D24:D24)=0, "-", ROUND(SUM(D24:D24),6))</f>
        <v>290.00031999999999</v>
      </c>
      <c r="E25" s="95" t="str">
        <f t="shared" si="0"/>
        <v>-</v>
      </c>
      <c r="F25" s="95" t="str">
        <f t="shared" si="0"/>
        <v>-</v>
      </c>
      <c r="G25" s="95" t="str">
        <f t="shared" si="0"/>
        <v>-</v>
      </c>
      <c r="H25" s="95">
        <f t="shared" si="0"/>
        <v>290.00031999999999</v>
      </c>
      <c r="I25" s="95">
        <f t="shared" si="0"/>
        <v>13.49112</v>
      </c>
      <c r="J25" s="95"/>
    </row>
    <row r="27" spans="1:10" ht="14.25" x14ac:dyDescent="0.2">
      <c r="A27" s="27"/>
      <c r="B27" s="27"/>
      <c r="C27" s="157" t="str">
        <f>SourceObSm!H46</f>
        <v>ОЗП</v>
      </c>
      <c r="D27" s="158"/>
      <c r="E27" s="158"/>
      <c r="F27" s="158"/>
      <c r="G27" s="86"/>
      <c r="H27" s="86">
        <f>ROUND(SourceObSm!F46/1000,6)</f>
        <v>13.49112</v>
      </c>
      <c r="I27" s="96" t="s">
        <v>256</v>
      </c>
      <c r="J27" s="85"/>
    </row>
    <row r="28" spans="1:10" ht="14.25" x14ac:dyDescent="0.2">
      <c r="A28" s="27"/>
      <c r="B28" s="27"/>
      <c r="C28" s="157" t="str">
        <f>SourceObSm!H47</f>
        <v>ЭММ, в т.ч. ЗПМ</v>
      </c>
      <c r="D28" s="158"/>
      <c r="E28" s="158"/>
      <c r="F28" s="158"/>
      <c r="G28" s="86"/>
      <c r="H28" s="86">
        <f>ROUND(SourceObSm!F47/1000,6)</f>
        <v>196.65404000000001</v>
      </c>
      <c r="I28" s="96" t="s">
        <v>256</v>
      </c>
      <c r="J28" s="85"/>
    </row>
    <row r="29" spans="1:10" ht="14.25" x14ac:dyDescent="0.2">
      <c r="A29" s="27"/>
      <c r="B29" s="27"/>
      <c r="C29" s="157" t="str">
        <f>SourceObSm!H48</f>
        <v>Стоимость материалов</v>
      </c>
      <c r="D29" s="158"/>
      <c r="E29" s="158"/>
      <c r="F29" s="158"/>
      <c r="G29" s="86"/>
      <c r="H29" s="86">
        <f>ROUND(SourceObSm!F48/1000,6)</f>
        <v>0</v>
      </c>
      <c r="I29" s="96" t="s">
        <v>256</v>
      </c>
      <c r="J29" s="85"/>
    </row>
    <row r="30" spans="1:10" ht="14.25" x14ac:dyDescent="0.2">
      <c r="A30" s="27"/>
      <c r="B30" s="27"/>
      <c r="C30" s="157" t="str">
        <f>SourceObSm!H49</f>
        <v>НР</v>
      </c>
      <c r="D30" s="158"/>
      <c r="E30" s="158"/>
      <c r="F30" s="158"/>
      <c r="G30" s="86"/>
      <c r="H30" s="86">
        <f>ROUND(SourceObSm!F49/1000,6)</f>
        <v>42.029029999999999</v>
      </c>
      <c r="I30" s="96" t="s">
        <v>256</v>
      </c>
      <c r="J30" s="85"/>
    </row>
    <row r="31" spans="1:10" ht="14.25" x14ac:dyDescent="0.2">
      <c r="A31" s="27"/>
      <c r="B31" s="27"/>
      <c r="C31" s="157" t="str">
        <f>SourceObSm!H50</f>
        <v>СП</v>
      </c>
      <c r="D31" s="158"/>
      <c r="E31" s="158"/>
      <c r="F31" s="158"/>
      <c r="G31" s="86"/>
      <c r="H31" s="86">
        <f>ROUND(SourceObSm!F50/1000,6)</f>
        <v>37.826129999999999</v>
      </c>
      <c r="I31" s="96" t="s">
        <v>256</v>
      </c>
      <c r="J31" s="85"/>
    </row>
    <row r="32" spans="1:10" ht="14.25" x14ac:dyDescent="0.2">
      <c r="A32" s="27"/>
      <c r="B32" s="27"/>
      <c r="C32" s="155" t="str">
        <f>SourceObSm!H51</f>
        <v>Итого</v>
      </c>
      <c r="D32" s="156"/>
      <c r="E32" s="156"/>
      <c r="F32" s="156"/>
      <c r="G32" s="88"/>
      <c r="H32" s="88">
        <f>ROUND(SourceObSm!F51/1000,6)</f>
        <v>290.00031999999999</v>
      </c>
      <c r="I32" s="89" t="s">
        <v>256</v>
      </c>
      <c r="J32" s="85"/>
    </row>
    <row r="35" spans="1:10" ht="14.25" x14ac:dyDescent="0.2">
      <c r="A35" s="11"/>
      <c r="B35" s="159" t="s">
        <v>269</v>
      </c>
      <c r="C35" s="159"/>
      <c r="D35" s="97" t="str">
        <f>IF(SourceObSm!X12&lt;&gt;"",SourceObSm!X12,"")</f>
        <v/>
      </c>
      <c r="E35" s="98"/>
      <c r="F35" s="98"/>
      <c r="G35" s="98"/>
      <c r="H35" s="17"/>
      <c r="I35" s="11"/>
      <c r="J35" s="11"/>
    </row>
    <row r="36" spans="1:10" ht="14.25" x14ac:dyDescent="0.2">
      <c r="A36" s="11"/>
      <c r="B36" s="73"/>
      <c r="C36" s="11"/>
      <c r="D36" s="160" t="s">
        <v>270</v>
      </c>
      <c r="E36" s="160"/>
      <c r="F36" s="160"/>
      <c r="G36" s="160"/>
      <c r="H36" s="76"/>
      <c r="I36" s="11"/>
      <c r="J36" s="11"/>
    </row>
    <row r="37" spans="1:10" ht="14.25" x14ac:dyDescent="0.2">
      <c r="A37" s="11"/>
      <c r="B37" s="73"/>
      <c r="C37" s="21"/>
      <c r="D37" s="11"/>
      <c r="E37" s="76"/>
      <c r="F37" s="76"/>
      <c r="G37" s="76"/>
      <c r="H37" s="76"/>
      <c r="I37" s="11"/>
      <c r="J37" s="11"/>
    </row>
    <row r="38" spans="1:10" ht="14.25" x14ac:dyDescent="0.2">
      <c r="A38" s="11"/>
      <c r="B38" s="99" t="s">
        <v>271</v>
      </c>
      <c r="C38" s="97" t="str">
        <f>IF(SourceObSm!AA12&lt;&gt;"",SourceObSm!AA12,"")</f>
        <v/>
      </c>
      <c r="D38" s="21" t="s">
        <v>272</v>
      </c>
      <c r="E38" s="100"/>
      <c r="F38" s="100"/>
      <c r="G38" s="100"/>
      <c r="H38" s="81" t="str">
        <f>IF(SourceObSm!Y12&lt;&gt;"",SourceObSm!Y12,"")</f>
        <v/>
      </c>
      <c r="I38" s="11"/>
      <c r="J38" s="11"/>
    </row>
    <row r="39" spans="1:10" ht="14.25" x14ac:dyDescent="0.2">
      <c r="A39" s="11"/>
      <c r="B39" s="10"/>
      <c r="C39" s="101" t="s">
        <v>273</v>
      </c>
      <c r="D39" s="13"/>
      <c r="E39" s="145" t="s">
        <v>270</v>
      </c>
      <c r="F39" s="145"/>
      <c r="G39" s="145"/>
      <c r="H39" s="76"/>
      <c r="I39" s="11"/>
      <c r="J39" s="11"/>
    </row>
    <row r="40" spans="1:10" ht="14.25" x14ac:dyDescent="0.2">
      <c r="A40" s="11"/>
      <c r="B40" s="99"/>
      <c r="C40" s="11"/>
      <c r="D40" s="11"/>
      <c r="E40" s="11"/>
      <c r="F40" s="11"/>
      <c r="G40" s="11"/>
      <c r="H40" s="11"/>
      <c r="I40" s="11"/>
      <c r="J40" s="11"/>
    </row>
    <row r="41" spans="1:10" ht="14.25" x14ac:dyDescent="0.2">
      <c r="A41" s="11"/>
      <c r="B41" s="99" t="s">
        <v>274</v>
      </c>
      <c r="C41" s="97" t="str">
        <f>IF(SourceObSm!AC12&lt;&gt;"",SourceObSm!AC12,"")</f>
        <v>ведущий специалист - эксперт</v>
      </c>
      <c r="D41" s="100"/>
      <c r="E41" s="100"/>
      <c r="F41" s="81" t="str">
        <f>IF(SourceObSm!AB12&lt;&gt;"",SourceObSm!AB12,"")</f>
        <v>Пегей С.В.</v>
      </c>
      <c r="G41" s="17"/>
      <c r="H41" s="11"/>
      <c r="I41" s="11"/>
      <c r="J41" s="11"/>
    </row>
    <row r="42" spans="1:10" ht="14.25" x14ac:dyDescent="0.2">
      <c r="A42" s="11"/>
      <c r="B42" s="99"/>
      <c r="C42" s="145" t="s">
        <v>275</v>
      </c>
      <c r="D42" s="145"/>
      <c r="E42" s="145"/>
      <c r="F42" s="76"/>
      <c r="G42" s="76"/>
      <c r="H42" s="11"/>
      <c r="I42" s="11"/>
      <c r="J42" s="11"/>
    </row>
    <row r="43" spans="1:10" ht="14.25" x14ac:dyDescent="0.2">
      <c r="A43" s="11"/>
      <c r="B43" s="99"/>
      <c r="C43" s="102"/>
      <c r="D43" s="102"/>
      <c r="E43" s="102"/>
      <c r="F43" s="76"/>
      <c r="G43" s="76"/>
      <c r="H43" s="11"/>
      <c r="I43" s="11"/>
      <c r="J43" s="11"/>
    </row>
    <row r="44" spans="1:10" ht="14.25" x14ac:dyDescent="0.2">
      <c r="A44" s="11"/>
      <c r="B44" s="99" t="s">
        <v>276</v>
      </c>
      <c r="C44" s="97" t="str">
        <f>IF(SourceObSm!AE12&lt;&gt;"",SourceObSm!AE12,"")</f>
        <v>начальник отдела строительства</v>
      </c>
      <c r="D44" s="100"/>
      <c r="E44" s="100"/>
      <c r="F44" s="81" t="str">
        <f>IF(SourceObSm!AD12&lt;&gt;"",SourceObSm!AD12,"")</f>
        <v>Иванова Н.Г.</v>
      </c>
      <c r="G44" s="17"/>
      <c r="H44" s="11"/>
      <c r="I44" s="11"/>
      <c r="J44" s="11"/>
    </row>
    <row r="45" spans="1:10" ht="14.25" x14ac:dyDescent="0.2">
      <c r="A45" s="11"/>
      <c r="B45" s="73"/>
      <c r="C45" s="145" t="s">
        <v>275</v>
      </c>
      <c r="D45" s="145"/>
      <c r="E45" s="145"/>
      <c r="F45" s="76"/>
      <c r="G45" s="76"/>
      <c r="H45" s="11"/>
      <c r="I45" s="11"/>
      <c r="J45" s="11"/>
    </row>
  </sheetData>
  <mergeCells count="29">
    <mergeCell ref="B35:C35"/>
    <mergeCell ref="D36:G36"/>
    <mergeCell ref="E39:G39"/>
    <mergeCell ref="C42:E42"/>
    <mergeCell ref="C45:E45"/>
    <mergeCell ref="C32:F32"/>
    <mergeCell ref="A21:A22"/>
    <mergeCell ref="B21:B22"/>
    <mergeCell ref="C21:C22"/>
    <mergeCell ref="D21:H21"/>
    <mergeCell ref="C27:F27"/>
    <mergeCell ref="C28:F28"/>
    <mergeCell ref="C29:F29"/>
    <mergeCell ref="C30:F30"/>
    <mergeCell ref="C31:F31"/>
    <mergeCell ref="I21:I22"/>
    <mergeCell ref="J21:J22"/>
    <mergeCell ref="A11:C11"/>
    <mergeCell ref="D11:I11"/>
    <mergeCell ref="A13:C13"/>
    <mergeCell ref="A15:C15"/>
    <mergeCell ref="A17:C17"/>
    <mergeCell ref="A19:J19"/>
    <mergeCell ref="D9:I9"/>
    <mergeCell ref="A1:D1"/>
    <mergeCell ref="B4:I4"/>
    <mergeCell ref="B5:I5"/>
    <mergeCell ref="A8:C8"/>
    <mergeCell ref="D8:I8"/>
  </mergeCells>
  <pageMargins left="0.4" right="0.2" top="0.2" bottom="0.4" header="0.2" footer="0.2"/>
  <pageSetup paperSize="9" scale="63" fitToHeight="0" orientation="portrait" r:id="rId1"/>
  <headerFooter>
    <oddHeader>&amp;C&amp;P страница из &amp;L&amp;</oddHead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K132"/>
  <sheetViews>
    <sheetView workbookViewId="0">
      <selection activeCell="A128" sqref="A128:E128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60931</v>
      </c>
      <c r="M1">
        <v>10</v>
      </c>
    </row>
    <row r="12" spans="1:133" x14ac:dyDescent="0.2">
      <c r="A12" s="1">
        <v>1</v>
      </c>
      <c r="B12" s="1">
        <v>127</v>
      </c>
      <c r="C12" s="1">
        <v>0</v>
      </c>
      <c r="D12" s="1">
        <f>ROW(A63)</f>
        <v>63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3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6</v>
      </c>
      <c r="AC12" s="1" t="s">
        <v>7</v>
      </c>
      <c r="AD12" s="1" t="s">
        <v>8</v>
      </c>
      <c r="AE12" s="1" t="s">
        <v>9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10</v>
      </c>
      <c r="BI12" s="1" t="s">
        <v>11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12</v>
      </c>
      <c r="BZ12" s="1" t="s">
        <v>13</v>
      </c>
      <c r="CA12" s="1" t="s">
        <v>12</v>
      </c>
      <c r="CB12" s="1" t="s">
        <v>12</v>
      </c>
      <c r="CC12" s="1" t="s">
        <v>12</v>
      </c>
      <c r="CD12" s="1" t="s">
        <v>12</v>
      </c>
      <c r="CE12" s="1" t="s">
        <v>14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B63</f>
        <v>127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</v>
      </c>
      <c r="G18" s="2" t="str">
        <f t="shared" si="0"/>
        <v>зимнее содержание Бишево</v>
      </c>
      <c r="H18" s="2"/>
      <c r="I18" s="2"/>
      <c r="J18" s="2"/>
      <c r="K18" s="2"/>
      <c r="L18" s="2"/>
      <c r="M18" s="2"/>
      <c r="N18" s="2"/>
      <c r="O18" s="2">
        <f t="shared" ref="O18:AT18" si="1">O63</f>
        <v>210145.16</v>
      </c>
      <c r="P18" s="2">
        <f t="shared" si="1"/>
        <v>0</v>
      </c>
      <c r="Q18" s="2">
        <f t="shared" si="1"/>
        <v>196654.04</v>
      </c>
      <c r="R18" s="2">
        <f t="shared" si="1"/>
        <v>40864.199999999997</v>
      </c>
      <c r="S18" s="2">
        <f t="shared" si="1"/>
        <v>13491.12</v>
      </c>
      <c r="T18" s="2">
        <f t="shared" si="1"/>
        <v>0</v>
      </c>
      <c r="U18" s="2">
        <f t="shared" si="1"/>
        <v>105.928984</v>
      </c>
      <c r="V18" s="2">
        <f t="shared" si="1"/>
        <v>184.701123</v>
      </c>
      <c r="W18" s="2">
        <f t="shared" si="1"/>
        <v>0</v>
      </c>
      <c r="X18" s="2">
        <f t="shared" si="1"/>
        <v>42029.03</v>
      </c>
      <c r="Y18" s="2">
        <f t="shared" si="1"/>
        <v>37826.129999999997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290000.32</v>
      </c>
      <c r="AS18" s="2">
        <f t="shared" si="1"/>
        <v>290000.32</v>
      </c>
      <c r="AT18" s="2">
        <f t="shared" si="1"/>
        <v>0</v>
      </c>
      <c r="AU18" s="2">
        <f t="shared" ref="AU18:BZ18" si="2">AU63</f>
        <v>0</v>
      </c>
      <c r="AV18" s="2">
        <f t="shared" si="2"/>
        <v>0</v>
      </c>
      <c r="AW18" s="2">
        <f t="shared" si="2"/>
        <v>0</v>
      </c>
      <c r="AX18" s="2">
        <f t="shared" si="2"/>
        <v>0</v>
      </c>
      <c r="AY18" s="2">
        <f t="shared" si="2"/>
        <v>0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ROW(A28)</f>
        <v>28</v>
      </c>
      <c r="E20" s="1"/>
      <c r="F20" s="1" t="s">
        <v>15</v>
      </c>
      <c r="G20" s="1" t="s">
        <v>15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45" x14ac:dyDescent="0.2">
      <c r="A22" s="2">
        <v>52</v>
      </c>
      <c r="B22" s="2">
        <f t="shared" ref="B22:G22" si="7">B28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O28</f>
        <v>210145.16</v>
      </c>
      <c r="P22" s="2">
        <f t="shared" si="8"/>
        <v>0</v>
      </c>
      <c r="Q22" s="2">
        <f t="shared" si="8"/>
        <v>196654.04</v>
      </c>
      <c r="R22" s="2">
        <f t="shared" si="8"/>
        <v>40864.199999999997</v>
      </c>
      <c r="S22" s="2">
        <f t="shared" si="8"/>
        <v>13491.12</v>
      </c>
      <c r="T22" s="2">
        <f t="shared" si="8"/>
        <v>0</v>
      </c>
      <c r="U22" s="2">
        <f t="shared" si="8"/>
        <v>105.928984</v>
      </c>
      <c r="V22" s="2">
        <f t="shared" si="8"/>
        <v>184.701123</v>
      </c>
      <c r="W22" s="2">
        <f t="shared" si="8"/>
        <v>0</v>
      </c>
      <c r="X22" s="2">
        <f t="shared" si="8"/>
        <v>42029.03</v>
      </c>
      <c r="Y22" s="2">
        <f t="shared" si="8"/>
        <v>37826.129999999997</v>
      </c>
      <c r="Z22" s="2">
        <f t="shared" si="8"/>
        <v>0</v>
      </c>
      <c r="AA22" s="2">
        <f t="shared" si="8"/>
        <v>0</v>
      </c>
      <c r="AB22" s="2">
        <f t="shared" si="8"/>
        <v>210145.16</v>
      </c>
      <c r="AC22" s="2">
        <f t="shared" si="8"/>
        <v>0</v>
      </c>
      <c r="AD22" s="2">
        <f t="shared" si="8"/>
        <v>196654.04</v>
      </c>
      <c r="AE22" s="2">
        <f t="shared" si="8"/>
        <v>40864.199999999997</v>
      </c>
      <c r="AF22" s="2">
        <f t="shared" si="8"/>
        <v>13491.12</v>
      </c>
      <c r="AG22" s="2">
        <f t="shared" si="8"/>
        <v>0</v>
      </c>
      <c r="AH22" s="2">
        <f t="shared" si="8"/>
        <v>105.928984</v>
      </c>
      <c r="AI22" s="2">
        <f t="shared" si="8"/>
        <v>184.701123</v>
      </c>
      <c r="AJ22" s="2">
        <f t="shared" si="8"/>
        <v>0</v>
      </c>
      <c r="AK22" s="2">
        <f t="shared" si="8"/>
        <v>42029.03</v>
      </c>
      <c r="AL22" s="2">
        <f t="shared" si="8"/>
        <v>37826.129999999997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290000.32</v>
      </c>
      <c r="AS22" s="2">
        <f t="shared" si="8"/>
        <v>290000.32</v>
      </c>
      <c r="AT22" s="2">
        <f t="shared" si="8"/>
        <v>0</v>
      </c>
      <c r="AU22" s="2">
        <f t="shared" ref="AU22:BZ22" si="9">AU28</f>
        <v>0</v>
      </c>
      <c r="AV22" s="2">
        <f t="shared" si="9"/>
        <v>0</v>
      </c>
      <c r="AW22" s="2">
        <f t="shared" si="9"/>
        <v>0</v>
      </c>
      <c r="AX22" s="2">
        <f t="shared" si="9"/>
        <v>0</v>
      </c>
      <c r="AY22" s="2">
        <f t="shared" si="9"/>
        <v>0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CA28</f>
        <v>290000.32</v>
      </c>
      <c r="CB22" s="2">
        <f t="shared" si="10"/>
        <v>290000.32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DG28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EM28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FS28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ROW(SmtRes!A2)</f>
        <v>2</v>
      </c>
      <c r="D24">
        <f>ROW(EtalonRes!A2)</f>
        <v>2</v>
      </c>
      <c r="E24" t="s">
        <v>16</v>
      </c>
      <c r="F24" t="s">
        <v>17</v>
      </c>
      <c r="G24" t="s">
        <v>18</v>
      </c>
      <c r="H24" t="s">
        <v>19</v>
      </c>
      <c r="I24">
        <f>ROUND(3620000/10000,9)</f>
        <v>362</v>
      </c>
      <c r="J24">
        <v>0</v>
      </c>
      <c r="O24">
        <f>ROUND(CP24,2)</f>
        <v>177930.1</v>
      </c>
      <c r="P24">
        <f>ROUND(CQ24*I24,2)</f>
        <v>0</v>
      </c>
      <c r="Q24">
        <f>ROUND(CR24*I24,2)</f>
        <v>177930.1</v>
      </c>
      <c r="R24">
        <f>ROUND(CS24*I24,2)</f>
        <v>35895.339999999997</v>
      </c>
      <c r="S24">
        <f>ROUND(CT24*I24,2)</f>
        <v>0</v>
      </c>
      <c r="T24">
        <f>ROUND(CU24*I24,2)</f>
        <v>0</v>
      </c>
      <c r="U24">
        <f>CV24*I24</f>
        <v>0</v>
      </c>
      <c r="V24">
        <f>CW24*I24</f>
        <v>159.28</v>
      </c>
      <c r="W24">
        <f>ROUND(CX24*I24,2)</f>
        <v>0</v>
      </c>
      <c r="X24">
        <f t="shared" ref="X24:Y26" si="14">ROUND(CY24,2)</f>
        <v>35586.019999999997</v>
      </c>
      <c r="Y24">
        <f t="shared" si="14"/>
        <v>32027.42</v>
      </c>
      <c r="AA24">
        <v>43335668</v>
      </c>
      <c r="AB24">
        <f>ROUND((AC24+AD24+AF24),6)</f>
        <v>491.51960000000003</v>
      </c>
      <c r="AC24">
        <f>ROUND((0),6)</f>
        <v>0</v>
      </c>
      <c r="AD24">
        <f>ROUND((((SUM(SmtRes!BR1:'SmtRes'!BR2))-(SUM(SmtRes!BS1:'SmtRes'!BS2)))+AE24),6)</f>
        <v>491.51960000000003</v>
      </c>
      <c r="AE24">
        <f>ROUND((SUM(SmtRes!BS1:'SmtRes'!BS2)),6)</f>
        <v>99.1584</v>
      </c>
      <c r="AF24">
        <f>ROUND((0),6)</f>
        <v>0</v>
      </c>
      <c r="AG24">
        <f>ROUND((AP24),6)</f>
        <v>0</v>
      </c>
      <c r="AH24">
        <f>(0)</f>
        <v>0</v>
      </c>
      <c r="AI24">
        <f>(SUM(SmtRes!BV1:'SmtRes'!BV2))</f>
        <v>0.44</v>
      </c>
      <c r="AJ24">
        <f>(AS24)</f>
        <v>0</v>
      </c>
      <c r="AK24">
        <v>491.51959999999997</v>
      </c>
      <c r="AL24">
        <v>0</v>
      </c>
      <c r="AM24">
        <v>491.51959999999997</v>
      </c>
      <c r="AN24">
        <v>99.1584</v>
      </c>
      <c r="AO24">
        <v>0</v>
      </c>
      <c r="AP24">
        <v>0</v>
      </c>
      <c r="AQ24">
        <v>0</v>
      </c>
      <c r="AR24">
        <v>0.44</v>
      </c>
      <c r="AS24">
        <v>0</v>
      </c>
      <c r="AT24">
        <v>20</v>
      </c>
      <c r="AU24">
        <v>15</v>
      </c>
      <c r="AV24">
        <v>1</v>
      </c>
      <c r="AW24">
        <v>1</v>
      </c>
      <c r="AZ24">
        <v>1</v>
      </c>
      <c r="BA24">
        <v>1</v>
      </c>
      <c r="BB24">
        <v>1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20</v>
      </c>
      <c r="BM24">
        <v>900003</v>
      </c>
      <c r="BN24">
        <v>0</v>
      </c>
      <c r="BO24" t="s">
        <v>3</v>
      </c>
      <c r="BP24">
        <v>0</v>
      </c>
      <c r="BQ24">
        <v>0</v>
      </c>
      <c r="BR24">
        <v>0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20</v>
      </c>
      <c r="CA24">
        <v>15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>(P24+Q24+S24)</f>
        <v>177930.1</v>
      </c>
      <c r="CQ24">
        <f>AC24*BC24</f>
        <v>0</v>
      </c>
      <c r="CR24">
        <f>AD24*BB24</f>
        <v>491.51960000000003</v>
      </c>
      <c r="CS24">
        <f>AE24*BS24</f>
        <v>99.1584</v>
      </c>
      <c r="CT24">
        <f>AF24*BA24</f>
        <v>0</v>
      </c>
      <c r="CU24">
        <f t="shared" ref="CU24:CX26" si="15">AG24</f>
        <v>0</v>
      </c>
      <c r="CV24">
        <f t="shared" si="15"/>
        <v>0</v>
      </c>
      <c r="CW24">
        <f t="shared" si="15"/>
        <v>0.44</v>
      </c>
      <c r="CX24">
        <f t="shared" si="15"/>
        <v>0</v>
      </c>
      <c r="CY24">
        <f>((O24*FX24)/100)</f>
        <v>35586.019999999997</v>
      </c>
      <c r="CZ24">
        <f>(((O24+X24)*FY24)/100)</f>
        <v>32027.417999999998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19</v>
      </c>
      <c r="DW24" t="s">
        <v>21</v>
      </c>
      <c r="DX24">
        <v>1</v>
      </c>
      <c r="EE24">
        <v>42950874</v>
      </c>
      <c r="EF24">
        <v>0</v>
      </c>
      <c r="EG24" t="s">
        <v>3</v>
      </c>
      <c r="EH24">
        <v>0</v>
      </c>
      <c r="EI24" t="s">
        <v>3</v>
      </c>
      <c r="EJ24">
        <v>1</v>
      </c>
      <c r="EK24">
        <v>900003</v>
      </c>
      <c r="EL24" t="s">
        <v>22</v>
      </c>
      <c r="EM24" t="s">
        <v>23</v>
      </c>
      <c r="EO24" t="s">
        <v>3</v>
      </c>
      <c r="EQ24">
        <v>0</v>
      </c>
      <c r="ER24">
        <v>455.34</v>
      </c>
      <c r="ES24">
        <v>0</v>
      </c>
      <c r="ET24">
        <v>455.34</v>
      </c>
      <c r="EU24">
        <v>79.569999999999993</v>
      </c>
      <c r="EV24">
        <v>0</v>
      </c>
      <c r="EW24">
        <v>0</v>
      </c>
      <c r="EX24">
        <v>0.44</v>
      </c>
      <c r="EY24">
        <v>0</v>
      </c>
      <c r="FQ24">
        <v>0</v>
      </c>
      <c r="FR24">
        <f>ROUND(IF(AND(BH24=3,BI24=3),P24,0),2)</f>
        <v>0</v>
      </c>
      <c r="FS24">
        <v>0</v>
      </c>
      <c r="FX24">
        <v>20</v>
      </c>
      <c r="FY24">
        <v>15</v>
      </c>
      <c r="GA24" t="s">
        <v>3</v>
      </c>
      <c r="GD24">
        <v>1</v>
      </c>
      <c r="GF24">
        <v>407975160</v>
      </c>
      <c r="GG24">
        <v>2</v>
      </c>
      <c r="GH24">
        <v>1</v>
      </c>
      <c r="GI24">
        <v>-2</v>
      </c>
      <c r="GJ24">
        <v>0</v>
      </c>
      <c r="GK24">
        <v>0</v>
      </c>
      <c r="GL24">
        <f>ROUND(IF(AND(BH24=3,BI24=3,FS24&lt;&gt;0),P24,0),2)</f>
        <v>0</v>
      </c>
      <c r="GM24">
        <f>ROUND(O24+X24+Y24,2)+GX24</f>
        <v>245543.54</v>
      </c>
      <c r="GN24">
        <f>IF(OR(BI24=0,BI24=1),ROUND(O24+X24+Y24,2),0)</f>
        <v>245543.54</v>
      </c>
      <c r="GO24">
        <f>IF(BI24=2,ROUND(O24+X24+Y24,2),0)</f>
        <v>0</v>
      </c>
      <c r="GP24">
        <f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>ROUND((GT24),6)</f>
        <v>0</v>
      </c>
      <c r="GW24">
        <v>1</v>
      </c>
      <c r="GX24">
        <f>ROUND(HC24*I24,2)</f>
        <v>0</v>
      </c>
      <c r="HA24">
        <v>0</v>
      </c>
      <c r="HB24">
        <v>0</v>
      </c>
      <c r="HC24">
        <f>GV24*GW24</f>
        <v>0</v>
      </c>
      <c r="IK24">
        <v>0</v>
      </c>
    </row>
    <row r="25" spans="1:245" x14ac:dyDescent="0.2">
      <c r="A25">
        <v>17</v>
      </c>
      <c r="B25">
        <v>1</v>
      </c>
      <c r="C25">
        <f>ROW(SmtRes!A4)</f>
        <v>4</v>
      </c>
      <c r="D25">
        <f>ROW(EtalonRes!A4)</f>
        <v>4</v>
      </c>
      <c r="E25" t="s">
        <v>24</v>
      </c>
      <c r="F25" t="s">
        <v>25</v>
      </c>
      <c r="G25" t="s">
        <v>26</v>
      </c>
      <c r="H25" t="s">
        <v>27</v>
      </c>
      <c r="I25">
        <f>ROUND(42/10,9)</f>
        <v>4.2</v>
      </c>
      <c r="J25">
        <v>0</v>
      </c>
      <c r="O25">
        <f>ROUND(CP25,2)</f>
        <v>9319.0400000000009</v>
      </c>
      <c r="P25">
        <f>ROUND(CQ25*I25,2)</f>
        <v>0</v>
      </c>
      <c r="Q25">
        <f>ROUND(CR25*I25,2)</f>
        <v>9319.0400000000009</v>
      </c>
      <c r="R25">
        <f>ROUND(CS25*I25,2)</f>
        <v>2574.73</v>
      </c>
      <c r="S25">
        <f>ROUND(CT25*I25,2)</f>
        <v>0</v>
      </c>
      <c r="T25">
        <f>ROUND(CU25*I25,2)</f>
        <v>0</v>
      </c>
      <c r="U25">
        <f>CV25*I25</f>
        <v>0</v>
      </c>
      <c r="V25">
        <f>CW25*I25</f>
        <v>12.18</v>
      </c>
      <c r="W25">
        <f>ROUND(CX25*I25,2)</f>
        <v>0</v>
      </c>
      <c r="X25">
        <f t="shared" si="14"/>
        <v>1863.81</v>
      </c>
      <c r="Y25">
        <f t="shared" si="14"/>
        <v>1677.43</v>
      </c>
      <c r="AA25">
        <v>43335668</v>
      </c>
      <c r="AB25">
        <f>ROUND((AC25+AD25+AF25),6)</f>
        <v>2218.819</v>
      </c>
      <c r="AC25">
        <f>ROUND((0),6)</f>
        <v>0</v>
      </c>
      <c r="AD25">
        <f>ROUND((((SUM(SmtRes!BR3:'SmtRes'!BR4))-(SUM(SmtRes!BS3:'SmtRes'!BS4)))+AE25),6)</f>
        <v>2218.819</v>
      </c>
      <c r="AE25">
        <f>ROUND((SUM(SmtRes!BS3:'SmtRes'!BS4)),6)</f>
        <v>613.03099999999995</v>
      </c>
      <c r="AF25">
        <f>ROUND((0),6)</f>
        <v>0</v>
      </c>
      <c r="AG25">
        <f>ROUND((AP25),6)</f>
        <v>0</v>
      </c>
      <c r="AH25">
        <f>(0)</f>
        <v>0</v>
      </c>
      <c r="AI25">
        <f>(SUM(SmtRes!BV3:'SmtRes'!BV4))</f>
        <v>2.9</v>
      </c>
      <c r="AJ25">
        <f>(AS25)</f>
        <v>0</v>
      </c>
      <c r="AK25">
        <v>2218.819</v>
      </c>
      <c r="AL25">
        <v>0</v>
      </c>
      <c r="AM25">
        <v>2218.819</v>
      </c>
      <c r="AN25">
        <v>613.03099999999995</v>
      </c>
      <c r="AO25">
        <v>0</v>
      </c>
      <c r="AP25">
        <v>0</v>
      </c>
      <c r="AQ25">
        <v>0</v>
      </c>
      <c r="AR25">
        <v>2.9</v>
      </c>
      <c r="AS25">
        <v>0</v>
      </c>
      <c r="AT25">
        <v>20</v>
      </c>
      <c r="AU25">
        <v>15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28</v>
      </c>
      <c r="BM25">
        <v>900003</v>
      </c>
      <c r="BN25">
        <v>0</v>
      </c>
      <c r="BO25" t="s">
        <v>3</v>
      </c>
      <c r="BP25">
        <v>0</v>
      </c>
      <c r="BQ25">
        <v>0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20</v>
      </c>
      <c r="CA25">
        <v>15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>(P25+Q25+S25)</f>
        <v>9319.0400000000009</v>
      </c>
      <c r="CQ25">
        <f>AC25*BC25</f>
        <v>0</v>
      </c>
      <c r="CR25">
        <f>AD25*BB25</f>
        <v>2218.819</v>
      </c>
      <c r="CS25">
        <f>AE25*BS25</f>
        <v>613.03099999999995</v>
      </c>
      <c r="CT25">
        <f>AF25*BA25</f>
        <v>0</v>
      </c>
      <c r="CU25">
        <f t="shared" si="15"/>
        <v>0</v>
      </c>
      <c r="CV25">
        <f t="shared" si="15"/>
        <v>0</v>
      </c>
      <c r="CW25">
        <f t="shared" si="15"/>
        <v>2.9</v>
      </c>
      <c r="CX25">
        <f t="shared" si="15"/>
        <v>0</v>
      </c>
      <c r="CY25">
        <f>((O25*FX25)/100)</f>
        <v>1863.8080000000002</v>
      </c>
      <c r="CZ25">
        <f>(((O25+X25)*FY25)/100)</f>
        <v>1677.4275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27</v>
      </c>
      <c r="DW25" t="s">
        <v>27</v>
      </c>
      <c r="DX25">
        <v>1</v>
      </c>
      <c r="EE25">
        <v>42950874</v>
      </c>
      <c r="EF25">
        <v>0</v>
      </c>
      <c r="EG25" t="s">
        <v>3</v>
      </c>
      <c r="EH25">
        <v>0</v>
      </c>
      <c r="EI25" t="s">
        <v>3</v>
      </c>
      <c r="EJ25">
        <v>1</v>
      </c>
      <c r="EK25">
        <v>900003</v>
      </c>
      <c r="EL25" t="s">
        <v>22</v>
      </c>
      <c r="EM25" t="s">
        <v>23</v>
      </c>
      <c r="EO25" t="s">
        <v>3</v>
      </c>
      <c r="EQ25">
        <v>0</v>
      </c>
      <c r="ER25">
        <v>1928.96</v>
      </c>
      <c r="ES25">
        <v>0</v>
      </c>
      <c r="ET25">
        <v>1928.96</v>
      </c>
      <c r="EU25">
        <v>524.44000000000005</v>
      </c>
      <c r="EV25">
        <v>0</v>
      </c>
      <c r="EW25">
        <v>0</v>
      </c>
      <c r="EX25">
        <v>2.9</v>
      </c>
      <c r="EY25">
        <v>0</v>
      </c>
      <c r="FQ25">
        <v>0</v>
      </c>
      <c r="FR25">
        <f>ROUND(IF(AND(BH25=3,BI25=3),P25,0),2)</f>
        <v>0</v>
      </c>
      <c r="FS25">
        <v>0</v>
      </c>
      <c r="FX25">
        <v>20</v>
      </c>
      <c r="FY25">
        <v>15</v>
      </c>
      <c r="GA25" t="s">
        <v>3</v>
      </c>
      <c r="GD25">
        <v>1</v>
      </c>
      <c r="GF25">
        <v>2006336619</v>
      </c>
      <c r="GG25">
        <v>2</v>
      </c>
      <c r="GH25">
        <v>1</v>
      </c>
      <c r="GI25">
        <v>-2</v>
      </c>
      <c r="GJ25">
        <v>0</v>
      </c>
      <c r="GK25">
        <v>0</v>
      </c>
      <c r="GL25">
        <f>ROUND(IF(AND(BH25=3,BI25=3,FS25&lt;&gt;0),P25,0),2)</f>
        <v>0</v>
      </c>
      <c r="GM25">
        <f>ROUND(O25+X25+Y25,2)+GX25</f>
        <v>12860.28</v>
      </c>
      <c r="GN25">
        <f>IF(OR(BI25=0,BI25=1),ROUND(O25+X25+Y25,2),0)</f>
        <v>12860.28</v>
      </c>
      <c r="GO25">
        <f>IF(BI25=2,ROUND(O25+X25+Y25,2),0)</f>
        <v>0</v>
      </c>
      <c r="GP25">
        <f>IF(BI25=4,ROUND(O25+X25+Y25,2)+GX25,0)</f>
        <v>0</v>
      </c>
      <c r="GR25">
        <v>0</v>
      </c>
      <c r="GS25">
        <v>3</v>
      </c>
      <c r="GT25">
        <v>0</v>
      </c>
      <c r="GU25" t="s">
        <v>3</v>
      </c>
      <c r="GV25">
        <f>ROUND((GT25),6)</f>
        <v>0</v>
      </c>
      <c r="GW25">
        <v>1</v>
      </c>
      <c r="GX25">
        <f>ROUND(HC25*I25,2)</f>
        <v>0</v>
      </c>
      <c r="HA25">
        <v>0</v>
      </c>
      <c r="HB25">
        <v>0</v>
      </c>
      <c r="HC25">
        <f>GV25*GW25</f>
        <v>0</v>
      </c>
      <c r="IK25">
        <v>0</v>
      </c>
    </row>
    <row r="26" spans="1:245" x14ac:dyDescent="0.2">
      <c r="A26">
        <v>17</v>
      </c>
      <c r="B26">
        <v>1</v>
      </c>
      <c r="C26">
        <f>ROW(SmtRes!A7)</f>
        <v>7</v>
      </c>
      <c r="D26">
        <f>ROW(EtalonRes!A7)</f>
        <v>7</v>
      </c>
      <c r="E26" t="s">
        <v>29</v>
      </c>
      <c r="F26" t="s">
        <v>30</v>
      </c>
      <c r="G26" t="s">
        <v>31</v>
      </c>
      <c r="H26" t="s">
        <v>32</v>
      </c>
      <c r="I26">
        <f>ROUND(3493.7/1000,9)</f>
        <v>3.4937</v>
      </c>
      <c r="J26">
        <v>0</v>
      </c>
      <c r="O26">
        <f>ROUND(CP26,2)</f>
        <v>22896.02</v>
      </c>
      <c r="P26">
        <f>ROUND(CQ26*I26,2)</f>
        <v>0</v>
      </c>
      <c r="Q26">
        <f>ROUND(CR26*I26,2)</f>
        <v>9404.9</v>
      </c>
      <c r="R26">
        <f>ROUND(CS26*I26,2)</f>
        <v>2394.13</v>
      </c>
      <c r="S26">
        <f>ROUND(CT26*I26,2)</f>
        <v>13491.12</v>
      </c>
      <c r="T26">
        <f>ROUND(CU26*I26,2)</f>
        <v>0</v>
      </c>
      <c r="U26">
        <f>CV26*I26</f>
        <v>105.928984</v>
      </c>
      <c r="V26">
        <f>CW26*I26</f>
        <v>13.241123</v>
      </c>
      <c r="W26">
        <f>ROUND(CX26*I26,2)</f>
        <v>0</v>
      </c>
      <c r="X26">
        <f t="shared" si="14"/>
        <v>4579.2</v>
      </c>
      <c r="Y26">
        <f t="shared" si="14"/>
        <v>4121.28</v>
      </c>
      <c r="AA26">
        <v>43335668</v>
      </c>
      <c r="AB26">
        <f>ROUND((AC26+AD26+AF26),6)</f>
        <v>6553.5164000000004</v>
      </c>
      <c r="AC26">
        <f>ROUND((0),6)</f>
        <v>0</v>
      </c>
      <c r="AD26">
        <f>ROUND((((SUM(SmtRes!BR5:'SmtRes'!BR7))-(SUM(SmtRes!BS5:'SmtRes'!BS7)))+AE26),6)</f>
        <v>2691.9612000000002</v>
      </c>
      <c r="AE26">
        <f>ROUND((SUM(SmtRes!BS5:'SmtRes'!BS7)),6)</f>
        <v>685.26990000000001</v>
      </c>
      <c r="AF26">
        <f>ROUND((SUM(SmtRes!BT5:'SmtRes'!BT7)),6)</f>
        <v>3861.5551999999998</v>
      </c>
      <c r="AG26">
        <f>ROUND((AP26),6)</f>
        <v>0</v>
      </c>
      <c r="AH26">
        <f>(SUM(SmtRes!BU5:'SmtRes'!BU7))</f>
        <v>30.32</v>
      </c>
      <c r="AI26">
        <f>(SUM(SmtRes!BV5:'SmtRes'!BV7))</f>
        <v>3.79</v>
      </c>
      <c r="AJ26">
        <f>(AS26)</f>
        <v>0</v>
      </c>
      <c r="AK26">
        <v>6553.5164000000004</v>
      </c>
      <c r="AL26">
        <v>0</v>
      </c>
      <c r="AM26">
        <v>2691.9611999999997</v>
      </c>
      <c r="AN26">
        <v>685.26990000000001</v>
      </c>
      <c r="AO26">
        <v>3861.5552000000002</v>
      </c>
      <c r="AP26">
        <v>0</v>
      </c>
      <c r="AQ26">
        <v>30.32</v>
      </c>
      <c r="AR26">
        <v>3.79</v>
      </c>
      <c r="AS26">
        <v>0</v>
      </c>
      <c r="AT26">
        <v>20</v>
      </c>
      <c r="AU26">
        <v>15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33</v>
      </c>
      <c r="BM26">
        <v>900003</v>
      </c>
      <c r="BN26">
        <v>0</v>
      </c>
      <c r="BO26" t="s">
        <v>3</v>
      </c>
      <c r="BP26">
        <v>0</v>
      </c>
      <c r="BQ26">
        <v>0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20</v>
      </c>
      <c r="CA26">
        <v>15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>(P26+Q26+S26)</f>
        <v>22896.02</v>
      </c>
      <c r="CQ26">
        <f>AC26*BC26</f>
        <v>0</v>
      </c>
      <c r="CR26">
        <f>AD26*BB26</f>
        <v>2691.9612000000002</v>
      </c>
      <c r="CS26">
        <f>AE26*BS26</f>
        <v>685.26990000000001</v>
      </c>
      <c r="CT26">
        <f>AF26*BA26</f>
        <v>3861.5551999999998</v>
      </c>
      <c r="CU26">
        <f t="shared" si="15"/>
        <v>0</v>
      </c>
      <c r="CV26">
        <f t="shared" si="15"/>
        <v>30.32</v>
      </c>
      <c r="CW26">
        <f t="shared" si="15"/>
        <v>3.79</v>
      </c>
      <c r="CX26">
        <f t="shared" si="15"/>
        <v>0</v>
      </c>
      <c r="CY26">
        <f>((O26*FX26)/100)</f>
        <v>4579.2040000000006</v>
      </c>
      <c r="CZ26">
        <f>(((O26+X26)*FY26)/100)</f>
        <v>4121.2830000000004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1005</v>
      </c>
      <c r="DV26" t="s">
        <v>32</v>
      </c>
      <c r="DW26" t="s">
        <v>32</v>
      </c>
      <c r="DX26">
        <v>1000</v>
      </c>
      <c r="EE26">
        <v>42950874</v>
      </c>
      <c r="EF26">
        <v>0</v>
      </c>
      <c r="EG26" t="s">
        <v>3</v>
      </c>
      <c r="EH26">
        <v>0</v>
      </c>
      <c r="EI26" t="s">
        <v>3</v>
      </c>
      <c r="EJ26">
        <v>1</v>
      </c>
      <c r="EK26">
        <v>900003</v>
      </c>
      <c r="EL26" t="s">
        <v>22</v>
      </c>
      <c r="EM26" t="s">
        <v>23</v>
      </c>
      <c r="EO26" t="s">
        <v>3</v>
      </c>
      <c r="EQ26">
        <v>0</v>
      </c>
      <c r="ER26">
        <v>5212.95</v>
      </c>
      <c r="ES26">
        <v>0</v>
      </c>
      <c r="ET26">
        <v>1922.93</v>
      </c>
      <c r="EU26">
        <v>548.34</v>
      </c>
      <c r="EV26">
        <v>3290.02</v>
      </c>
      <c r="EW26">
        <v>0</v>
      </c>
      <c r="EX26">
        <v>3.79</v>
      </c>
      <c r="EY26">
        <v>0</v>
      </c>
      <c r="FQ26">
        <v>0</v>
      </c>
      <c r="FR26">
        <f>ROUND(IF(AND(BH26=3,BI26=3),P26,0),2)</f>
        <v>0</v>
      </c>
      <c r="FS26">
        <v>0</v>
      </c>
      <c r="FX26">
        <v>20</v>
      </c>
      <c r="FY26">
        <v>15</v>
      </c>
      <c r="GA26" t="s">
        <v>3</v>
      </c>
      <c r="GD26">
        <v>1</v>
      </c>
      <c r="GF26">
        <v>1591179019</v>
      </c>
      <c r="GG26">
        <v>2</v>
      </c>
      <c r="GH26">
        <v>1</v>
      </c>
      <c r="GI26">
        <v>-2</v>
      </c>
      <c r="GJ26">
        <v>0</v>
      </c>
      <c r="GK26">
        <v>0</v>
      </c>
      <c r="GL26">
        <f>ROUND(IF(AND(BH26=3,BI26=3,FS26&lt;&gt;0),P26,0),2)</f>
        <v>0</v>
      </c>
      <c r="GM26">
        <f>ROUND(O26+X26+Y26,2)+GX26</f>
        <v>31596.5</v>
      </c>
      <c r="GN26">
        <f>IF(OR(BI26=0,BI26=1),ROUND(O26+X26+Y26,2),0)</f>
        <v>31596.5</v>
      </c>
      <c r="GO26">
        <f>IF(BI26=2,ROUND(O26+X26+Y26,2),0)</f>
        <v>0</v>
      </c>
      <c r="GP26">
        <f>IF(BI26=4,ROUND(O26+X26+Y26,2)+GX26,0)</f>
        <v>0</v>
      </c>
      <c r="GR26">
        <v>0</v>
      </c>
      <c r="GS26">
        <v>3</v>
      </c>
      <c r="GT26">
        <v>0</v>
      </c>
      <c r="GU26" t="s">
        <v>3</v>
      </c>
      <c r="GV26">
        <f>ROUND((GT26),6)</f>
        <v>0</v>
      </c>
      <c r="GW26">
        <v>1</v>
      </c>
      <c r="GX26">
        <f>ROUND(HC26*I26,2)</f>
        <v>0</v>
      </c>
      <c r="HA26">
        <v>0</v>
      </c>
      <c r="HB26">
        <v>0</v>
      </c>
      <c r="HC26">
        <f>GV26*GW26</f>
        <v>0</v>
      </c>
      <c r="IK26">
        <v>0</v>
      </c>
    </row>
    <row r="28" spans="1:245" x14ac:dyDescent="0.2">
      <c r="A28" s="2">
        <v>51</v>
      </c>
      <c r="B28" s="2">
        <f>B20</f>
        <v>1</v>
      </c>
      <c r="C28" s="2">
        <f>A20</f>
        <v>3</v>
      </c>
      <c r="D28" s="2">
        <f>ROW(A20)</f>
        <v>20</v>
      </c>
      <c r="E28" s="2"/>
      <c r="F28" s="2" t="str">
        <f>IF(F20&lt;&gt;"",F20,"")</f>
        <v>Новая локальная смета</v>
      </c>
      <c r="G28" s="2" t="str">
        <f>IF(G20&lt;&gt;"",G20,"")</f>
        <v>Новая локальная смета</v>
      </c>
      <c r="H28" s="2">
        <v>0</v>
      </c>
      <c r="I28" s="2"/>
      <c r="J28" s="2"/>
      <c r="K28" s="2"/>
      <c r="L28" s="2"/>
      <c r="M28" s="2"/>
      <c r="N28" s="2"/>
      <c r="O28" s="2">
        <f t="shared" ref="O28:T28" si="16">ROUND(AB28,2)</f>
        <v>210145.16</v>
      </c>
      <c r="P28" s="2">
        <f t="shared" si="16"/>
        <v>0</v>
      </c>
      <c r="Q28" s="2">
        <f t="shared" si="16"/>
        <v>196654.04</v>
      </c>
      <c r="R28" s="2">
        <f t="shared" si="16"/>
        <v>40864.199999999997</v>
      </c>
      <c r="S28" s="2">
        <f t="shared" si="16"/>
        <v>13491.12</v>
      </c>
      <c r="T28" s="2">
        <f t="shared" si="16"/>
        <v>0</v>
      </c>
      <c r="U28" s="2">
        <f>AH28</f>
        <v>105.928984</v>
      </c>
      <c r="V28" s="2">
        <f>AI28</f>
        <v>184.701123</v>
      </c>
      <c r="W28" s="2">
        <f>ROUND(AJ28,2)</f>
        <v>0</v>
      </c>
      <c r="X28" s="2">
        <f>ROUND(AK28,2)</f>
        <v>42029.03</v>
      </c>
      <c r="Y28" s="2">
        <f>ROUND(AL28,2)</f>
        <v>37826.129999999997</v>
      </c>
      <c r="Z28" s="2"/>
      <c r="AA28" s="2"/>
      <c r="AB28" s="2">
        <f>ROUND(SUMIF(AA24:AA26,"=43335668",O24:O26),2)</f>
        <v>210145.16</v>
      </c>
      <c r="AC28" s="2">
        <f>ROUND(SUMIF(AA24:AA26,"=43335668",P24:P26),2)</f>
        <v>0</v>
      </c>
      <c r="AD28" s="2">
        <f>ROUND(SUMIF(AA24:AA26,"=43335668",Q24:Q26),2)</f>
        <v>196654.04</v>
      </c>
      <c r="AE28" s="2">
        <f>ROUND(SUMIF(AA24:AA26,"=43335668",R24:R26),2)</f>
        <v>40864.199999999997</v>
      </c>
      <c r="AF28" s="2">
        <f>ROUND(SUMIF(AA24:AA26,"=43335668",S24:S26),2)</f>
        <v>13491.12</v>
      </c>
      <c r="AG28" s="2">
        <f>ROUND(SUMIF(AA24:AA26,"=43335668",T24:T26),2)</f>
        <v>0</v>
      </c>
      <c r="AH28" s="2">
        <f>SUMIF(AA24:AA26,"=43335668",U24:U26)</f>
        <v>105.928984</v>
      </c>
      <c r="AI28" s="2">
        <f>SUMIF(AA24:AA26,"=43335668",V24:V26)</f>
        <v>184.701123</v>
      </c>
      <c r="AJ28" s="2">
        <f>ROUND(SUMIF(AA24:AA26,"=43335668",W24:W26),2)</f>
        <v>0</v>
      </c>
      <c r="AK28" s="2">
        <f>ROUND(SUMIF(AA24:AA26,"=43335668",X24:X26),2)</f>
        <v>42029.03</v>
      </c>
      <c r="AL28" s="2">
        <f>ROUND(SUMIF(AA24:AA26,"=43335668",Y24:Y26),2)</f>
        <v>37826.129999999997</v>
      </c>
      <c r="AM28" s="2"/>
      <c r="AN28" s="2"/>
      <c r="AO28" s="2">
        <f t="shared" ref="AO28:BC28" si="17">ROUND(BX28,2)</f>
        <v>0</v>
      </c>
      <c r="AP28" s="2">
        <f t="shared" si="17"/>
        <v>0</v>
      </c>
      <c r="AQ28" s="2">
        <f t="shared" si="17"/>
        <v>0</v>
      </c>
      <c r="AR28" s="2">
        <f t="shared" si="17"/>
        <v>290000.32</v>
      </c>
      <c r="AS28" s="2">
        <f t="shared" si="17"/>
        <v>290000.32</v>
      </c>
      <c r="AT28" s="2">
        <f t="shared" si="17"/>
        <v>0</v>
      </c>
      <c r="AU28" s="2">
        <f t="shared" si="17"/>
        <v>0</v>
      </c>
      <c r="AV28" s="2">
        <f t="shared" si="17"/>
        <v>0</v>
      </c>
      <c r="AW28" s="2">
        <f t="shared" si="17"/>
        <v>0</v>
      </c>
      <c r="AX28" s="2">
        <f t="shared" si="17"/>
        <v>0</v>
      </c>
      <c r="AY28" s="2">
        <f t="shared" si="17"/>
        <v>0</v>
      </c>
      <c r="AZ28" s="2">
        <f t="shared" si="17"/>
        <v>0</v>
      </c>
      <c r="BA28" s="2">
        <f t="shared" si="17"/>
        <v>0</v>
      </c>
      <c r="BB28" s="2">
        <f t="shared" si="17"/>
        <v>0</v>
      </c>
      <c r="BC28" s="2">
        <f t="shared" si="17"/>
        <v>0</v>
      </c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>
        <f>ROUND(SUMIF(AA24:AA26,"=43335668",FQ24:FQ26),2)</f>
        <v>0</v>
      </c>
      <c r="BY28" s="2">
        <f>ROUND(SUMIF(AA24:AA26,"=43335668",FR24:FR26),2)</f>
        <v>0</v>
      </c>
      <c r="BZ28" s="2">
        <f>ROUND(SUMIF(AA24:AA26,"=43335668",GL24:GL26),2)</f>
        <v>0</v>
      </c>
      <c r="CA28" s="2">
        <f>ROUND(SUMIF(AA24:AA26,"=43335668",GM24:GM26),2)</f>
        <v>290000.32</v>
      </c>
      <c r="CB28" s="2">
        <f>ROUND(SUMIF(AA24:AA26,"=43335668",GN24:GN26),2)</f>
        <v>290000.32</v>
      </c>
      <c r="CC28" s="2">
        <f>ROUND(SUMIF(AA24:AA26,"=43335668",GO24:GO26),2)</f>
        <v>0</v>
      </c>
      <c r="CD28" s="2">
        <f>ROUND(SUMIF(AA24:AA26,"=43335668",GP24:GP26),2)</f>
        <v>0</v>
      </c>
      <c r="CE28" s="2">
        <f>AC28-BX28</f>
        <v>0</v>
      </c>
      <c r="CF28" s="2">
        <f>AC28-BY28</f>
        <v>0</v>
      </c>
      <c r="CG28" s="2">
        <f>BX28-BZ28</f>
        <v>0</v>
      </c>
      <c r="CH28" s="2">
        <f>AC28-BX28-BY28+BZ28</f>
        <v>0</v>
      </c>
      <c r="CI28" s="2">
        <f>BY28-BZ28</f>
        <v>0</v>
      </c>
      <c r="CJ28" s="2">
        <f>ROUND(SUMIF(AA24:AA26,"=43335668",GX24:GX26),2)</f>
        <v>0</v>
      </c>
      <c r="CK28" s="2">
        <f>ROUND(SUMIF(AA24:AA26,"=43335668",GY24:GY26),2)</f>
        <v>0</v>
      </c>
      <c r="CL28" s="2">
        <f>ROUND(SUMIF(AA24:AA26,"=43335668",GZ24:GZ26),2)</f>
        <v>0</v>
      </c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>
        <v>0</v>
      </c>
    </row>
    <row r="30" spans="1:245" x14ac:dyDescent="0.2">
      <c r="A30" s="4">
        <v>50</v>
      </c>
      <c r="B30" s="4">
        <v>0</v>
      </c>
      <c r="C30" s="4">
        <v>0</v>
      </c>
      <c r="D30" s="4">
        <v>1</v>
      </c>
      <c r="E30" s="4">
        <v>201</v>
      </c>
      <c r="F30" s="4">
        <f>ROUND(Source!O28,O30)</f>
        <v>210145.16</v>
      </c>
      <c r="G30" s="4" t="s">
        <v>34</v>
      </c>
      <c r="H30" s="4" t="s">
        <v>35</v>
      </c>
      <c r="I30" s="4"/>
      <c r="J30" s="4"/>
      <c r="K30" s="4">
        <v>201</v>
      </c>
      <c r="L30" s="4">
        <v>1</v>
      </c>
      <c r="M30" s="4">
        <v>3</v>
      </c>
      <c r="N30" s="4" t="s">
        <v>3</v>
      </c>
      <c r="O30" s="4">
        <v>2</v>
      </c>
      <c r="P30" s="4"/>
      <c r="Q30" s="4"/>
      <c r="R30" s="4"/>
      <c r="S30" s="4"/>
      <c r="T30" s="4"/>
      <c r="U30" s="4"/>
      <c r="V30" s="4"/>
      <c r="W30" s="4"/>
    </row>
    <row r="31" spans="1:245" x14ac:dyDescent="0.2">
      <c r="A31" s="4">
        <v>50</v>
      </c>
      <c r="B31" s="4">
        <v>0</v>
      </c>
      <c r="C31" s="4">
        <v>0</v>
      </c>
      <c r="D31" s="4">
        <v>1</v>
      </c>
      <c r="E31" s="4">
        <v>202</v>
      </c>
      <c r="F31" s="4">
        <f>ROUND(Source!P28,O31)</f>
        <v>0</v>
      </c>
      <c r="G31" s="4" t="s">
        <v>36</v>
      </c>
      <c r="H31" s="4" t="s">
        <v>37</v>
      </c>
      <c r="I31" s="4"/>
      <c r="J31" s="4"/>
      <c r="K31" s="4">
        <v>202</v>
      </c>
      <c r="L31" s="4">
        <v>2</v>
      </c>
      <c r="M31" s="4">
        <v>3</v>
      </c>
      <c r="N31" s="4" t="s">
        <v>3</v>
      </c>
      <c r="O31" s="4">
        <v>2</v>
      </c>
      <c r="P31" s="4"/>
      <c r="Q31" s="4"/>
      <c r="R31" s="4"/>
      <c r="S31" s="4"/>
      <c r="T31" s="4"/>
      <c r="U31" s="4"/>
      <c r="V31" s="4"/>
      <c r="W31" s="4"/>
    </row>
    <row r="32" spans="1:245" x14ac:dyDescent="0.2">
      <c r="A32" s="4">
        <v>50</v>
      </c>
      <c r="B32" s="4">
        <v>0</v>
      </c>
      <c r="C32" s="4">
        <v>0</v>
      </c>
      <c r="D32" s="4">
        <v>1</v>
      </c>
      <c r="E32" s="4">
        <v>222</v>
      </c>
      <c r="F32" s="4">
        <f>ROUND(Source!AO28,O32)</f>
        <v>0</v>
      </c>
      <c r="G32" s="4" t="s">
        <v>38</v>
      </c>
      <c r="H32" s="4" t="s">
        <v>39</v>
      </c>
      <c r="I32" s="4"/>
      <c r="J32" s="4"/>
      <c r="K32" s="4">
        <v>222</v>
      </c>
      <c r="L32" s="4">
        <v>3</v>
      </c>
      <c r="M32" s="4">
        <v>3</v>
      </c>
      <c r="N32" s="4" t="s">
        <v>3</v>
      </c>
      <c r="O32" s="4">
        <v>2</v>
      </c>
      <c r="P32" s="4"/>
      <c r="Q32" s="4"/>
      <c r="R32" s="4"/>
      <c r="S32" s="4"/>
      <c r="T32" s="4"/>
      <c r="U32" s="4"/>
      <c r="V32" s="4"/>
      <c r="W32" s="4"/>
    </row>
    <row r="33" spans="1:23" x14ac:dyDescent="0.2">
      <c r="A33" s="4">
        <v>50</v>
      </c>
      <c r="B33" s="4">
        <v>0</v>
      </c>
      <c r="C33" s="4">
        <v>0</v>
      </c>
      <c r="D33" s="4">
        <v>1</v>
      </c>
      <c r="E33" s="4">
        <v>225</v>
      </c>
      <c r="F33" s="4">
        <f>ROUND(Source!AV28,O33)</f>
        <v>0</v>
      </c>
      <c r="G33" s="4" t="s">
        <v>40</v>
      </c>
      <c r="H33" s="4" t="s">
        <v>41</v>
      </c>
      <c r="I33" s="4"/>
      <c r="J33" s="4"/>
      <c r="K33" s="4">
        <v>225</v>
      </c>
      <c r="L33" s="4">
        <v>4</v>
      </c>
      <c r="M33" s="4">
        <v>3</v>
      </c>
      <c r="N33" s="4" t="s">
        <v>3</v>
      </c>
      <c r="O33" s="4">
        <v>2</v>
      </c>
      <c r="P33" s="4"/>
      <c r="Q33" s="4"/>
      <c r="R33" s="4"/>
      <c r="S33" s="4"/>
      <c r="T33" s="4"/>
      <c r="U33" s="4"/>
      <c r="V33" s="4"/>
      <c r="W33" s="4"/>
    </row>
    <row r="34" spans="1:23" x14ac:dyDescent="0.2">
      <c r="A34" s="4">
        <v>50</v>
      </c>
      <c r="B34" s="4">
        <v>0</v>
      </c>
      <c r="C34" s="4">
        <v>0</v>
      </c>
      <c r="D34" s="4">
        <v>1</v>
      </c>
      <c r="E34" s="4">
        <v>226</v>
      </c>
      <c r="F34" s="4">
        <f>ROUND(Source!AW28,O34)</f>
        <v>0</v>
      </c>
      <c r="G34" s="4" t="s">
        <v>42</v>
      </c>
      <c r="H34" s="4" t="s">
        <v>43</v>
      </c>
      <c r="I34" s="4"/>
      <c r="J34" s="4"/>
      <c r="K34" s="4">
        <v>226</v>
      </c>
      <c r="L34" s="4">
        <v>5</v>
      </c>
      <c r="M34" s="4">
        <v>3</v>
      </c>
      <c r="N34" s="4" t="s">
        <v>3</v>
      </c>
      <c r="O34" s="4">
        <v>2</v>
      </c>
      <c r="P34" s="4"/>
      <c r="Q34" s="4"/>
      <c r="R34" s="4"/>
      <c r="S34" s="4"/>
      <c r="T34" s="4"/>
      <c r="U34" s="4"/>
      <c r="V34" s="4"/>
      <c r="W34" s="4"/>
    </row>
    <row r="35" spans="1:23" x14ac:dyDescent="0.2">
      <c r="A35" s="4">
        <v>50</v>
      </c>
      <c r="B35" s="4">
        <v>0</v>
      </c>
      <c r="C35" s="4">
        <v>0</v>
      </c>
      <c r="D35" s="4">
        <v>1</v>
      </c>
      <c r="E35" s="4">
        <v>227</v>
      </c>
      <c r="F35" s="4">
        <f>ROUND(Source!AX28,O35)</f>
        <v>0</v>
      </c>
      <c r="G35" s="4" t="s">
        <v>44</v>
      </c>
      <c r="H35" s="4" t="s">
        <v>45</v>
      </c>
      <c r="I35" s="4"/>
      <c r="J35" s="4"/>
      <c r="K35" s="4">
        <v>227</v>
      </c>
      <c r="L35" s="4">
        <v>6</v>
      </c>
      <c r="M35" s="4">
        <v>3</v>
      </c>
      <c r="N35" s="4" t="s">
        <v>3</v>
      </c>
      <c r="O35" s="4">
        <v>2</v>
      </c>
      <c r="P35" s="4"/>
      <c r="Q35" s="4"/>
      <c r="R35" s="4"/>
      <c r="S35" s="4"/>
      <c r="T35" s="4"/>
      <c r="U35" s="4"/>
      <c r="V35" s="4"/>
      <c r="W35" s="4"/>
    </row>
    <row r="36" spans="1:23" x14ac:dyDescent="0.2">
      <c r="A36" s="4">
        <v>50</v>
      </c>
      <c r="B36" s="4">
        <v>0</v>
      </c>
      <c r="C36" s="4">
        <v>0</v>
      </c>
      <c r="D36" s="4">
        <v>1</v>
      </c>
      <c r="E36" s="4">
        <v>228</v>
      </c>
      <c r="F36" s="4">
        <f>ROUND(Source!AY28,O36)</f>
        <v>0</v>
      </c>
      <c r="G36" s="4" t="s">
        <v>46</v>
      </c>
      <c r="H36" s="4" t="s">
        <v>47</v>
      </c>
      <c r="I36" s="4"/>
      <c r="J36" s="4"/>
      <c r="K36" s="4">
        <v>228</v>
      </c>
      <c r="L36" s="4">
        <v>7</v>
      </c>
      <c r="M36" s="4">
        <v>3</v>
      </c>
      <c r="N36" s="4" t="s">
        <v>3</v>
      </c>
      <c r="O36" s="4">
        <v>2</v>
      </c>
      <c r="P36" s="4"/>
      <c r="Q36" s="4"/>
      <c r="R36" s="4"/>
      <c r="S36" s="4"/>
      <c r="T36" s="4"/>
      <c r="U36" s="4"/>
      <c r="V36" s="4"/>
      <c r="W36" s="4"/>
    </row>
    <row r="37" spans="1:23" x14ac:dyDescent="0.2">
      <c r="A37" s="4">
        <v>50</v>
      </c>
      <c r="B37" s="4">
        <v>0</v>
      </c>
      <c r="C37" s="4">
        <v>0</v>
      </c>
      <c r="D37" s="4">
        <v>1</v>
      </c>
      <c r="E37" s="4">
        <v>216</v>
      </c>
      <c r="F37" s="4">
        <f>ROUND(Source!AP28,O37)</f>
        <v>0</v>
      </c>
      <c r="G37" s="4" t="s">
        <v>48</v>
      </c>
      <c r="H37" s="4" t="s">
        <v>49</v>
      </c>
      <c r="I37" s="4"/>
      <c r="J37" s="4"/>
      <c r="K37" s="4">
        <v>216</v>
      </c>
      <c r="L37" s="4">
        <v>8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/>
    </row>
    <row r="38" spans="1:23" x14ac:dyDescent="0.2">
      <c r="A38" s="4">
        <v>50</v>
      </c>
      <c r="B38" s="4">
        <v>0</v>
      </c>
      <c r="C38" s="4">
        <v>0</v>
      </c>
      <c r="D38" s="4">
        <v>1</v>
      </c>
      <c r="E38" s="4">
        <v>223</v>
      </c>
      <c r="F38" s="4">
        <f>ROUND(Source!AQ28,O38)</f>
        <v>0</v>
      </c>
      <c r="G38" s="4" t="s">
        <v>50</v>
      </c>
      <c r="H38" s="4" t="s">
        <v>51</v>
      </c>
      <c r="I38" s="4"/>
      <c r="J38" s="4"/>
      <c r="K38" s="4">
        <v>223</v>
      </c>
      <c r="L38" s="4">
        <v>9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/>
    </row>
    <row r="39" spans="1:23" x14ac:dyDescent="0.2">
      <c r="A39" s="4">
        <v>50</v>
      </c>
      <c r="B39" s="4">
        <v>0</v>
      </c>
      <c r="C39" s="4">
        <v>0</v>
      </c>
      <c r="D39" s="4">
        <v>1</v>
      </c>
      <c r="E39" s="4">
        <v>229</v>
      </c>
      <c r="F39" s="4">
        <f>ROUND(Source!AZ28,O39)</f>
        <v>0</v>
      </c>
      <c r="G39" s="4" t="s">
        <v>52</v>
      </c>
      <c r="H39" s="4" t="s">
        <v>53</v>
      </c>
      <c r="I39" s="4"/>
      <c r="J39" s="4"/>
      <c r="K39" s="4">
        <v>229</v>
      </c>
      <c r="L39" s="4">
        <v>10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3" x14ac:dyDescent="0.2">
      <c r="A40" s="4">
        <v>50</v>
      </c>
      <c r="B40" s="4">
        <v>0</v>
      </c>
      <c r="C40" s="4">
        <v>0</v>
      </c>
      <c r="D40" s="4">
        <v>1</v>
      </c>
      <c r="E40" s="4">
        <v>203</v>
      </c>
      <c r="F40" s="4">
        <f>ROUND(Source!Q28,O40)</f>
        <v>196654.04</v>
      </c>
      <c r="G40" s="4" t="s">
        <v>54</v>
      </c>
      <c r="H40" s="4" t="s">
        <v>55</v>
      </c>
      <c r="I40" s="4"/>
      <c r="J40" s="4"/>
      <c r="K40" s="4">
        <v>203</v>
      </c>
      <c r="L40" s="4">
        <v>11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3" x14ac:dyDescent="0.2">
      <c r="A41" s="4">
        <v>50</v>
      </c>
      <c r="B41" s="4">
        <v>0</v>
      </c>
      <c r="C41" s="4">
        <v>0</v>
      </c>
      <c r="D41" s="4">
        <v>1</v>
      </c>
      <c r="E41" s="4">
        <v>231</v>
      </c>
      <c r="F41" s="4">
        <f>ROUND(Source!BB28,O41)</f>
        <v>0</v>
      </c>
      <c r="G41" s="4" t="s">
        <v>56</v>
      </c>
      <c r="H41" s="4" t="s">
        <v>57</v>
      </c>
      <c r="I41" s="4"/>
      <c r="J41" s="4"/>
      <c r="K41" s="4">
        <v>231</v>
      </c>
      <c r="L41" s="4">
        <v>12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3" x14ac:dyDescent="0.2">
      <c r="A42" s="4">
        <v>50</v>
      </c>
      <c r="B42" s="4">
        <v>0</v>
      </c>
      <c r="C42" s="4">
        <v>0</v>
      </c>
      <c r="D42" s="4">
        <v>1</v>
      </c>
      <c r="E42" s="4">
        <v>204</v>
      </c>
      <c r="F42" s="4">
        <f>ROUND(Source!R28,O42)</f>
        <v>40864.199999999997</v>
      </c>
      <c r="G42" s="4" t="s">
        <v>58</v>
      </c>
      <c r="H42" s="4" t="s">
        <v>59</v>
      </c>
      <c r="I42" s="4"/>
      <c r="J42" s="4"/>
      <c r="K42" s="4">
        <v>204</v>
      </c>
      <c r="L42" s="4">
        <v>13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3" x14ac:dyDescent="0.2">
      <c r="A43" s="4">
        <v>50</v>
      </c>
      <c r="B43" s="4">
        <v>0</v>
      </c>
      <c r="C43" s="4">
        <v>0</v>
      </c>
      <c r="D43" s="4">
        <v>1</v>
      </c>
      <c r="E43" s="4">
        <v>205</v>
      </c>
      <c r="F43" s="4">
        <f>ROUND(Source!S28,O43)</f>
        <v>13491.12</v>
      </c>
      <c r="G43" s="4" t="s">
        <v>60</v>
      </c>
      <c r="H43" s="4" t="s">
        <v>61</v>
      </c>
      <c r="I43" s="4"/>
      <c r="J43" s="4"/>
      <c r="K43" s="4">
        <v>205</v>
      </c>
      <c r="L43" s="4">
        <v>14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3" x14ac:dyDescent="0.2">
      <c r="A44" s="4">
        <v>50</v>
      </c>
      <c r="B44" s="4">
        <v>0</v>
      </c>
      <c r="C44" s="4">
        <v>0</v>
      </c>
      <c r="D44" s="4">
        <v>1</v>
      </c>
      <c r="E44" s="4">
        <v>232</v>
      </c>
      <c r="F44" s="4">
        <f>ROUND(Source!BC28,O44)</f>
        <v>0</v>
      </c>
      <c r="G44" s="4" t="s">
        <v>62</v>
      </c>
      <c r="H44" s="4" t="s">
        <v>63</v>
      </c>
      <c r="I44" s="4"/>
      <c r="J44" s="4"/>
      <c r="K44" s="4">
        <v>232</v>
      </c>
      <c r="L44" s="4">
        <v>15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3" x14ac:dyDescent="0.2">
      <c r="A45" s="4">
        <v>50</v>
      </c>
      <c r="B45" s="4">
        <v>0</v>
      </c>
      <c r="C45" s="4">
        <v>0</v>
      </c>
      <c r="D45" s="4">
        <v>1</v>
      </c>
      <c r="E45" s="4">
        <v>214</v>
      </c>
      <c r="F45" s="4">
        <f>ROUND(Source!AS28,O45)</f>
        <v>290000.32</v>
      </c>
      <c r="G45" s="4" t="s">
        <v>64</v>
      </c>
      <c r="H45" s="4" t="s">
        <v>65</v>
      </c>
      <c r="I45" s="4"/>
      <c r="J45" s="4"/>
      <c r="K45" s="4">
        <v>214</v>
      </c>
      <c r="L45" s="4">
        <v>16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3" x14ac:dyDescent="0.2">
      <c r="A46" s="4">
        <v>50</v>
      </c>
      <c r="B46" s="4">
        <v>0</v>
      </c>
      <c r="C46" s="4">
        <v>0</v>
      </c>
      <c r="D46" s="4">
        <v>1</v>
      </c>
      <c r="E46" s="4">
        <v>215</v>
      </c>
      <c r="F46" s="4">
        <f>ROUND(Source!AT28,O46)</f>
        <v>0</v>
      </c>
      <c r="G46" s="4" t="s">
        <v>66</v>
      </c>
      <c r="H46" s="4" t="s">
        <v>67</v>
      </c>
      <c r="I46" s="4"/>
      <c r="J46" s="4"/>
      <c r="K46" s="4">
        <v>215</v>
      </c>
      <c r="L46" s="4">
        <v>17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3" x14ac:dyDescent="0.2">
      <c r="A47" s="4">
        <v>50</v>
      </c>
      <c r="B47" s="4">
        <v>0</v>
      </c>
      <c r="C47" s="4">
        <v>0</v>
      </c>
      <c r="D47" s="4">
        <v>1</v>
      </c>
      <c r="E47" s="4">
        <v>217</v>
      </c>
      <c r="F47" s="4">
        <f>ROUND(Source!AU28,O47)</f>
        <v>0</v>
      </c>
      <c r="G47" s="4" t="s">
        <v>68</v>
      </c>
      <c r="H47" s="4" t="s">
        <v>69</v>
      </c>
      <c r="I47" s="4"/>
      <c r="J47" s="4"/>
      <c r="K47" s="4">
        <v>217</v>
      </c>
      <c r="L47" s="4">
        <v>18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3" x14ac:dyDescent="0.2">
      <c r="A48" s="4">
        <v>50</v>
      </c>
      <c r="B48" s="4">
        <v>0</v>
      </c>
      <c r="C48" s="4">
        <v>0</v>
      </c>
      <c r="D48" s="4">
        <v>1</v>
      </c>
      <c r="E48" s="4">
        <v>230</v>
      </c>
      <c r="F48" s="4">
        <f>ROUND(Source!BA28,O48)</f>
        <v>0</v>
      </c>
      <c r="G48" s="4" t="s">
        <v>70</v>
      </c>
      <c r="H48" s="4" t="s">
        <v>71</v>
      </c>
      <c r="I48" s="4"/>
      <c r="J48" s="4"/>
      <c r="K48" s="4">
        <v>230</v>
      </c>
      <c r="L48" s="4">
        <v>19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06" x14ac:dyDescent="0.2">
      <c r="A49" s="4">
        <v>50</v>
      </c>
      <c r="B49" s="4">
        <v>0</v>
      </c>
      <c r="C49" s="4">
        <v>0</v>
      </c>
      <c r="D49" s="4">
        <v>1</v>
      </c>
      <c r="E49" s="4">
        <v>206</v>
      </c>
      <c r="F49" s="4">
        <f>ROUND(Source!T28,O49)</f>
        <v>0</v>
      </c>
      <c r="G49" s="4" t="s">
        <v>72</v>
      </c>
      <c r="H49" s="4" t="s">
        <v>73</v>
      </c>
      <c r="I49" s="4"/>
      <c r="J49" s="4"/>
      <c r="K49" s="4">
        <v>206</v>
      </c>
      <c r="L49" s="4">
        <v>20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06" x14ac:dyDescent="0.2">
      <c r="A50" s="4">
        <v>50</v>
      </c>
      <c r="B50" s="4">
        <v>0</v>
      </c>
      <c r="C50" s="4">
        <v>0</v>
      </c>
      <c r="D50" s="4">
        <v>1</v>
      </c>
      <c r="E50" s="4">
        <v>207</v>
      </c>
      <c r="F50" s="4">
        <f>Source!U28</f>
        <v>105.928984</v>
      </c>
      <c r="G50" s="4" t="s">
        <v>74</v>
      </c>
      <c r="H50" s="4" t="s">
        <v>75</v>
      </c>
      <c r="I50" s="4"/>
      <c r="J50" s="4"/>
      <c r="K50" s="4">
        <v>207</v>
      </c>
      <c r="L50" s="4">
        <v>21</v>
      </c>
      <c r="M50" s="4">
        <v>3</v>
      </c>
      <c r="N50" s="4" t="s">
        <v>3</v>
      </c>
      <c r="O50" s="4">
        <v>-1</v>
      </c>
      <c r="P50" s="4"/>
      <c r="Q50" s="4"/>
      <c r="R50" s="4"/>
      <c r="S50" s="4"/>
      <c r="T50" s="4"/>
      <c r="U50" s="4"/>
      <c r="V50" s="4"/>
      <c r="W50" s="4"/>
    </row>
    <row r="51" spans="1:206" x14ac:dyDescent="0.2">
      <c r="A51" s="4">
        <v>50</v>
      </c>
      <c r="B51" s="4">
        <v>0</v>
      </c>
      <c r="C51" s="4">
        <v>0</v>
      </c>
      <c r="D51" s="4">
        <v>1</v>
      </c>
      <c r="E51" s="4">
        <v>208</v>
      </c>
      <c r="F51" s="4">
        <f>Source!V28</f>
        <v>184.701123</v>
      </c>
      <c r="G51" s="4" t="s">
        <v>76</v>
      </c>
      <c r="H51" s="4" t="s">
        <v>77</v>
      </c>
      <c r="I51" s="4"/>
      <c r="J51" s="4"/>
      <c r="K51" s="4">
        <v>208</v>
      </c>
      <c r="L51" s="4">
        <v>22</v>
      </c>
      <c r="M51" s="4">
        <v>3</v>
      </c>
      <c r="N51" s="4" t="s">
        <v>3</v>
      </c>
      <c r="O51" s="4">
        <v>-1</v>
      </c>
      <c r="P51" s="4"/>
      <c r="Q51" s="4"/>
      <c r="R51" s="4"/>
      <c r="S51" s="4"/>
      <c r="T51" s="4"/>
      <c r="U51" s="4"/>
      <c r="V51" s="4"/>
      <c r="W51" s="4"/>
    </row>
    <row r="52" spans="1:206" x14ac:dyDescent="0.2">
      <c r="A52" s="4">
        <v>50</v>
      </c>
      <c r="B52" s="4">
        <v>0</v>
      </c>
      <c r="C52" s="4">
        <v>0</v>
      </c>
      <c r="D52" s="4">
        <v>1</v>
      </c>
      <c r="E52" s="4">
        <v>209</v>
      </c>
      <c r="F52" s="4">
        <f>ROUND(Source!W28,O52)</f>
        <v>0</v>
      </c>
      <c r="G52" s="4" t="s">
        <v>78</v>
      </c>
      <c r="H52" s="4" t="s">
        <v>79</v>
      </c>
      <c r="I52" s="4"/>
      <c r="J52" s="4"/>
      <c r="K52" s="4">
        <v>209</v>
      </c>
      <c r="L52" s="4">
        <v>23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06" x14ac:dyDescent="0.2">
      <c r="A53" s="4">
        <v>50</v>
      </c>
      <c r="B53" s="4">
        <v>0</v>
      </c>
      <c r="C53" s="4">
        <v>0</v>
      </c>
      <c r="D53" s="4">
        <v>1</v>
      </c>
      <c r="E53" s="4">
        <v>210</v>
      </c>
      <c r="F53" s="4">
        <f>ROUND(Source!X28,O53)</f>
        <v>42029.03</v>
      </c>
      <c r="G53" s="4" t="s">
        <v>80</v>
      </c>
      <c r="H53" s="4" t="s">
        <v>81</v>
      </c>
      <c r="I53" s="4"/>
      <c r="J53" s="4"/>
      <c r="K53" s="4">
        <v>210</v>
      </c>
      <c r="L53" s="4">
        <v>24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06" x14ac:dyDescent="0.2">
      <c r="A54" s="4">
        <v>50</v>
      </c>
      <c r="B54" s="4">
        <v>0</v>
      </c>
      <c r="C54" s="4">
        <v>0</v>
      </c>
      <c r="D54" s="4">
        <v>1</v>
      </c>
      <c r="E54" s="4">
        <v>211</v>
      </c>
      <c r="F54" s="4">
        <f>ROUND(Source!Y28,O54)</f>
        <v>37826.129999999997</v>
      </c>
      <c r="G54" s="4" t="s">
        <v>82</v>
      </c>
      <c r="H54" s="4" t="s">
        <v>83</v>
      </c>
      <c r="I54" s="4"/>
      <c r="J54" s="4"/>
      <c r="K54" s="4">
        <v>211</v>
      </c>
      <c r="L54" s="4">
        <v>25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06" x14ac:dyDescent="0.2">
      <c r="A55" s="4">
        <v>50</v>
      </c>
      <c r="B55" s="4">
        <v>0</v>
      </c>
      <c r="C55" s="4">
        <v>0</v>
      </c>
      <c r="D55" s="4">
        <v>1</v>
      </c>
      <c r="E55" s="4">
        <v>224</v>
      </c>
      <c r="F55" s="4">
        <f>ROUND(Source!AR28,O55)</f>
        <v>290000.32</v>
      </c>
      <c r="G55" s="4" t="s">
        <v>84</v>
      </c>
      <c r="H55" s="4" t="s">
        <v>85</v>
      </c>
      <c r="I55" s="4"/>
      <c r="J55" s="4"/>
      <c r="K55" s="4">
        <v>224</v>
      </c>
      <c r="L55" s="4">
        <v>26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06" x14ac:dyDescent="0.2">
      <c r="A56" s="4">
        <v>50</v>
      </c>
      <c r="B56" s="4">
        <v>1</v>
      </c>
      <c r="C56" s="4">
        <v>0</v>
      </c>
      <c r="D56" s="4">
        <v>2</v>
      </c>
      <c r="E56" s="4">
        <v>0</v>
      </c>
      <c r="F56" s="4">
        <f>ROUND(F43,O56)</f>
        <v>13491.12</v>
      </c>
      <c r="G56" s="4" t="s">
        <v>86</v>
      </c>
      <c r="H56" s="4" t="s">
        <v>60</v>
      </c>
      <c r="I56" s="4"/>
      <c r="J56" s="4"/>
      <c r="K56" s="4">
        <v>212</v>
      </c>
      <c r="L56" s="4">
        <v>27</v>
      </c>
      <c r="M56" s="4">
        <v>0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06" x14ac:dyDescent="0.2">
      <c r="A57" s="4">
        <v>50</v>
      </c>
      <c r="B57" s="4">
        <v>1</v>
      </c>
      <c r="C57" s="4">
        <v>0</v>
      </c>
      <c r="D57" s="4">
        <v>2</v>
      </c>
      <c r="E57" s="4">
        <v>0</v>
      </c>
      <c r="F57" s="4">
        <f>ROUND(F40,O57)</f>
        <v>196654.04</v>
      </c>
      <c r="G57" s="4" t="s">
        <v>87</v>
      </c>
      <c r="H57" s="4" t="s">
        <v>88</v>
      </c>
      <c r="I57" s="4"/>
      <c r="J57" s="4"/>
      <c r="K57" s="4">
        <v>212</v>
      </c>
      <c r="L57" s="4">
        <v>28</v>
      </c>
      <c r="M57" s="4">
        <v>0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06" x14ac:dyDescent="0.2">
      <c r="A58" s="4">
        <v>50</v>
      </c>
      <c r="B58" s="4">
        <v>1</v>
      </c>
      <c r="C58" s="4">
        <v>0</v>
      </c>
      <c r="D58" s="4">
        <v>2</v>
      </c>
      <c r="E58" s="4">
        <v>0</v>
      </c>
      <c r="F58" s="4">
        <f>ROUND(F31,O58)</f>
        <v>0</v>
      </c>
      <c r="G58" s="4" t="s">
        <v>89</v>
      </c>
      <c r="H58" s="4" t="s">
        <v>90</v>
      </c>
      <c r="I58" s="4"/>
      <c r="J58" s="4"/>
      <c r="K58" s="4">
        <v>212</v>
      </c>
      <c r="L58" s="4">
        <v>29</v>
      </c>
      <c r="M58" s="4">
        <v>0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06" x14ac:dyDescent="0.2">
      <c r="A59" s="4">
        <v>50</v>
      </c>
      <c r="B59" s="4">
        <v>1</v>
      </c>
      <c r="C59" s="4">
        <v>0</v>
      </c>
      <c r="D59" s="4">
        <v>2</v>
      </c>
      <c r="E59" s="4">
        <v>0</v>
      </c>
      <c r="F59" s="4">
        <f>ROUND(F53,O59)</f>
        <v>42029.03</v>
      </c>
      <c r="G59" s="4" t="s">
        <v>91</v>
      </c>
      <c r="H59" s="4" t="s">
        <v>80</v>
      </c>
      <c r="I59" s="4"/>
      <c r="J59" s="4"/>
      <c r="K59" s="4">
        <v>212</v>
      </c>
      <c r="L59" s="4">
        <v>30</v>
      </c>
      <c r="M59" s="4">
        <v>0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06" x14ac:dyDescent="0.2">
      <c r="A60" s="4">
        <v>50</v>
      </c>
      <c r="B60" s="4">
        <v>1</v>
      </c>
      <c r="C60" s="4">
        <v>0</v>
      </c>
      <c r="D60" s="4">
        <v>2</v>
      </c>
      <c r="E60" s="4">
        <v>0</v>
      </c>
      <c r="F60" s="4">
        <f>ROUND(F54,O60)</f>
        <v>37826.129999999997</v>
      </c>
      <c r="G60" s="4" t="s">
        <v>92</v>
      </c>
      <c r="H60" s="4" t="s">
        <v>93</v>
      </c>
      <c r="I60" s="4"/>
      <c r="J60" s="4"/>
      <c r="K60" s="4">
        <v>212</v>
      </c>
      <c r="L60" s="4">
        <v>31</v>
      </c>
      <c r="M60" s="4">
        <v>0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06" x14ac:dyDescent="0.2">
      <c r="A61" s="4">
        <v>50</v>
      </c>
      <c r="B61" s="4">
        <v>1</v>
      </c>
      <c r="C61" s="4">
        <v>0</v>
      </c>
      <c r="D61" s="4">
        <v>2</v>
      </c>
      <c r="E61" s="4">
        <v>213</v>
      </c>
      <c r="F61" s="4">
        <f>ROUND(F56+F57+F58+F59+F60,O61)</f>
        <v>290000.32</v>
      </c>
      <c r="G61" s="4" t="s">
        <v>94</v>
      </c>
      <c r="H61" s="4" t="s">
        <v>95</v>
      </c>
      <c r="I61" s="4"/>
      <c r="J61" s="4"/>
      <c r="K61" s="4">
        <v>212</v>
      </c>
      <c r="L61" s="4">
        <v>32</v>
      </c>
      <c r="M61" s="4">
        <v>0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3" spans="1:206" x14ac:dyDescent="0.2">
      <c r="A63" s="2">
        <v>51</v>
      </c>
      <c r="B63" s="2">
        <f>B12</f>
        <v>127</v>
      </c>
      <c r="C63" s="2">
        <f>A12</f>
        <v>1</v>
      </c>
      <c r="D63" s="2">
        <f>ROW(A12)</f>
        <v>12</v>
      </c>
      <c r="E63" s="2"/>
      <c r="F63" s="2" t="str">
        <f>IF(F12&lt;&gt;"",F12,"")</f>
        <v>Новый объект_(Копия)</v>
      </c>
      <c r="G63" s="2" t="str">
        <f>IF(G12&lt;&gt;"",G12,"")</f>
        <v>зимнее содержание Бишево</v>
      </c>
      <c r="H63" s="2">
        <v>0</v>
      </c>
      <c r="I63" s="2"/>
      <c r="J63" s="2"/>
      <c r="K63" s="2"/>
      <c r="L63" s="2"/>
      <c r="M63" s="2"/>
      <c r="N63" s="2"/>
      <c r="O63" s="2">
        <f t="shared" ref="O63:T63" si="18">ROUND(O28,2)</f>
        <v>210145.16</v>
      </c>
      <c r="P63" s="2">
        <f t="shared" si="18"/>
        <v>0</v>
      </c>
      <c r="Q63" s="2">
        <f t="shared" si="18"/>
        <v>196654.04</v>
      </c>
      <c r="R63" s="2">
        <f t="shared" si="18"/>
        <v>40864.199999999997</v>
      </c>
      <c r="S63" s="2">
        <f t="shared" si="18"/>
        <v>13491.12</v>
      </c>
      <c r="T63" s="2">
        <f t="shared" si="18"/>
        <v>0</v>
      </c>
      <c r="U63" s="2">
        <f>U28</f>
        <v>105.928984</v>
      </c>
      <c r="V63" s="2">
        <f>V28</f>
        <v>184.701123</v>
      </c>
      <c r="W63" s="2">
        <f>ROUND(W28,2)</f>
        <v>0</v>
      </c>
      <c r="X63" s="2">
        <f>ROUND(X28,2)</f>
        <v>42029.03</v>
      </c>
      <c r="Y63" s="2">
        <f>ROUND(Y28,2)</f>
        <v>37826.129999999997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>
        <f t="shared" ref="AO63:BC63" si="19">ROUND(AO28,2)</f>
        <v>0</v>
      </c>
      <c r="AP63" s="2">
        <f t="shared" si="19"/>
        <v>0</v>
      </c>
      <c r="AQ63" s="2">
        <f t="shared" si="19"/>
        <v>0</v>
      </c>
      <c r="AR63" s="2">
        <f t="shared" si="19"/>
        <v>290000.32</v>
      </c>
      <c r="AS63" s="2">
        <f t="shared" si="19"/>
        <v>290000.32</v>
      </c>
      <c r="AT63" s="2">
        <f t="shared" si="19"/>
        <v>0</v>
      </c>
      <c r="AU63" s="2">
        <f t="shared" si="19"/>
        <v>0</v>
      </c>
      <c r="AV63" s="2">
        <f t="shared" si="19"/>
        <v>0</v>
      </c>
      <c r="AW63" s="2">
        <f t="shared" si="19"/>
        <v>0</v>
      </c>
      <c r="AX63" s="2">
        <f t="shared" si="19"/>
        <v>0</v>
      </c>
      <c r="AY63" s="2">
        <f t="shared" si="19"/>
        <v>0</v>
      </c>
      <c r="AZ63" s="2">
        <f t="shared" si="19"/>
        <v>0</v>
      </c>
      <c r="BA63" s="2">
        <f t="shared" si="19"/>
        <v>0</v>
      </c>
      <c r="BB63" s="2">
        <f t="shared" si="19"/>
        <v>0</v>
      </c>
      <c r="BC63" s="2">
        <f t="shared" si="19"/>
        <v>0</v>
      </c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>
        <v>0</v>
      </c>
    </row>
    <row r="65" spans="1:23" x14ac:dyDescent="0.2">
      <c r="A65" s="4">
        <v>50</v>
      </c>
      <c r="B65" s="4">
        <v>0</v>
      </c>
      <c r="C65" s="4">
        <v>0</v>
      </c>
      <c r="D65" s="4">
        <v>1</v>
      </c>
      <c r="E65" s="4">
        <v>201</v>
      </c>
      <c r="F65" s="4">
        <f>ROUND(Source!O63,O65)</f>
        <v>210145.16</v>
      </c>
      <c r="G65" s="4" t="s">
        <v>34</v>
      </c>
      <c r="H65" s="4" t="s">
        <v>35</v>
      </c>
      <c r="I65" s="4"/>
      <c r="J65" s="4"/>
      <c r="K65" s="4">
        <v>201</v>
      </c>
      <c r="L65" s="4">
        <v>1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4">
        <v>50</v>
      </c>
      <c r="B66" s="4">
        <v>0</v>
      </c>
      <c r="C66" s="4">
        <v>0</v>
      </c>
      <c r="D66" s="4">
        <v>1</v>
      </c>
      <c r="E66" s="4">
        <v>202</v>
      </c>
      <c r="F66" s="4">
        <f>ROUND(Source!P63,O66)</f>
        <v>0</v>
      </c>
      <c r="G66" s="4" t="s">
        <v>36</v>
      </c>
      <c r="H66" s="4" t="s">
        <v>37</v>
      </c>
      <c r="I66" s="4"/>
      <c r="J66" s="4"/>
      <c r="K66" s="4">
        <v>202</v>
      </c>
      <c r="L66" s="4">
        <v>2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4">
        <v>50</v>
      </c>
      <c r="B67" s="4">
        <v>0</v>
      </c>
      <c r="C67" s="4">
        <v>0</v>
      </c>
      <c r="D67" s="4">
        <v>1</v>
      </c>
      <c r="E67" s="4">
        <v>222</v>
      </c>
      <c r="F67" s="4">
        <f>ROUND(Source!AO63,O67)</f>
        <v>0</v>
      </c>
      <c r="G67" s="4" t="s">
        <v>38</v>
      </c>
      <c r="H67" s="4" t="s">
        <v>39</v>
      </c>
      <c r="I67" s="4"/>
      <c r="J67" s="4"/>
      <c r="K67" s="4">
        <v>222</v>
      </c>
      <c r="L67" s="4">
        <v>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4">
        <v>50</v>
      </c>
      <c r="B68" s="4">
        <v>0</v>
      </c>
      <c r="C68" s="4">
        <v>0</v>
      </c>
      <c r="D68" s="4">
        <v>1</v>
      </c>
      <c r="E68" s="4">
        <v>225</v>
      </c>
      <c r="F68" s="4">
        <f>ROUND(Source!AV63,O68)</f>
        <v>0</v>
      </c>
      <c r="G68" s="4" t="s">
        <v>40</v>
      </c>
      <c r="H68" s="4" t="s">
        <v>41</v>
      </c>
      <c r="I68" s="4"/>
      <c r="J68" s="4"/>
      <c r="K68" s="4">
        <v>225</v>
      </c>
      <c r="L68" s="4">
        <v>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4">
        <v>50</v>
      </c>
      <c r="B69" s="4">
        <v>0</v>
      </c>
      <c r="C69" s="4">
        <v>0</v>
      </c>
      <c r="D69" s="4">
        <v>1</v>
      </c>
      <c r="E69" s="4">
        <v>226</v>
      </c>
      <c r="F69" s="4">
        <f>ROUND(Source!AW63,O69)</f>
        <v>0</v>
      </c>
      <c r="G69" s="4" t="s">
        <v>42</v>
      </c>
      <c r="H69" s="4" t="s">
        <v>43</v>
      </c>
      <c r="I69" s="4"/>
      <c r="J69" s="4"/>
      <c r="K69" s="4">
        <v>226</v>
      </c>
      <c r="L69" s="4">
        <v>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4">
        <v>50</v>
      </c>
      <c r="B70" s="4">
        <v>0</v>
      </c>
      <c r="C70" s="4">
        <v>0</v>
      </c>
      <c r="D70" s="4">
        <v>1</v>
      </c>
      <c r="E70" s="4">
        <v>227</v>
      </c>
      <c r="F70" s="4">
        <f>ROUND(Source!AX63,O70)</f>
        <v>0</v>
      </c>
      <c r="G70" s="4" t="s">
        <v>44</v>
      </c>
      <c r="H70" s="4" t="s">
        <v>45</v>
      </c>
      <c r="I70" s="4"/>
      <c r="J70" s="4"/>
      <c r="K70" s="4">
        <v>227</v>
      </c>
      <c r="L70" s="4">
        <v>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4">
        <v>50</v>
      </c>
      <c r="B71" s="4">
        <v>0</v>
      </c>
      <c r="C71" s="4">
        <v>0</v>
      </c>
      <c r="D71" s="4">
        <v>1</v>
      </c>
      <c r="E71" s="4">
        <v>228</v>
      </c>
      <c r="F71" s="4">
        <f>ROUND(Source!AY63,O71)</f>
        <v>0</v>
      </c>
      <c r="G71" s="4" t="s">
        <v>46</v>
      </c>
      <c r="H71" s="4" t="s">
        <v>47</v>
      </c>
      <c r="I71" s="4"/>
      <c r="J71" s="4"/>
      <c r="K71" s="4">
        <v>228</v>
      </c>
      <c r="L71" s="4">
        <v>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4">
        <v>50</v>
      </c>
      <c r="B72" s="4">
        <v>0</v>
      </c>
      <c r="C72" s="4">
        <v>0</v>
      </c>
      <c r="D72" s="4">
        <v>1</v>
      </c>
      <c r="E72" s="4">
        <v>216</v>
      </c>
      <c r="F72" s="4">
        <f>ROUND(Source!AP63,O72)</f>
        <v>0</v>
      </c>
      <c r="G72" s="4" t="s">
        <v>48</v>
      </c>
      <c r="H72" s="4" t="s">
        <v>49</v>
      </c>
      <c r="I72" s="4"/>
      <c r="J72" s="4"/>
      <c r="K72" s="4">
        <v>216</v>
      </c>
      <c r="L72" s="4">
        <v>8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4">
        <v>50</v>
      </c>
      <c r="B73" s="4">
        <v>0</v>
      </c>
      <c r="C73" s="4">
        <v>0</v>
      </c>
      <c r="D73" s="4">
        <v>1</v>
      </c>
      <c r="E73" s="4">
        <v>223</v>
      </c>
      <c r="F73" s="4">
        <f>ROUND(Source!AQ63,O73)</f>
        <v>0</v>
      </c>
      <c r="G73" s="4" t="s">
        <v>50</v>
      </c>
      <c r="H73" s="4" t="s">
        <v>51</v>
      </c>
      <c r="I73" s="4"/>
      <c r="J73" s="4"/>
      <c r="K73" s="4">
        <v>223</v>
      </c>
      <c r="L73" s="4">
        <v>9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3" x14ac:dyDescent="0.2">
      <c r="A74" s="4">
        <v>50</v>
      </c>
      <c r="B74" s="4">
        <v>0</v>
      </c>
      <c r="C74" s="4">
        <v>0</v>
      </c>
      <c r="D74" s="4">
        <v>1</v>
      </c>
      <c r="E74" s="4">
        <v>229</v>
      </c>
      <c r="F74" s="4">
        <f>ROUND(Source!AZ63,O74)</f>
        <v>0</v>
      </c>
      <c r="G74" s="4" t="s">
        <v>52</v>
      </c>
      <c r="H74" s="4" t="s">
        <v>53</v>
      </c>
      <c r="I74" s="4"/>
      <c r="J74" s="4"/>
      <c r="K74" s="4">
        <v>229</v>
      </c>
      <c r="L74" s="4">
        <v>10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4">
        <v>50</v>
      </c>
      <c r="B75" s="4">
        <v>0</v>
      </c>
      <c r="C75" s="4">
        <v>0</v>
      </c>
      <c r="D75" s="4">
        <v>1</v>
      </c>
      <c r="E75" s="4">
        <v>203</v>
      </c>
      <c r="F75" s="4">
        <f>ROUND(Source!Q63,O75)</f>
        <v>196654.04</v>
      </c>
      <c r="G75" s="4" t="s">
        <v>54</v>
      </c>
      <c r="H75" s="4" t="s">
        <v>55</v>
      </c>
      <c r="I75" s="4"/>
      <c r="J75" s="4"/>
      <c r="K75" s="4">
        <v>203</v>
      </c>
      <c r="L75" s="4">
        <v>11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4">
        <v>50</v>
      </c>
      <c r="B76" s="4">
        <v>0</v>
      </c>
      <c r="C76" s="4">
        <v>0</v>
      </c>
      <c r="D76" s="4">
        <v>1</v>
      </c>
      <c r="E76" s="4">
        <v>231</v>
      </c>
      <c r="F76" s="4">
        <f>ROUND(Source!BB63,O76)</f>
        <v>0</v>
      </c>
      <c r="G76" s="4" t="s">
        <v>56</v>
      </c>
      <c r="H76" s="4" t="s">
        <v>57</v>
      </c>
      <c r="I76" s="4"/>
      <c r="J76" s="4"/>
      <c r="K76" s="4">
        <v>231</v>
      </c>
      <c r="L76" s="4">
        <v>12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4">
        <v>50</v>
      </c>
      <c r="B77" s="4">
        <v>0</v>
      </c>
      <c r="C77" s="4">
        <v>0</v>
      </c>
      <c r="D77" s="4">
        <v>1</v>
      </c>
      <c r="E77" s="4">
        <v>204</v>
      </c>
      <c r="F77" s="4">
        <f>ROUND(Source!R63,O77)</f>
        <v>40864.199999999997</v>
      </c>
      <c r="G77" s="4" t="s">
        <v>58</v>
      </c>
      <c r="H77" s="4" t="s">
        <v>59</v>
      </c>
      <c r="I77" s="4"/>
      <c r="J77" s="4"/>
      <c r="K77" s="4">
        <v>204</v>
      </c>
      <c r="L77" s="4">
        <v>13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4">
        <v>50</v>
      </c>
      <c r="B78" s="4">
        <v>0</v>
      </c>
      <c r="C78" s="4">
        <v>0</v>
      </c>
      <c r="D78" s="4">
        <v>1</v>
      </c>
      <c r="E78" s="4">
        <v>205</v>
      </c>
      <c r="F78" s="4">
        <f>ROUND(Source!S63,O78)</f>
        <v>13491.12</v>
      </c>
      <c r="G78" s="4" t="s">
        <v>60</v>
      </c>
      <c r="H78" s="4" t="s">
        <v>61</v>
      </c>
      <c r="I78" s="4"/>
      <c r="J78" s="4"/>
      <c r="K78" s="4">
        <v>205</v>
      </c>
      <c r="L78" s="4">
        <v>14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3" x14ac:dyDescent="0.2">
      <c r="A79" s="4">
        <v>50</v>
      </c>
      <c r="B79" s="4">
        <v>0</v>
      </c>
      <c r="C79" s="4">
        <v>0</v>
      </c>
      <c r="D79" s="4">
        <v>1</v>
      </c>
      <c r="E79" s="4">
        <v>232</v>
      </c>
      <c r="F79" s="4">
        <f>ROUND(Source!BC63,O79)</f>
        <v>0</v>
      </c>
      <c r="G79" s="4" t="s">
        <v>62</v>
      </c>
      <c r="H79" s="4" t="s">
        <v>63</v>
      </c>
      <c r="I79" s="4"/>
      <c r="J79" s="4"/>
      <c r="K79" s="4">
        <v>232</v>
      </c>
      <c r="L79" s="4">
        <v>15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3" x14ac:dyDescent="0.2">
      <c r="A80" s="4">
        <v>50</v>
      </c>
      <c r="B80" s="4">
        <v>0</v>
      </c>
      <c r="C80" s="4">
        <v>0</v>
      </c>
      <c r="D80" s="4">
        <v>1</v>
      </c>
      <c r="E80" s="4">
        <v>214</v>
      </c>
      <c r="F80" s="4">
        <f>ROUND(Source!AS63,O80)</f>
        <v>290000.32</v>
      </c>
      <c r="G80" s="4" t="s">
        <v>64</v>
      </c>
      <c r="H80" s="4" t="s">
        <v>65</v>
      </c>
      <c r="I80" s="4"/>
      <c r="J80" s="4"/>
      <c r="K80" s="4">
        <v>214</v>
      </c>
      <c r="L80" s="4">
        <v>16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4">
        <v>50</v>
      </c>
      <c r="B81" s="4">
        <v>0</v>
      </c>
      <c r="C81" s="4">
        <v>0</v>
      </c>
      <c r="D81" s="4">
        <v>1</v>
      </c>
      <c r="E81" s="4">
        <v>215</v>
      </c>
      <c r="F81" s="4">
        <f>ROUND(Source!AT63,O81)</f>
        <v>0</v>
      </c>
      <c r="G81" s="4" t="s">
        <v>66</v>
      </c>
      <c r="H81" s="4" t="s">
        <v>67</v>
      </c>
      <c r="I81" s="4"/>
      <c r="J81" s="4"/>
      <c r="K81" s="4">
        <v>215</v>
      </c>
      <c r="L81" s="4">
        <v>17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4">
        <v>50</v>
      </c>
      <c r="B82" s="4">
        <v>0</v>
      </c>
      <c r="C82" s="4">
        <v>0</v>
      </c>
      <c r="D82" s="4">
        <v>1</v>
      </c>
      <c r="E82" s="4">
        <v>217</v>
      </c>
      <c r="F82" s="4">
        <f>ROUND(Source!AU63,O82)</f>
        <v>0</v>
      </c>
      <c r="G82" s="4" t="s">
        <v>68</v>
      </c>
      <c r="H82" s="4" t="s">
        <v>69</v>
      </c>
      <c r="I82" s="4"/>
      <c r="J82" s="4"/>
      <c r="K82" s="4">
        <v>217</v>
      </c>
      <c r="L82" s="4">
        <v>18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4">
        <v>50</v>
      </c>
      <c r="B83" s="4">
        <v>0</v>
      </c>
      <c r="C83" s="4">
        <v>0</v>
      </c>
      <c r="D83" s="4">
        <v>1</v>
      </c>
      <c r="E83" s="4">
        <v>230</v>
      </c>
      <c r="F83" s="4">
        <f>ROUND(Source!BA63,O83)</f>
        <v>0</v>
      </c>
      <c r="G83" s="4" t="s">
        <v>70</v>
      </c>
      <c r="H83" s="4" t="s">
        <v>71</v>
      </c>
      <c r="I83" s="4"/>
      <c r="J83" s="4"/>
      <c r="K83" s="4">
        <v>230</v>
      </c>
      <c r="L83" s="4">
        <v>19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">
        <v>50</v>
      </c>
      <c r="B84" s="4">
        <v>0</v>
      </c>
      <c r="C84" s="4">
        <v>0</v>
      </c>
      <c r="D84" s="4">
        <v>1</v>
      </c>
      <c r="E84" s="4">
        <v>206</v>
      </c>
      <c r="F84" s="4">
        <f>ROUND(Source!T63,O84)</f>
        <v>0</v>
      </c>
      <c r="G84" s="4" t="s">
        <v>72</v>
      </c>
      <c r="H84" s="4" t="s">
        <v>73</v>
      </c>
      <c r="I84" s="4"/>
      <c r="J84" s="4"/>
      <c r="K84" s="4">
        <v>206</v>
      </c>
      <c r="L84" s="4">
        <v>20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4">
        <v>50</v>
      </c>
      <c r="B85" s="4">
        <v>0</v>
      </c>
      <c r="C85" s="4">
        <v>0</v>
      </c>
      <c r="D85" s="4">
        <v>1</v>
      </c>
      <c r="E85" s="4">
        <v>207</v>
      </c>
      <c r="F85" s="4">
        <f>Source!U63</f>
        <v>105.928984</v>
      </c>
      <c r="G85" s="4" t="s">
        <v>74</v>
      </c>
      <c r="H85" s="4" t="s">
        <v>75</v>
      </c>
      <c r="I85" s="4"/>
      <c r="J85" s="4"/>
      <c r="K85" s="4">
        <v>207</v>
      </c>
      <c r="L85" s="4">
        <v>21</v>
      </c>
      <c r="M85" s="4">
        <v>3</v>
      </c>
      <c r="N85" s="4" t="s">
        <v>3</v>
      </c>
      <c r="O85" s="4">
        <v>-1</v>
      </c>
      <c r="P85" s="4"/>
      <c r="Q85" s="4"/>
      <c r="R85" s="4"/>
      <c r="S85" s="4"/>
      <c r="T85" s="4"/>
      <c r="U85" s="4"/>
      <c r="V85" s="4"/>
      <c r="W85" s="4"/>
    </row>
    <row r="86" spans="1:23" x14ac:dyDescent="0.2">
      <c r="A86" s="4">
        <v>50</v>
      </c>
      <c r="B86" s="4">
        <v>0</v>
      </c>
      <c r="C86" s="4">
        <v>0</v>
      </c>
      <c r="D86" s="4">
        <v>1</v>
      </c>
      <c r="E86" s="4">
        <v>208</v>
      </c>
      <c r="F86" s="4">
        <f>Source!V63</f>
        <v>184.701123</v>
      </c>
      <c r="G86" s="4" t="s">
        <v>76</v>
      </c>
      <c r="H86" s="4" t="s">
        <v>77</v>
      </c>
      <c r="I86" s="4"/>
      <c r="J86" s="4"/>
      <c r="K86" s="4">
        <v>208</v>
      </c>
      <c r="L86" s="4">
        <v>22</v>
      </c>
      <c r="M86" s="4">
        <v>3</v>
      </c>
      <c r="N86" s="4" t="s">
        <v>3</v>
      </c>
      <c r="O86" s="4">
        <v>-1</v>
      </c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4">
        <v>50</v>
      </c>
      <c r="B87" s="4">
        <v>0</v>
      </c>
      <c r="C87" s="4">
        <v>0</v>
      </c>
      <c r="D87" s="4">
        <v>1</v>
      </c>
      <c r="E87" s="4">
        <v>209</v>
      </c>
      <c r="F87" s="4">
        <f>ROUND(Source!W63,O87)</f>
        <v>0</v>
      </c>
      <c r="G87" s="4" t="s">
        <v>78</v>
      </c>
      <c r="H87" s="4" t="s">
        <v>79</v>
      </c>
      <c r="I87" s="4"/>
      <c r="J87" s="4"/>
      <c r="K87" s="4">
        <v>209</v>
      </c>
      <c r="L87" s="4">
        <v>23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4">
        <v>50</v>
      </c>
      <c r="B88" s="4">
        <v>0</v>
      </c>
      <c r="C88" s="4">
        <v>0</v>
      </c>
      <c r="D88" s="4">
        <v>1</v>
      </c>
      <c r="E88" s="4">
        <v>210</v>
      </c>
      <c r="F88" s="4">
        <f>ROUND(Source!X63,O88)</f>
        <v>42029.03</v>
      </c>
      <c r="G88" s="4" t="s">
        <v>80</v>
      </c>
      <c r="H88" s="4" t="s">
        <v>81</v>
      </c>
      <c r="I88" s="4"/>
      <c r="J88" s="4"/>
      <c r="K88" s="4">
        <v>210</v>
      </c>
      <c r="L88" s="4">
        <v>24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4">
        <v>50</v>
      </c>
      <c r="B89" s="4">
        <v>0</v>
      </c>
      <c r="C89" s="4">
        <v>0</v>
      </c>
      <c r="D89" s="4">
        <v>1</v>
      </c>
      <c r="E89" s="4">
        <v>211</v>
      </c>
      <c r="F89" s="4">
        <f>ROUND(Source!Y63,O89)</f>
        <v>37826.129999999997</v>
      </c>
      <c r="G89" s="4" t="s">
        <v>82</v>
      </c>
      <c r="H89" s="4" t="s">
        <v>83</v>
      </c>
      <c r="I89" s="4"/>
      <c r="J89" s="4"/>
      <c r="K89" s="4">
        <v>211</v>
      </c>
      <c r="L89" s="4">
        <v>25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4">
        <v>50</v>
      </c>
      <c r="B90" s="4">
        <v>0</v>
      </c>
      <c r="C90" s="4">
        <v>0</v>
      </c>
      <c r="D90" s="4">
        <v>1</v>
      </c>
      <c r="E90" s="4">
        <v>224</v>
      </c>
      <c r="F90" s="4">
        <f>ROUND(Source!AR63,O90)</f>
        <v>290000.32</v>
      </c>
      <c r="G90" s="4" t="s">
        <v>84</v>
      </c>
      <c r="H90" s="4" t="s">
        <v>85</v>
      </c>
      <c r="I90" s="4"/>
      <c r="J90" s="4"/>
      <c r="K90" s="4">
        <v>224</v>
      </c>
      <c r="L90" s="4">
        <v>26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4">
        <v>50</v>
      </c>
      <c r="B91" s="4">
        <v>1</v>
      </c>
      <c r="C91" s="4">
        <v>0</v>
      </c>
      <c r="D91" s="4">
        <v>2</v>
      </c>
      <c r="E91" s="4">
        <v>0</v>
      </c>
      <c r="F91" s="4">
        <f>ROUND(F78,O91)</f>
        <v>13491.12</v>
      </c>
      <c r="G91" s="4" t="s">
        <v>86</v>
      </c>
      <c r="H91" s="4" t="s">
        <v>60</v>
      </c>
      <c r="I91" s="4"/>
      <c r="J91" s="4"/>
      <c r="K91" s="4">
        <v>212</v>
      </c>
      <c r="L91" s="4">
        <v>27</v>
      </c>
      <c r="M91" s="4">
        <v>0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>
        <v>50</v>
      </c>
      <c r="B92" s="4">
        <v>1</v>
      </c>
      <c r="C92" s="4">
        <v>0</v>
      </c>
      <c r="D92" s="4">
        <v>2</v>
      </c>
      <c r="E92" s="4">
        <v>0</v>
      </c>
      <c r="F92" s="4">
        <f>ROUND(F75,O92)</f>
        <v>196654.04</v>
      </c>
      <c r="G92" s="4" t="s">
        <v>87</v>
      </c>
      <c r="H92" s="4" t="s">
        <v>88</v>
      </c>
      <c r="I92" s="4"/>
      <c r="J92" s="4"/>
      <c r="K92" s="4">
        <v>212</v>
      </c>
      <c r="L92" s="4">
        <v>28</v>
      </c>
      <c r="M92" s="4">
        <v>0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4">
        <v>50</v>
      </c>
      <c r="B93" s="4">
        <v>1</v>
      </c>
      <c r="C93" s="4">
        <v>0</v>
      </c>
      <c r="D93" s="4">
        <v>2</v>
      </c>
      <c r="E93" s="4">
        <v>0</v>
      </c>
      <c r="F93" s="4">
        <f>ROUND(F66,O93)</f>
        <v>0</v>
      </c>
      <c r="G93" s="4" t="s">
        <v>89</v>
      </c>
      <c r="H93" s="4" t="s">
        <v>90</v>
      </c>
      <c r="I93" s="4"/>
      <c r="J93" s="4"/>
      <c r="K93" s="4">
        <v>212</v>
      </c>
      <c r="L93" s="4">
        <v>29</v>
      </c>
      <c r="M93" s="4">
        <v>0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4">
        <v>50</v>
      </c>
      <c r="B94" s="4">
        <v>1</v>
      </c>
      <c r="C94" s="4">
        <v>0</v>
      </c>
      <c r="D94" s="4">
        <v>2</v>
      </c>
      <c r="E94" s="4">
        <v>0</v>
      </c>
      <c r="F94" s="4">
        <f>ROUND(F88,O94)</f>
        <v>42029.03</v>
      </c>
      <c r="G94" s="4" t="s">
        <v>91</v>
      </c>
      <c r="H94" s="4" t="s">
        <v>80</v>
      </c>
      <c r="I94" s="4"/>
      <c r="J94" s="4"/>
      <c r="K94" s="4">
        <v>212</v>
      </c>
      <c r="L94" s="4">
        <v>30</v>
      </c>
      <c r="M94" s="4">
        <v>0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 x14ac:dyDescent="0.2">
      <c r="A95" s="4">
        <v>50</v>
      </c>
      <c r="B95" s="4">
        <v>1</v>
      </c>
      <c r="C95" s="4">
        <v>0</v>
      </c>
      <c r="D95" s="4">
        <v>2</v>
      </c>
      <c r="E95" s="4">
        <v>0</v>
      </c>
      <c r="F95" s="4">
        <f>ROUND(F89,O95)</f>
        <v>37826.129999999997</v>
      </c>
      <c r="G95" s="4" t="s">
        <v>92</v>
      </c>
      <c r="H95" s="4" t="s">
        <v>93</v>
      </c>
      <c r="I95" s="4"/>
      <c r="J95" s="4"/>
      <c r="K95" s="4">
        <v>212</v>
      </c>
      <c r="L95" s="4">
        <v>31</v>
      </c>
      <c r="M95" s="4">
        <v>0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4">
        <v>50</v>
      </c>
      <c r="B96" s="4">
        <v>1</v>
      </c>
      <c r="C96" s="4">
        <v>0</v>
      </c>
      <c r="D96" s="4">
        <v>2</v>
      </c>
      <c r="E96" s="4">
        <v>213</v>
      </c>
      <c r="F96" s="4">
        <f>ROUND(F91+F92+F93+F94+F95,O96)</f>
        <v>290000.32</v>
      </c>
      <c r="G96" s="4" t="s">
        <v>94</v>
      </c>
      <c r="H96" s="4" t="s">
        <v>95</v>
      </c>
      <c r="I96" s="4"/>
      <c r="J96" s="4"/>
      <c r="K96" s="4">
        <v>212</v>
      </c>
      <c r="L96" s="4">
        <v>32</v>
      </c>
      <c r="M96" s="4">
        <v>0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9" spans="1:14" x14ac:dyDescent="0.2">
      <c r="A99">
        <v>70</v>
      </c>
      <c r="B99">
        <v>1</v>
      </c>
      <c r="D99">
        <v>1</v>
      </c>
      <c r="E99" t="s">
        <v>96</v>
      </c>
      <c r="F99" t="s">
        <v>97</v>
      </c>
      <c r="G99">
        <v>1</v>
      </c>
      <c r="H99">
        <v>0</v>
      </c>
      <c r="I99" t="s">
        <v>3</v>
      </c>
      <c r="J99">
        <v>1</v>
      </c>
      <c r="K99">
        <v>0</v>
      </c>
      <c r="L99" t="s">
        <v>3</v>
      </c>
      <c r="M99" t="s">
        <v>3</v>
      </c>
      <c r="N99">
        <v>0</v>
      </c>
    </row>
    <row r="100" spans="1:14" x14ac:dyDescent="0.2">
      <c r="A100">
        <v>70</v>
      </c>
      <c r="B100">
        <v>1</v>
      </c>
      <c r="D100">
        <v>2</v>
      </c>
      <c r="E100" t="s">
        <v>98</v>
      </c>
      <c r="F100" t="s">
        <v>99</v>
      </c>
      <c r="G100">
        <v>0</v>
      </c>
      <c r="H100">
        <v>0</v>
      </c>
      <c r="I100" t="s">
        <v>3</v>
      </c>
      <c r="J100">
        <v>1</v>
      </c>
      <c r="K100">
        <v>0</v>
      </c>
      <c r="L100" t="s">
        <v>3</v>
      </c>
      <c r="M100" t="s">
        <v>3</v>
      </c>
      <c r="N100">
        <v>0</v>
      </c>
    </row>
    <row r="101" spans="1:14" x14ac:dyDescent="0.2">
      <c r="A101">
        <v>70</v>
      </c>
      <c r="B101">
        <v>1</v>
      </c>
      <c r="D101">
        <v>3</v>
      </c>
      <c r="E101" t="s">
        <v>100</v>
      </c>
      <c r="F101" t="s">
        <v>101</v>
      </c>
      <c r="G101">
        <v>0</v>
      </c>
      <c r="H101">
        <v>0</v>
      </c>
      <c r="I101" t="s">
        <v>3</v>
      </c>
      <c r="J101">
        <v>1</v>
      </c>
      <c r="K101">
        <v>0</v>
      </c>
      <c r="L101" t="s">
        <v>3</v>
      </c>
      <c r="M101" t="s">
        <v>3</v>
      </c>
      <c r="N101">
        <v>0</v>
      </c>
    </row>
    <row r="102" spans="1:14" x14ac:dyDescent="0.2">
      <c r="A102">
        <v>70</v>
      </c>
      <c r="B102">
        <v>1</v>
      </c>
      <c r="D102">
        <v>4</v>
      </c>
      <c r="E102" t="s">
        <v>102</v>
      </c>
      <c r="F102" t="s">
        <v>103</v>
      </c>
      <c r="G102">
        <v>0</v>
      </c>
      <c r="H102">
        <v>0</v>
      </c>
      <c r="I102" t="s">
        <v>104</v>
      </c>
      <c r="J102">
        <v>0</v>
      </c>
      <c r="K102">
        <v>0</v>
      </c>
      <c r="L102" t="s">
        <v>3</v>
      </c>
      <c r="M102" t="s">
        <v>3</v>
      </c>
      <c r="N102">
        <v>0</v>
      </c>
    </row>
    <row r="103" spans="1:14" x14ac:dyDescent="0.2">
      <c r="A103">
        <v>70</v>
      </c>
      <c r="B103">
        <v>1</v>
      </c>
      <c r="D103">
        <v>5</v>
      </c>
      <c r="E103" t="s">
        <v>105</v>
      </c>
      <c r="F103" t="s">
        <v>106</v>
      </c>
      <c r="G103">
        <v>0</v>
      </c>
      <c r="H103">
        <v>0</v>
      </c>
      <c r="I103" t="s">
        <v>107</v>
      </c>
      <c r="J103">
        <v>0</v>
      </c>
      <c r="K103">
        <v>0</v>
      </c>
      <c r="L103" t="s">
        <v>3</v>
      </c>
      <c r="M103" t="s">
        <v>3</v>
      </c>
      <c r="N103">
        <v>0</v>
      </c>
    </row>
    <row r="104" spans="1:14" x14ac:dyDescent="0.2">
      <c r="A104">
        <v>70</v>
      </c>
      <c r="B104">
        <v>1</v>
      </c>
      <c r="D104">
        <v>6</v>
      </c>
      <c r="E104" t="s">
        <v>108</v>
      </c>
      <c r="F104" t="s">
        <v>109</v>
      </c>
      <c r="G104">
        <v>0</v>
      </c>
      <c r="H104">
        <v>0</v>
      </c>
      <c r="I104" t="s">
        <v>110</v>
      </c>
      <c r="J104">
        <v>0</v>
      </c>
      <c r="K104">
        <v>0</v>
      </c>
      <c r="L104" t="s">
        <v>3</v>
      </c>
      <c r="M104" t="s">
        <v>3</v>
      </c>
      <c r="N104">
        <v>0</v>
      </c>
    </row>
    <row r="105" spans="1:14" x14ac:dyDescent="0.2">
      <c r="A105">
        <v>70</v>
      </c>
      <c r="B105">
        <v>1</v>
      </c>
      <c r="D105">
        <v>7</v>
      </c>
      <c r="E105" t="s">
        <v>111</v>
      </c>
      <c r="F105" t="s">
        <v>112</v>
      </c>
      <c r="G105">
        <v>0</v>
      </c>
      <c r="H105">
        <v>0</v>
      </c>
      <c r="I105" t="s">
        <v>3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14" x14ac:dyDescent="0.2">
      <c r="A106">
        <v>70</v>
      </c>
      <c r="B106">
        <v>1</v>
      </c>
      <c r="D106">
        <v>8</v>
      </c>
      <c r="E106" t="s">
        <v>113</v>
      </c>
      <c r="F106" t="s">
        <v>114</v>
      </c>
      <c r="G106">
        <v>0</v>
      </c>
      <c r="H106">
        <v>0</v>
      </c>
      <c r="I106" t="s">
        <v>115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14" x14ac:dyDescent="0.2">
      <c r="A107">
        <v>70</v>
      </c>
      <c r="B107">
        <v>1</v>
      </c>
      <c r="D107">
        <v>9</v>
      </c>
      <c r="E107" t="s">
        <v>116</v>
      </c>
      <c r="F107" t="s">
        <v>117</v>
      </c>
      <c r="G107">
        <v>0</v>
      </c>
      <c r="H107">
        <v>0</v>
      </c>
      <c r="I107" t="s">
        <v>118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14" x14ac:dyDescent="0.2">
      <c r="A108">
        <v>70</v>
      </c>
      <c r="B108">
        <v>1</v>
      </c>
      <c r="D108">
        <v>10</v>
      </c>
      <c r="E108" t="s">
        <v>119</v>
      </c>
      <c r="F108" t="s">
        <v>120</v>
      </c>
      <c r="G108">
        <v>0</v>
      </c>
      <c r="H108">
        <v>0</v>
      </c>
      <c r="I108" t="s">
        <v>121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14" x14ac:dyDescent="0.2">
      <c r="A109">
        <v>70</v>
      </c>
      <c r="B109">
        <v>1</v>
      </c>
      <c r="D109">
        <v>11</v>
      </c>
      <c r="E109" t="s">
        <v>122</v>
      </c>
      <c r="F109" t="s">
        <v>123</v>
      </c>
      <c r="G109">
        <v>0</v>
      </c>
      <c r="H109">
        <v>0</v>
      </c>
      <c r="I109" t="s">
        <v>124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14" x14ac:dyDescent="0.2">
      <c r="A110">
        <v>70</v>
      </c>
      <c r="B110">
        <v>1</v>
      </c>
      <c r="D110">
        <v>12</v>
      </c>
      <c r="E110" t="s">
        <v>125</v>
      </c>
      <c r="F110" t="s">
        <v>126</v>
      </c>
      <c r="G110">
        <v>0</v>
      </c>
      <c r="H110">
        <v>0</v>
      </c>
      <c r="I110" t="s">
        <v>3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14" x14ac:dyDescent="0.2">
      <c r="A111">
        <v>70</v>
      </c>
      <c r="B111">
        <v>1</v>
      </c>
      <c r="D111">
        <v>1</v>
      </c>
      <c r="E111" t="s">
        <v>127</v>
      </c>
      <c r="F111" t="s">
        <v>128</v>
      </c>
      <c r="G111">
        <v>0.9</v>
      </c>
      <c r="H111">
        <v>1</v>
      </c>
      <c r="I111" t="s">
        <v>129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14" x14ac:dyDescent="0.2">
      <c r="A112">
        <v>70</v>
      </c>
      <c r="B112">
        <v>1</v>
      </c>
      <c r="D112">
        <v>2</v>
      </c>
      <c r="E112" t="s">
        <v>130</v>
      </c>
      <c r="F112" t="s">
        <v>131</v>
      </c>
      <c r="G112">
        <v>0.85</v>
      </c>
      <c r="H112">
        <v>1</v>
      </c>
      <c r="I112" t="s">
        <v>132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5" x14ac:dyDescent="0.2">
      <c r="A113">
        <v>70</v>
      </c>
      <c r="B113">
        <v>1</v>
      </c>
      <c r="D113">
        <v>3</v>
      </c>
      <c r="E113" t="s">
        <v>133</v>
      </c>
      <c r="F113" t="s">
        <v>134</v>
      </c>
      <c r="G113">
        <v>1</v>
      </c>
      <c r="H113">
        <v>0.85</v>
      </c>
      <c r="I113" t="s">
        <v>135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5" x14ac:dyDescent="0.2">
      <c r="A114">
        <v>70</v>
      </c>
      <c r="B114">
        <v>1</v>
      </c>
      <c r="D114">
        <v>4</v>
      </c>
      <c r="E114" t="s">
        <v>136</v>
      </c>
      <c r="F114" t="s">
        <v>137</v>
      </c>
      <c r="G114">
        <v>1</v>
      </c>
      <c r="H114">
        <v>0</v>
      </c>
      <c r="I114" t="s">
        <v>3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5" x14ac:dyDescent="0.2">
      <c r="A115">
        <v>70</v>
      </c>
      <c r="B115">
        <v>1</v>
      </c>
      <c r="D115">
        <v>5</v>
      </c>
      <c r="E115" t="s">
        <v>138</v>
      </c>
      <c r="F115" t="s">
        <v>139</v>
      </c>
      <c r="G115">
        <v>1</v>
      </c>
      <c r="H115">
        <v>0.8</v>
      </c>
      <c r="I115" t="s">
        <v>140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5" x14ac:dyDescent="0.2">
      <c r="A116">
        <v>70</v>
      </c>
      <c r="B116">
        <v>1</v>
      </c>
      <c r="D116">
        <v>6</v>
      </c>
      <c r="E116" t="s">
        <v>141</v>
      </c>
      <c r="F116" t="s">
        <v>142</v>
      </c>
      <c r="G116">
        <v>0.85</v>
      </c>
      <c r="H116">
        <v>0</v>
      </c>
      <c r="I116" t="s">
        <v>3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5" x14ac:dyDescent="0.2">
      <c r="A117">
        <v>70</v>
      </c>
      <c r="B117">
        <v>1</v>
      </c>
      <c r="D117">
        <v>7</v>
      </c>
      <c r="E117" t="s">
        <v>143</v>
      </c>
      <c r="F117" t="s">
        <v>144</v>
      </c>
      <c r="G117">
        <v>0.8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5" x14ac:dyDescent="0.2">
      <c r="A118">
        <v>70</v>
      </c>
      <c r="B118">
        <v>1</v>
      </c>
      <c r="D118">
        <v>8</v>
      </c>
      <c r="E118" t="s">
        <v>145</v>
      </c>
      <c r="F118" t="s">
        <v>146</v>
      </c>
      <c r="G118">
        <v>0.94</v>
      </c>
      <c r="H118">
        <v>0</v>
      </c>
      <c r="I118" t="s">
        <v>3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5" x14ac:dyDescent="0.2">
      <c r="A119">
        <v>70</v>
      </c>
      <c r="B119">
        <v>1</v>
      </c>
      <c r="D119">
        <v>9</v>
      </c>
      <c r="E119" t="s">
        <v>147</v>
      </c>
      <c r="F119" t="s">
        <v>148</v>
      </c>
      <c r="G119">
        <v>0.9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5" x14ac:dyDescent="0.2">
      <c r="A120">
        <v>70</v>
      </c>
      <c r="B120">
        <v>1</v>
      </c>
      <c r="D120">
        <v>10</v>
      </c>
      <c r="E120" t="s">
        <v>149</v>
      </c>
      <c r="F120" t="s">
        <v>150</v>
      </c>
      <c r="G120">
        <v>0.6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5" x14ac:dyDescent="0.2">
      <c r="A121">
        <v>70</v>
      </c>
      <c r="B121">
        <v>1</v>
      </c>
      <c r="D121">
        <v>11</v>
      </c>
      <c r="E121" t="s">
        <v>151</v>
      </c>
      <c r="F121" t="s">
        <v>152</v>
      </c>
      <c r="G121">
        <v>1.2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5" x14ac:dyDescent="0.2">
      <c r="A122">
        <v>70</v>
      </c>
      <c r="B122">
        <v>1</v>
      </c>
      <c r="D122">
        <v>12</v>
      </c>
      <c r="E122" t="s">
        <v>153</v>
      </c>
      <c r="F122" t="s">
        <v>154</v>
      </c>
      <c r="G122">
        <v>0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5" x14ac:dyDescent="0.2">
      <c r="A123">
        <v>70</v>
      </c>
      <c r="B123">
        <v>1</v>
      </c>
      <c r="D123">
        <v>13</v>
      </c>
      <c r="E123" t="s">
        <v>155</v>
      </c>
      <c r="F123" t="s">
        <v>156</v>
      </c>
      <c r="G123">
        <v>0.94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5" spans="1:15" x14ac:dyDescent="0.2">
      <c r="A125">
        <v>-1</v>
      </c>
    </row>
    <row r="127" spans="1:15" x14ac:dyDescent="0.2">
      <c r="A127" s="3">
        <v>75</v>
      </c>
      <c r="B127" s="3" t="s">
        <v>157</v>
      </c>
      <c r="C127" s="3">
        <v>2018</v>
      </c>
      <c r="D127" s="3">
        <v>0</v>
      </c>
      <c r="E127" s="3">
        <v>9</v>
      </c>
      <c r="F127" s="3">
        <v>0</v>
      </c>
      <c r="G127" s="3">
        <v>0</v>
      </c>
      <c r="H127" s="3">
        <v>1</v>
      </c>
      <c r="I127" s="3">
        <v>0</v>
      </c>
      <c r="J127" s="3">
        <v>1</v>
      </c>
      <c r="K127" s="3">
        <v>0</v>
      </c>
      <c r="L127" s="3">
        <v>0</v>
      </c>
      <c r="M127" s="3">
        <v>0</v>
      </c>
      <c r="N127" s="3">
        <v>43335668</v>
      </c>
      <c r="O127" s="3">
        <v>1</v>
      </c>
    </row>
    <row r="128" spans="1:15" x14ac:dyDescent="0.2">
      <c r="A128" s="5">
        <v>2</v>
      </c>
      <c r="B128" s="5" t="s">
        <v>158</v>
      </c>
      <c r="C128" s="5" t="s">
        <v>159</v>
      </c>
      <c r="D128" s="5">
        <v>0</v>
      </c>
      <c r="E128" s="5">
        <v>0</v>
      </c>
    </row>
    <row r="132" spans="1:5" x14ac:dyDescent="0.2">
      <c r="A132">
        <v>65</v>
      </c>
      <c r="C132">
        <v>1</v>
      </c>
      <c r="D132">
        <v>0</v>
      </c>
      <c r="E132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C5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160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60931</v>
      </c>
      <c r="M1">
        <v>10</v>
      </c>
    </row>
    <row r="12" spans="1:133" x14ac:dyDescent="0.2">
      <c r="A12" s="1">
        <v>1</v>
      </c>
      <c r="B12" s="1">
        <v>56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3</v>
      </c>
      <c r="R12" s="1">
        <v>0</v>
      </c>
      <c r="S12" s="1"/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6</v>
      </c>
      <c r="AC12" s="1" t="s">
        <v>7</v>
      </c>
      <c r="AD12" s="1" t="s">
        <v>8</v>
      </c>
      <c r="AE12" s="1" t="s">
        <v>9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10</v>
      </c>
      <c r="BI12" s="1" t="s">
        <v>11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12</v>
      </c>
      <c r="BZ12" s="1" t="s">
        <v>13</v>
      </c>
      <c r="CA12" s="1" t="s">
        <v>12</v>
      </c>
      <c r="CB12" s="1" t="s">
        <v>12</v>
      </c>
      <c r="CC12" s="1" t="s">
        <v>12</v>
      </c>
      <c r="CD12" s="1" t="s">
        <v>12</v>
      </c>
      <c r="CE12" s="1" t="s">
        <v>14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43335668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15</v>
      </c>
      <c r="D16" s="6" t="s">
        <v>15</v>
      </c>
      <c r="E16" s="7">
        <f>(Source!F45)/1000</f>
        <v>290.00031999999999</v>
      </c>
      <c r="F16" s="7">
        <f>(Source!F46)/1000</f>
        <v>0</v>
      </c>
      <c r="G16" s="7">
        <f>(Source!F37)/1000</f>
        <v>0</v>
      </c>
      <c r="H16" s="7">
        <f>(Source!F47)/1000+(Source!F48)/1000</f>
        <v>0</v>
      </c>
      <c r="I16" s="7">
        <f>E16+F16+G16+H16</f>
        <v>290.00031999999999</v>
      </c>
      <c r="J16" s="7">
        <f>(Source!F43)/1000</f>
        <v>13.49112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210145.16</v>
      </c>
      <c r="AU16" s="7">
        <v>0</v>
      </c>
      <c r="AV16" s="7">
        <v>0</v>
      </c>
      <c r="AW16" s="7">
        <v>0</v>
      </c>
      <c r="AX16" s="7">
        <v>0</v>
      </c>
      <c r="AY16" s="7">
        <v>196654.04</v>
      </c>
      <c r="AZ16" s="7">
        <v>40864.199999999997</v>
      </c>
      <c r="BA16" s="7">
        <v>13491.12</v>
      </c>
      <c r="BB16" s="7">
        <v>290000.32</v>
      </c>
      <c r="BC16" s="7">
        <v>0</v>
      </c>
      <c r="BD16" s="7">
        <v>0</v>
      </c>
      <c r="BE16" s="7">
        <v>0</v>
      </c>
      <c r="BF16" s="7">
        <v>105.928984</v>
      </c>
      <c r="BG16" s="7">
        <v>184.701123</v>
      </c>
      <c r="BH16" s="7">
        <v>0</v>
      </c>
      <c r="BI16" s="7">
        <v>42029.03</v>
      </c>
      <c r="BJ16" s="7">
        <v>37826.129999999997</v>
      </c>
      <c r="BK16" s="7">
        <v>290000.32</v>
      </c>
    </row>
    <row r="18" spans="1:19" x14ac:dyDescent="0.2">
      <c r="A18">
        <v>51</v>
      </c>
      <c r="E18" s="8">
        <f>SUMIF(A16:A17,3,E16:E17)</f>
        <v>290.00031999999999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290.00031999999999</v>
      </c>
      <c r="J18" s="8">
        <f>SUMIF(A16:A17,3,J16:J17)</f>
        <v>13.49112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210145.16</v>
      </c>
      <c r="G20" s="4" t="s">
        <v>34</v>
      </c>
      <c r="H20" s="4" t="s">
        <v>35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0</v>
      </c>
      <c r="G21" s="4" t="s">
        <v>36</v>
      </c>
      <c r="H21" s="4" t="s">
        <v>37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38</v>
      </c>
      <c r="H22" s="4" t="s">
        <v>39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0</v>
      </c>
      <c r="G23" s="4" t="s">
        <v>40</v>
      </c>
      <c r="H23" s="4" t="s">
        <v>41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0</v>
      </c>
      <c r="G24" s="4" t="s">
        <v>42</v>
      </c>
      <c r="H24" s="4" t="s">
        <v>43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44</v>
      </c>
      <c r="H25" s="4" t="s">
        <v>45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0</v>
      </c>
      <c r="G26" s="4" t="s">
        <v>46</v>
      </c>
      <c r="H26" s="4" t="s">
        <v>47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48</v>
      </c>
      <c r="H27" s="4" t="s">
        <v>49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50</v>
      </c>
      <c r="H28" s="4" t="s">
        <v>51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52</v>
      </c>
      <c r="H29" s="4" t="s">
        <v>53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196654.04</v>
      </c>
      <c r="G30" s="4" t="s">
        <v>54</v>
      </c>
      <c r="H30" s="4" t="s">
        <v>55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56</v>
      </c>
      <c r="H31" s="4" t="s">
        <v>57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40864.199999999997</v>
      </c>
      <c r="G32" s="4" t="s">
        <v>58</v>
      </c>
      <c r="H32" s="4" t="s">
        <v>59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13491.12</v>
      </c>
      <c r="G33" s="4" t="s">
        <v>60</v>
      </c>
      <c r="H33" s="4" t="s">
        <v>61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62</v>
      </c>
      <c r="H34" s="4" t="s">
        <v>63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290000.32</v>
      </c>
      <c r="G35" s="4" t="s">
        <v>64</v>
      </c>
      <c r="H35" s="4" t="s">
        <v>65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66</v>
      </c>
      <c r="H36" s="4" t="s">
        <v>67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68</v>
      </c>
      <c r="H37" s="4" t="s">
        <v>69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70</v>
      </c>
      <c r="H38" s="4" t="s">
        <v>71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72</v>
      </c>
      <c r="H39" s="4" t="s">
        <v>73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105.928984</v>
      </c>
      <c r="G40" s="4" t="s">
        <v>74</v>
      </c>
      <c r="H40" s="4" t="s">
        <v>75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184.701123</v>
      </c>
      <c r="G41" s="4" t="s">
        <v>76</v>
      </c>
      <c r="H41" s="4" t="s">
        <v>77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78</v>
      </c>
      <c r="H42" s="4" t="s">
        <v>79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210</v>
      </c>
      <c r="F43" s="4">
        <v>42029.03</v>
      </c>
      <c r="G43" s="4" t="s">
        <v>80</v>
      </c>
      <c r="H43" s="4" t="s">
        <v>81</v>
      </c>
      <c r="I43" s="4"/>
      <c r="J43" s="4"/>
      <c r="K43" s="4">
        <v>210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211</v>
      </c>
      <c r="F44" s="4">
        <v>37826.129999999997</v>
      </c>
      <c r="G44" s="4" t="s">
        <v>82</v>
      </c>
      <c r="H44" s="4" t="s">
        <v>83</v>
      </c>
      <c r="I44" s="4"/>
      <c r="J44" s="4"/>
      <c r="K44" s="4">
        <v>211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224</v>
      </c>
      <c r="F45" s="4">
        <v>290000.32</v>
      </c>
      <c r="G45" s="4" t="s">
        <v>84</v>
      </c>
      <c r="H45" s="4" t="s">
        <v>85</v>
      </c>
      <c r="I45" s="4"/>
      <c r="J45" s="4"/>
      <c r="K45" s="4">
        <v>224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1</v>
      </c>
      <c r="C46" s="4">
        <v>0</v>
      </c>
      <c r="D46" s="4">
        <v>2</v>
      </c>
      <c r="E46" s="4">
        <v>0</v>
      </c>
      <c r="F46" s="4">
        <v>13491.12</v>
      </c>
      <c r="G46" s="4" t="s">
        <v>86</v>
      </c>
      <c r="H46" s="4" t="s">
        <v>60</v>
      </c>
      <c r="I46" s="4"/>
      <c r="J46" s="4"/>
      <c r="K46" s="4">
        <v>212</v>
      </c>
      <c r="L46" s="4">
        <v>27</v>
      </c>
      <c r="M46" s="4">
        <v>0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196654.04</v>
      </c>
      <c r="G47" s="4" t="s">
        <v>87</v>
      </c>
      <c r="H47" s="4" t="s">
        <v>88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0</v>
      </c>
      <c r="G48" s="4" t="s">
        <v>89</v>
      </c>
      <c r="H48" s="4" t="s">
        <v>90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16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42029.03</v>
      </c>
      <c r="G49" s="4" t="s">
        <v>91</v>
      </c>
      <c r="H49" s="4" t="s">
        <v>80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16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37826.129999999997</v>
      </c>
      <c r="G50" s="4" t="s">
        <v>92</v>
      </c>
      <c r="H50" s="4" t="s">
        <v>93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16" x14ac:dyDescent="0.2">
      <c r="A51" s="4">
        <v>50</v>
      </c>
      <c r="B51" s="4">
        <v>1</v>
      </c>
      <c r="C51" s="4">
        <v>0</v>
      </c>
      <c r="D51" s="4">
        <v>2</v>
      </c>
      <c r="E51" s="4">
        <v>213</v>
      </c>
      <c r="F51" s="4">
        <v>290000.32</v>
      </c>
      <c r="G51" s="4" t="s">
        <v>94</v>
      </c>
      <c r="H51" s="4" t="s">
        <v>95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3" spans="1:16" x14ac:dyDescent="0.2">
      <c r="A53">
        <v>-1</v>
      </c>
    </row>
    <row r="56" spans="1:16" x14ac:dyDescent="0.2">
      <c r="A56" s="3">
        <v>75</v>
      </c>
      <c r="B56" s="3" t="s">
        <v>157</v>
      </c>
      <c r="C56" s="3">
        <v>2018</v>
      </c>
      <c r="D56" s="3">
        <v>0</v>
      </c>
      <c r="E56" s="3">
        <v>9</v>
      </c>
      <c r="F56" s="3">
        <v>0</v>
      </c>
      <c r="G56" s="3">
        <v>0</v>
      </c>
      <c r="H56" s="3">
        <v>1</v>
      </c>
      <c r="I56" s="3">
        <v>0</v>
      </c>
      <c r="J56" s="3">
        <v>1</v>
      </c>
      <c r="K56" s="3">
        <v>0</v>
      </c>
      <c r="L56" s="3">
        <v>0</v>
      </c>
      <c r="M56" s="3">
        <v>0</v>
      </c>
      <c r="N56" s="3">
        <v>43335668</v>
      </c>
      <c r="O56" s="3">
        <v>1</v>
      </c>
    </row>
    <row r="57" spans="1:16" x14ac:dyDescent="0.2">
      <c r="A57" s="5">
        <v>2</v>
      </c>
      <c r="B57" s="5" t="s">
        <v>158</v>
      </c>
      <c r="C57" s="5" t="s">
        <v>159</v>
      </c>
      <c r="D57" s="5">
        <v>0</v>
      </c>
      <c r="E57" s="5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C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ROW(Source!A24)</f>
        <v>24</v>
      </c>
      <c r="B1">
        <v>43335668</v>
      </c>
      <c r="C1">
        <v>43335730</v>
      </c>
      <c r="D1">
        <v>121548</v>
      </c>
      <c r="E1">
        <v>1</v>
      </c>
      <c r="F1">
        <v>1</v>
      </c>
      <c r="G1">
        <v>1</v>
      </c>
      <c r="H1">
        <v>1</v>
      </c>
      <c r="I1" t="s">
        <v>24</v>
      </c>
      <c r="J1" t="s">
        <v>3</v>
      </c>
      <c r="K1" t="s">
        <v>161</v>
      </c>
      <c r="L1">
        <v>608254</v>
      </c>
      <c r="N1">
        <v>1013</v>
      </c>
      <c r="O1" t="s">
        <v>162</v>
      </c>
      <c r="P1" t="s">
        <v>162</v>
      </c>
      <c r="Q1">
        <v>1</v>
      </c>
      <c r="W1">
        <v>0</v>
      </c>
      <c r="X1">
        <v>-185737400</v>
      </c>
      <c r="Y1">
        <v>0.44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1</v>
      </c>
      <c r="AJ1">
        <v>1</v>
      </c>
      <c r="AK1">
        <v>1</v>
      </c>
      <c r="AL1">
        <v>1</v>
      </c>
      <c r="AN1">
        <v>0</v>
      </c>
      <c r="AO1">
        <v>0</v>
      </c>
      <c r="AP1">
        <v>0</v>
      </c>
      <c r="AQ1">
        <v>1</v>
      </c>
      <c r="AR1">
        <v>0</v>
      </c>
      <c r="AS1" t="s">
        <v>3</v>
      </c>
      <c r="AT1">
        <v>0.44</v>
      </c>
      <c r="AU1" t="s">
        <v>3</v>
      </c>
      <c r="AV1">
        <v>2</v>
      </c>
      <c r="AW1">
        <v>2</v>
      </c>
      <c r="AX1">
        <v>43335733</v>
      </c>
      <c r="AY1">
        <v>1</v>
      </c>
      <c r="AZ1">
        <v>0</v>
      </c>
      <c r="BA1">
        <v>1</v>
      </c>
      <c r="BB1">
        <v>1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0.44</v>
      </c>
      <c r="BP1">
        <v>1</v>
      </c>
      <c r="BQ1">
        <v>0</v>
      </c>
      <c r="BR1">
        <v>0</v>
      </c>
      <c r="BS1">
        <v>0</v>
      </c>
      <c r="BT1">
        <v>0</v>
      </c>
      <c r="BU1">
        <v>0</v>
      </c>
      <c r="BV1">
        <v>0.44</v>
      </c>
      <c r="BW1">
        <v>1</v>
      </c>
      <c r="CX1">
        <f>Y1*Source!I24</f>
        <v>159.28</v>
      </c>
      <c r="CY1">
        <f>AD1</f>
        <v>0</v>
      </c>
      <c r="CZ1">
        <f>AH1</f>
        <v>0</v>
      </c>
      <c r="DA1">
        <f>AL1</f>
        <v>1</v>
      </c>
      <c r="DB1">
        <f t="shared" ref="DB1:DB7" si="0">ROUND(ROUND(AT1*CZ1,2),6)</f>
        <v>0</v>
      </c>
      <c r="DC1">
        <f t="shared" ref="DC1:DC7" si="1">ROUND(ROUND(AT1*AG1,2),6)</f>
        <v>0</v>
      </c>
    </row>
    <row r="2" spans="1:107" x14ac:dyDescent="0.2">
      <c r="A2">
        <f>ROW(Source!A24)</f>
        <v>24</v>
      </c>
      <c r="B2">
        <v>43335668</v>
      </c>
      <c r="C2">
        <v>43335730</v>
      </c>
      <c r="D2">
        <v>42953474</v>
      </c>
      <c r="E2">
        <v>1</v>
      </c>
      <c r="F2">
        <v>1</v>
      </c>
      <c r="G2">
        <v>1</v>
      </c>
      <c r="H2">
        <v>2</v>
      </c>
      <c r="I2" t="s">
        <v>163</v>
      </c>
      <c r="J2" t="s">
        <v>164</v>
      </c>
      <c r="K2" t="s">
        <v>165</v>
      </c>
      <c r="L2">
        <v>1368</v>
      </c>
      <c r="N2">
        <v>1011</v>
      </c>
      <c r="O2" t="s">
        <v>166</v>
      </c>
      <c r="P2" t="s">
        <v>166</v>
      </c>
      <c r="Q2">
        <v>1</v>
      </c>
      <c r="W2">
        <v>0</v>
      </c>
      <c r="X2">
        <v>1280449442</v>
      </c>
      <c r="Y2">
        <v>0.44</v>
      </c>
      <c r="AA2">
        <v>0</v>
      </c>
      <c r="AB2">
        <v>1117.0899999999999</v>
      </c>
      <c r="AC2">
        <v>225.36</v>
      </c>
      <c r="AD2">
        <v>0</v>
      </c>
      <c r="AE2">
        <v>0</v>
      </c>
      <c r="AF2">
        <v>1117.0899999999999</v>
      </c>
      <c r="AG2">
        <v>225.36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0</v>
      </c>
      <c r="AP2">
        <v>0</v>
      </c>
      <c r="AQ2">
        <v>1</v>
      </c>
      <c r="AR2">
        <v>0</v>
      </c>
      <c r="AS2" t="s">
        <v>3</v>
      </c>
      <c r="AT2">
        <v>0.44</v>
      </c>
      <c r="AU2" t="s">
        <v>3</v>
      </c>
      <c r="AV2">
        <v>0</v>
      </c>
      <c r="AW2">
        <v>2</v>
      </c>
      <c r="AX2">
        <v>43335734</v>
      </c>
      <c r="AY2">
        <v>1</v>
      </c>
      <c r="AZ2">
        <v>0</v>
      </c>
      <c r="BA2">
        <v>2</v>
      </c>
      <c r="BB2">
        <v>1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491.51959999999997</v>
      </c>
      <c r="BL2">
        <v>99.1584</v>
      </c>
      <c r="BM2">
        <v>0</v>
      </c>
      <c r="BN2">
        <v>0</v>
      </c>
      <c r="BO2">
        <v>0</v>
      </c>
      <c r="BP2">
        <v>1</v>
      </c>
      <c r="BQ2">
        <v>0</v>
      </c>
      <c r="BR2">
        <v>491.51959999999997</v>
      </c>
      <c r="BS2">
        <v>99.1584</v>
      </c>
      <c r="BT2">
        <v>0</v>
      </c>
      <c r="BU2">
        <v>0</v>
      </c>
      <c r="BV2">
        <v>0</v>
      </c>
      <c r="BW2">
        <v>1</v>
      </c>
      <c r="CX2">
        <f>Y2*Source!I24</f>
        <v>159.28</v>
      </c>
      <c r="CY2">
        <f>AB2</f>
        <v>1117.0899999999999</v>
      </c>
      <c r="CZ2">
        <f>AF2</f>
        <v>1117.0899999999999</v>
      </c>
      <c r="DA2">
        <f>AJ2</f>
        <v>1</v>
      </c>
      <c r="DB2">
        <f t="shared" si="0"/>
        <v>491.52</v>
      </c>
      <c r="DC2">
        <f t="shared" si="1"/>
        <v>99.16</v>
      </c>
    </row>
    <row r="3" spans="1:107" x14ac:dyDescent="0.2">
      <c r="A3">
        <f>ROW(Source!A25)</f>
        <v>25</v>
      </c>
      <c r="B3">
        <v>43335668</v>
      </c>
      <c r="C3">
        <v>43335735</v>
      </c>
      <c r="D3">
        <v>121548</v>
      </c>
      <c r="E3">
        <v>1</v>
      </c>
      <c r="F3">
        <v>1</v>
      </c>
      <c r="G3">
        <v>1</v>
      </c>
      <c r="H3">
        <v>1</v>
      </c>
      <c r="I3" t="s">
        <v>24</v>
      </c>
      <c r="J3" t="s">
        <v>3</v>
      </c>
      <c r="K3" t="s">
        <v>161</v>
      </c>
      <c r="L3">
        <v>608254</v>
      </c>
      <c r="N3">
        <v>1013</v>
      </c>
      <c r="O3" t="s">
        <v>162</v>
      </c>
      <c r="P3" t="s">
        <v>162</v>
      </c>
      <c r="Q3">
        <v>1</v>
      </c>
      <c r="W3">
        <v>0</v>
      </c>
      <c r="X3">
        <v>-185737400</v>
      </c>
      <c r="Y3">
        <v>2.9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0</v>
      </c>
      <c r="AP3">
        <v>0</v>
      </c>
      <c r="AQ3">
        <v>1</v>
      </c>
      <c r="AR3">
        <v>0</v>
      </c>
      <c r="AS3" t="s">
        <v>3</v>
      </c>
      <c r="AT3">
        <v>2.9</v>
      </c>
      <c r="AU3" t="s">
        <v>3</v>
      </c>
      <c r="AV3">
        <v>2</v>
      </c>
      <c r="AW3">
        <v>2</v>
      </c>
      <c r="AX3">
        <v>43335738</v>
      </c>
      <c r="AY3">
        <v>1</v>
      </c>
      <c r="AZ3">
        <v>0</v>
      </c>
      <c r="BA3">
        <v>3</v>
      </c>
      <c r="BB3">
        <v>1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2.9</v>
      </c>
      <c r="BP3">
        <v>1</v>
      </c>
      <c r="BQ3">
        <v>0</v>
      </c>
      <c r="BR3">
        <v>0</v>
      </c>
      <c r="BS3">
        <v>0</v>
      </c>
      <c r="BT3">
        <v>0</v>
      </c>
      <c r="BU3">
        <v>0</v>
      </c>
      <c r="BV3">
        <v>2.9</v>
      </c>
      <c r="BW3">
        <v>1</v>
      </c>
      <c r="CX3">
        <f>Y3*Source!I25</f>
        <v>12.18</v>
      </c>
      <c r="CY3">
        <f>AD3</f>
        <v>0</v>
      </c>
      <c r="CZ3">
        <f>AH3</f>
        <v>0</v>
      </c>
      <c r="DA3">
        <f>AL3</f>
        <v>1</v>
      </c>
      <c r="DB3">
        <f t="shared" si="0"/>
        <v>0</v>
      </c>
      <c r="DC3">
        <f t="shared" si="1"/>
        <v>0</v>
      </c>
    </row>
    <row r="4" spans="1:107" x14ac:dyDescent="0.2">
      <c r="A4">
        <f>ROW(Source!A25)</f>
        <v>25</v>
      </c>
      <c r="B4">
        <v>43335668</v>
      </c>
      <c r="C4">
        <v>43335735</v>
      </c>
      <c r="D4">
        <v>42953494</v>
      </c>
      <c r="E4">
        <v>1</v>
      </c>
      <c r="F4">
        <v>1</v>
      </c>
      <c r="G4">
        <v>1</v>
      </c>
      <c r="H4">
        <v>2</v>
      </c>
      <c r="I4" t="s">
        <v>167</v>
      </c>
      <c r="J4" t="s">
        <v>168</v>
      </c>
      <c r="K4" t="s">
        <v>169</v>
      </c>
      <c r="L4">
        <v>1368</v>
      </c>
      <c r="N4">
        <v>1011</v>
      </c>
      <c r="O4" t="s">
        <v>166</v>
      </c>
      <c r="P4" t="s">
        <v>166</v>
      </c>
      <c r="Q4">
        <v>1</v>
      </c>
      <c r="W4">
        <v>0</v>
      </c>
      <c r="X4">
        <v>-1634048321</v>
      </c>
      <c r="Y4">
        <v>2.9</v>
      </c>
      <c r="AA4">
        <v>0</v>
      </c>
      <c r="AB4">
        <v>765.11</v>
      </c>
      <c r="AC4">
        <v>211.39</v>
      </c>
      <c r="AD4">
        <v>0</v>
      </c>
      <c r="AE4">
        <v>0</v>
      </c>
      <c r="AF4">
        <v>765.11</v>
      </c>
      <c r="AG4">
        <v>211.39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0</v>
      </c>
      <c r="AP4">
        <v>0</v>
      </c>
      <c r="AQ4">
        <v>1</v>
      </c>
      <c r="AR4">
        <v>0</v>
      </c>
      <c r="AS4" t="s">
        <v>3</v>
      </c>
      <c r="AT4">
        <v>2.9</v>
      </c>
      <c r="AU4" t="s">
        <v>3</v>
      </c>
      <c r="AV4">
        <v>0</v>
      </c>
      <c r="AW4">
        <v>2</v>
      </c>
      <c r="AX4">
        <v>43335739</v>
      </c>
      <c r="AY4">
        <v>1</v>
      </c>
      <c r="AZ4">
        <v>0</v>
      </c>
      <c r="BA4">
        <v>4</v>
      </c>
      <c r="BB4">
        <v>1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2218.819</v>
      </c>
      <c r="BL4">
        <v>613.03099999999995</v>
      </c>
      <c r="BM4">
        <v>0</v>
      </c>
      <c r="BN4">
        <v>0</v>
      </c>
      <c r="BO4">
        <v>0</v>
      </c>
      <c r="BP4">
        <v>1</v>
      </c>
      <c r="BQ4">
        <v>0</v>
      </c>
      <c r="BR4">
        <v>2218.819</v>
      </c>
      <c r="BS4">
        <v>613.03099999999995</v>
      </c>
      <c r="BT4">
        <v>0</v>
      </c>
      <c r="BU4">
        <v>0</v>
      </c>
      <c r="BV4">
        <v>0</v>
      </c>
      <c r="BW4">
        <v>1</v>
      </c>
      <c r="CX4">
        <f>Y4*Source!I25</f>
        <v>12.18</v>
      </c>
      <c r="CY4">
        <f>AB4</f>
        <v>765.11</v>
      </c>
      <c r="CZ4">
        <f>AF4</f>
        <v>765.11</v>
      </c>
      <c r="DA4">
        <f>AJ4</f>
        <v>1</v>
      </c>
      <c r="DB4">
        <f t="shared" si="0"/>
        <v>2218.8200000000002</v>
      </c>
      <c r="DC4">
        <f t="shared" si="1"/>
        <v>613.03</v>
      </c>
    </row>
    <row r="5" spans="1:107" x14ac:dyDescent="0.2">
      <c r="A5">
        <f>ROW(Source!A26)</f>
        <v>26</v>
      </c>
      <c r="B5">
        <v>43335668</v>
      </c>
      <c r="C5">
        <v>43335740</v>
      </c>
      <c r="D5">
        <v>121548</v>
      </c>
      <c r="E5">
        <v>1</v>
      </c>
      <c r="F5">
        <v>1</v>
      </c>
      <c r="G5">
        <v>1</v>
      </c>
      <c r="H5">
        <v>1</v>
      </c>
      <c r="I5" t="s">
        <v>24</v>
      </c>
      <c r="J5" t="s">
        <v>3</v>
      </c>
      <c r="K5" t="s">
        <v>161</v>
      </c>
      <c r="L5">
        <v>608254</v>
      </c>
      <c r="N5">
        <v>1013</v>
      </c>
      <c r="O5" t="s">
        <v>162</v>
      </c>
      <c r="P5" t="s">
        <v>162</v>
      </c>
      <c r="Q5">
        <v>1</v>
      </c>
      <c r="W5">
        <v>0</v>
      </c>
      <c r="X5">
        <v>-185737400</v>
      </c>
      <c r="Y5">
        <v>3.79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0</v>
      </c>
      <c r="AP5">
        <v>0</v>
      </c>
      <c r="AQ5">
        <v>1</v>
      </c>
      <c r="AR5">
        <v>0</v>
      </c>
      <c r="AS5" t="s">
        <v>3</v>
      </c>
      <c r="AT5">
        <v>3.79</v>
      </c>
      <c r="AU5" t="s">
        <v>3</v>
      </c>
      <c r="AV5">
        <v>2</v>
      </c>
      <c r="AW5">
        <v>2</v>
      </c>
      <c r="AX5">
        <v>43335744</v>
      </c>
      <c r="AY5">
        <v>1</v>
      </c>
      <c r="AZ5">
        <v>0</v>
      </c>
      <c r="BA5">
        <v>5</v>
      </c>
      <c r="BB5">
        <v>1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3.79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3.79</v>
      </c>
      <c r="BW5">
        <v>1</v>
      </c>
      <c r="CX5">
        <f>Y5*Source!I26</f>
        <v>13.241123</v>
      </c>
      <c r="CY5">
        <f>AD5</f>
        <v>0</v>
      </c>
      <c r="CZ5">
        <f>AH5</f>
        <v>0</v>
      </c>
      <c r="DA5">
        <f>AL5</f>
        <v>1</v>
      </c>
      <c r="DB5">
        <f t="shared" si="0"/>
        <v>0</v>
      </c>
      <c r="DC5">
        <f t="shared" si="1"/>
        <v>0</v>
      </c>
    </row>
    <row r="6" spans="1:107" x14ac:dyDescent="0.2">
      <c r="A6">
        <f>ROW(Source!A26)</f>
        <v>26</v>
      </c>
      <c r="B6">
        <v>43335668</v>
      </c>
      <c r="C6">
        <v>43335740</v>
      </c>
      <c r="D6">
        <v>42953702</v>
      </c>
      <c r="E6">
        <v>1</v>
      </c>
      <c r="F6">
        <v>1</v>
      </c>
      <c r="G6">
        <v>1</v>
      </c>
      <c r="H6">
        <v>1</v>
      </c>
      <c r="I6" t="s">
        <v>170</v>
      </c>
      <c r="J6" t="s">
        <v>3</v>
      </c>
      <c r="K6" t="s">
        <v>171</v>
      </c>
      <c r="L6">
        <v>1369</v>
      </c>
      <c r="N6">
        <v>1013</v>
      </c>
      <c r="O6" t="s">
        <v>172</v>
      </c>
      <c r="P6" t="s">
        <v>172</v>
      </c>
      <c r="Q6">
        <v>1</v>
      </c>
      <c r="W6">
        <v>0</v>
      </c>
      <c r="X6">
        <v>1816825031</v>
      </c>
      <c r="Y6">
        <v>30.32</v>
      </c>
      <c r="AA6">
        <v>0</v>
      </c>
      <c r="AB6">
        <v>0</v>
      </c>
      <c r="AC6">
        <v>0</v>
      </c>
      <c r="AD6">
        <v>127.36</v>
      </c>
      <c r="AE6">
        <v>0</v>
      </c>
      <c r="AF6">
        <v>0</v>
      </c>
      <c r="AG6">
        <v>0</v>
      </c>
      <c r="AH6">
        <v>127.36</v>
      </c>
      <c r="AI6">
        <v>1</v>
      </c>
      <c r="AJ6">
        <v>1</v>
      </c>
      <c r="AK6">
        <v>1</v>
      </c>
      <c r="AL6">
        <v>1</v>
      </c>
      <c r="AN6">
        <v>0</v>
      </c>
      <c r="AO6">
        <v>0</v>
      </c>
      <c r="AP6">
        <v>0</v>
      </c>
      <c r="AQ6">
        <v>1</v>
      </c>
      <c r="AR6">
        <v>0</v>
      </c>
      <c r="AS6" t="s">
        <v>3</v>
      </c>
      <c r="AT6">
        <v>30.32</v>
      </c>
      <c r="AU6" t="s">
        <v>3</v>
      </c>
      <c r="AV6">
        <v>1</v>
      </c>
      <c r="AW6">
        <v>2</v>
      </c>
      <c r="AX6">
        <v>43335745</v>
      </c>
      <c r="AY6">
        <v>1</v>
      </c>
      <c r="AZ6">
        <v>0</v>
      </c>
      <c r="BA6">
        <v>6</v>
      </c>
      <c r="BB6">
        <v>1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3861.5552000000002</v>
      </c>
      <c r="BN6">
        <v>30.32</v>
      </c>
      <c r="BO6">
        <v>0</v>
      </c>
      <c r="BP6">
        <v>1</v>
      </c>
      <c r="BQ6">
        <v>0</v>
      </c>
      <c r="BR6">
        <v>0</v>
      </c>
      <c r="BS6">
        <v>0</v>
      </c>
      <c r="BT6">
        <v>3861.5552000000002</v>
      </c>
      <c r="BU6">
        <v>30.32</v>
      </c>
      <c r="BV6">
        <v>0</v>
      </c>
      <c r="BW6">
        <v>1</v>
      </c>
      <c r="CX6">
        <f>Y6*Source!I26</f>
        <v>105.928984</v>
      </c>
      <c r="CY6">
        <f>AD6</f>
        <v>127.36</v>
      </c>
      <c r="CZ6">
        <f>AH6</f>
        <v>127.36</v>
      </c>
      <c r="DA6">
        <f>AL6</f>
        <v>1</v>
      </c>
      <c r="DB6">
        <f t="shared" si="0"/>
        <v>3861.56</v>
      </c>
      <c r="DC6">
        <f t="shared" si="1"/>
        <v>0</v>
      </c>
    </row>
    <row r="7" spans="1:107" x14ac:dyDescent="0.2">
      <c r="A7">
        <f>ROW(Source!A26)</f>
        <v>26</v>
      </c>
      <c r="B7">
        <v>43335668</v>
      </c>
      <c r="C7">
        <v>43335740</v>
      </c>
      <c r="D7">
        <v>42953528</v>
      </c>
      <c r="E7">
        <v>1</v>
      </c>
      <c r="F7">
        <v>1</v>
      </c>
      <c r="G7">
        <v>1</v>
      </c>
      <c r="H7">
        <v>2</v>
      </c>
      <c r="I7" t="s">
        <v>173</v>
      </c>
      <c r="J7" t="s">
        <v>174</v>
      </c>
      <c r="K7" t="s">
        <v>175</v>
      </c>
      <c r="L7">
        <v>1368</v>
      </c>
      <c r="N7">
        <v>1011</v>
      </c>
      <c r="O7" t="s">
        <v>166</v>
      </c>
      <c r="P7" t="s">
        <v>166</v>
      </c>
      <c r="Q7">
        <v>1</v>
      </c>
      <c r="W7">
        <v>0</v>
      </c>
      <c r="X7">
        <v>939231933</v>
      </c>
      <c r="Y7">
        <v>3.79</v>
      </c>
      <c r="AA7">
        <v>0</v>
      </c>
      <c r="AB7">
        <v>710.28</v>
      </c>
      <c r="AC7">
        <v>180.81</v>
      </c>
      <c r="AD7">
        <v>0</v>
      </c>
      <c r="AE7">
        <v>0</v>
      </c>
      <c r="AF7">
        <v>710.28</v>
      </c>
      <c r="AG7">
        <v>180.81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0</v>
      </c>
      <c r="AQ7">
        <v>1</v>
      </c>
      <c r="AR7">
        <v>0</v>
      </c>
      <c r="AS7" t="s">
        <v>3</v>
      </c>
      <c r="AT7">
        <v>3.79</v>
      </c>
      <c r="AU7" t="s">
        <v>3</v>
      </c>
      <c r="AV7">
        <v>0</v>
      </c>
      <c r="AW7">
        <v>2</v>
      </c>
      <c r="AX7">
        <v>43335746</v>
      </c>
      <c r="AY7">
        <v>1</v>
      </c>
      <c r="AZ7">
        <v>0</v>
      </c>
      <c r="BA7">
        <v>7</v>
      </c>
      <c r="BB7">
        <v>1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2691.9611999999997</v>
      </c>
      <c r="BL7">
        <v>685.26990000000001</v>
      </c>
      <c r="BM7">
        <v>0</v>
      </c>
      <c r="BN7">
        <v>0</v>
      </c>
      <c r="BO7">
        <v>0</v>
      </c>
      <c r="BP7">
        <v>1</v>
      </c>
      <c r="BQ7">
        <v>0</v>
      </c>
      <c r="BR7">
        <v>2691.9611999999997</v>
      </c>
      <c r="BS7">
        <v>685.26990000000001</v>
      </c>
      <c r="BT7">
        <v>0</v>
      </c>
      <c r="BU7">
        <v>0</v>
      </c>
      <c r="BV7">
        <v>0</v>
      </c>
      <c r="BW7">
        <v>1</v>
      </c>
      <c r="CX7">
        <f>Y7*Source!I26</f>
        <v>13.241123</v>
      </c>
      <c r="CY7">
        <f>AB7</f>
        <v>710.28</v>
      </c>
      <c r="CZ7">
        <f>AF7</f>
        <v>710.28</v>
      </c>
      <c r="DA7">
        <f>AJ7</f>
        <v>1</v>
      </c>
      <c r="DB7">
        <f t="shared" si="0"/>
        <v>2691.96</v>
      </c>
      <c r="DC7">
        <f t="shared" si="1"/>
        <v>685.27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43335733</v>
      </c>
      <c r="C1">
        <v>43335730</v>
      </c>
      <c r="D1">
        <v>121548</v>
      </c>
      <c r="E1">
        <v>1</v>
      </c>
      <c r="F1">
        <v>1</v>
      </c>
      <c r="G1">
        <v>1</v>
      </c>
      <c r="H1">
        <v>1</v>
      </c>
      <c r="I1" t="s">
        <v>24</v>
      </c>
      <c r="J1" t="s">
        <v>3</v>
      </c>
      <c r="K1" t="s">
        <v>161</v>
      </c>
      <c r="L1">
        <v>608254</v>
      </c>
      <c r="N1">
        <v>1013</v>
      </c>
      <c r="O1" t="s">
        <v>162</v>
      </c>
      <c r="P1" t="s">
        <v>162</v>
      </c>
      <c r="Q1">
        <v>1</v>
      </c>
      <c r="X1">
        <v>0.44</v>
      </c>
      <c r="Y1">
        <v>0</v>
      </c>
      <c r="Z1">
        <v>0</v>
      </c>
      <c r="AA1">
        <v>0</v>
      </c>
      <c r="AB1">
        <v>0</v>
      </c>
      <c r="AC1">
        <v>0</v>
      </c>
      <c r="AD1">
        <v>1</v>
      </c>
      <c r="AE1">
        <v>2</v>
      </c>
      <c r="AF1" t="s">
        <v>3</v>
      </c>
      <c r="AG1">
        <v>0.44</v>
      </c>
      <c r="AH1">
        <v>2</v>
      </c>
      <c r="AI1">
        <v>43335731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43335734</v>
      </c>
      <c r="C2">
        <v>43335730</v>
      </c>
      <c r="D2">
        <v>42953474</v>
      </c>
      <c r="E2">
        <v>1</v>
      </c>
      <c r="F2">
        <v>1</v>
      </c>
      <c r="G2">
        <v>1</v>
      </c>
      <c r="H2">
        <v>2</v>
      </c>
      <c r="I2" t="s">
        <v>163</v>
      </c>
      <c r="J2" t="s">
        <v>164</v>
      </c>
      <c r="K2" t="s">
        <v>165</v>
      </c>
      <c r="L2">
        <v>1368</v>
      </c>
      <c r="N2">
        <v>1011</v>
      </c>
      <c r="O2" t="s">
        <v>166</v>
      </c>
      <c r="P2" t="s">
        <v>166</v>
      </c>
      <c r="Q2">
        <v>1</v>
      </c>
      <c r="X2">
        <v>0.44</v>
      </c>
      <c r="Y2">
        <v>0</v>
      </c>
      <c r="Z2">
        <v>1117.0899999999999</v>
      </c>
      <c r="AA2">
        <v>225.36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0.44</v>
      </c>
      <c r="AH2">
        <v>2</v>
      </c>
      <c r="AI2">
        <v>43335732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ROW(Source!A25)</f>
        <v>25</v>
      </c>
      <c r="B3">
        <v>43335738</v>
      </c>
      <c r="C3">
        <v>43335735</v>
      </c>
      <c r="D3">
        <v>121548</v>
      </c>
      <c r="E3">
        <v>1</v>
      </c>
      <c r="F3">
        <v>1</v>
      </c>
      <c r="G3">
        <v>1</v>
      </c>
      <c r="H3">
        <v>1</v>
      </c>
      <c r="I3" t="s">
        <v>24</v>
      </c>
      <c r="J3" t="s">
        <v>3</v>
      </c>
      <c r="K3" t="s">
        <v>161</v>
      </c>
      <c r="L3">
        <v>608254</v>
      </c>
      <c r="N3">
        <v>1013</v>
      </c>
      <c r="O3" t="s">
        <v>162</v>
      </c>
      <c r="P3" t="s">
        <v>162</v>
      </c>
      <c r="Q3">
        <v>1</v>
      </c>
      <c r="X3">
        <v>2.9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>
        <v>2</v>
      </c>
      <c r="AF3" t="s">
        <v>3</v>
      </c>
      <c r="AG3">
        <v>2.9</v>
      </c>
      <c r="AH3">
        <v>2</v>
      </c>
      <c r="AI3">
        <v>43335736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43335739</v>
      </c>
      <c r="C4">
        <v>43335735</v>
      </c>
      <c r="D4">
        <v>42953494</v>
      </c>
      <c r="E4">
        <v>1</v>
      </c>
      <c r="F4">
        <v>1</v>
      </c>
      <c r="G4">
        <v>1</v>
      </c>
      <c r="H4">
        <v>2</v>
      </c>
      <c r="I4" t="s">
        <v>167</v>
      </c>
      <c r="J4" t="s">
        <v>168</v>
      </c>
      <c r="K4" t="s">
        <v>169</v>
      </c>
      <c r="L4">
        <v>1368</v>
      </c>
      <c r="N4">
        <v>1011</v>
      </c>
      <c r="O4" t="s">
        <v>166</v>
      </c>
      <c r="P4" t="s">
        <v>166</v>
      </c>
      <c r="Q4">
        <v>1</v>
      </c>
      <c r="X4">
        <v>2.9</v>
      </c>
      <c r="Y4">
        <v>0</v>
      </c>
      <c r="Z4">
        <v>765.11</v>
      </c>
      <c r="AA4">
        <v>211.39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2.9</v>
      </c>
      <c r="AH4">
        <v>2</v>
      </c>
      <c r="AI4">
        <v>43335737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ROW(Source!A26)</f>
        <v>26</v>
      </c>
      <c r="B5">
        <v>43335744</v>
      </c>
      <c r="C5">
        <v>43335740</v>
      </c>
      <c r="D5">
        <v>121548</v>
      </c>
      <c r="E5">
        <v>1</v>
      </c>
      <c r="F5">
        <v>1</v>
      </c>
      <c r="G5">
        <v>1</v>
      </c>
      <c r="H5">
        <v>1</v>
      </c>
      <c r="I5" t="s">
        <v>24</v>
      </c>
      <c r="J5" t="s">
        <v>3</v>
      </c>
      <c r="K5" t="s">
        <v>161</v>
      </c>
      <c r="L5">
        <v>608254</v>
      </c>
      <c r="N5">
        <v>1013</v>
      </c>
      <c r="O5" t="s">
        <v>162</v>
      </c>
      <c r="P5" t="s">
        <v>162</v>
      </c>
      <c r="Q5">
        <v>1</v>
      </c>
      <c r="X5">
        <v>3.79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2</v>
      </c>
      <c r="AF5" t="s">
        <v>3</v>
      </c>
      <c r="AG5">
        <v>3.79</v>
      </c>
      <c r="AH5">
        <v>2</v>
      </c>
      <c r="AI5">
        <v>43335741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43335745</v>
      </c>
      <c r="C6">
        <v>43335740</v>
      </c>
      <c r="D6">
        <v>42953702</v>
      </c>
      <c r="E6">
        <v>1</v>
      </c>
      <c r="F6">
        <v>1</v>
      </c>
      <c r="G6">
        <v>1</v>
      </c>
      <c r="H6">
        <v>1</v>
      </c>
      <c r="I6" t="s">
        <v>170</v>
      </c>
      <c r="J6" t="s">
        <v>3</v>
      </c>
      <c r="K6" t="s">
        <v>171</v>
      </c>
      <c r="L6">
        <v>1369</v>
      </c>
      <c r="N6">
        <v>1013</v>
      </c>
      <c r="O6" t="s">
        <v>172</v>
      </c>
      <c r="P6" t="s">
        <v>172</v>
      </c>
      <c r="Q6">
        <v>1</v>
      </c>
      <c r="X6">
        <v>30.32</v>
      </c>
      <c r="Y6">
        <v>0</v>
      </c>
      <c r="Z6">
        <v>0</v>
      </c>
      <c r="AA6">
        <v>0</v>
      </c>
      <c r="AB6">
        <v>127.36</v>
      </c>
      <c r="AC6">
        <v>0</v>
      </c>
      <c r="AD6">
        <v>1</v>
      </c>
      <c r="AE6">
        <v>1</v>
      </c>
      <c r="AF6" t="s">
        <v>3</v>
      </c>
      <c r="AG6">
        <v>30.32</v>
      </c>
      <c r="AH6">
        <v>2</v>
      </c>
      <c r="AI6">
        <v>43335742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ROW(Source!A26)</f>
        <v>26</v>
      </c>
      <c r="B7">
        <v>43335746</v>
      </c>
      <c r="C7">
        <v>43335740</v>
      </c>
      <c r="D7">
        <v>42953528</v>
      </c>
      <c r="E7">
        <v>1</v>
      </c>
      <c r="F7">
        <v>1</v>
      </c>
      <c r="G7">
        <v>1</v>
      </c>
      <c r="H7">
        <v>2</v>
      </c>
      <c r="I7" t="s">
        <v>173</v>
      </c>
      <c r="J7" t="s">
        <v>174</v>
      </c>
      <c r="K7" t="s">
        <v>175</v>
      </c>
      <c r="L7">
        <v>1368</v>
      </c>
      <c r="N7">
        <v>1011</v>
      </c>
      <c r="O7" t="s">
        <v>166</v>
      </c>
      <c r="P7" t="s">
        <v>166</v>
      </c>
      <c r="Q7">
        <v>1</v>
      </c>
      <c r="X7">
        <v>3.79</v>
      </c>
      <c r="Y7">
        <v>0</v>
      </c>
      <c r="Z7">
        <v>710.28</v>
      </c>
      <c r="AA7">
        <v>180.81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3.79</v>
      </c>
      <c r="AH7">
        <v>2</v>
      </c>
      <c r="AI7">
        <v>43335743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Смета для ТЕР ЧР</vt:lpstr>
      <vt:lpstr>Акт КС-2 для ТЕР ЧР</vt:lpstr>
      <vt:lpstr>Объектная смета</vt:lpstr>
      <vt:lpstr>Source</vt:lpstr>
      <vt:lpstr>SourceObSm</vt:lpstr>
      <vt:lpstr>SmtRes</vt:lpstr>
      <vt:lpstr>EtalonRes</vt:lpstr>
      <vt:lpstr>'Акт КС-2 для ТЕР ЧР'!Заголовки_для_печати</vt:lpstr>
      <vt:lpstr>'Объектная смета'!Заголовки_для_печати</vt:lpstr>
      <vt:lpstr>'Смета для ТЕР ЧР'!Заголовки_для_печати</vt:lpstr>
      <vt:lpstr>'Акт КС-2 для ТЕР ЧР'!Область_печати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sao3</dc:creator>
  <cp:lastModifiedBy>sao3</cp:lastModifiedBy>
  <dcterms:created xsi:type="dcterms:W3CDTF">2019-12-27T13:39:15Z</dcterms:created>
  <dcterms:modified xsi:type="dcterms:W3CDTF">2019-12-30T10:37:43Z</dcterms:modified>
</cp:coreProperties>
</file>