
<file path=[Content_Types].xml><?xml version="1.0" encoding="utf-8"?>
<Types xmlns="http://schemas.openxmlformats.org/package/2006/content-types">
  <Override PartName="/xl/revisions/revisionLog118.xml" ContentType="application/vnd.openxmlformats-officedocument.spreadsheetml.revisionLog+xml"/>
  <Override PartName="/xl/revisions/revisionLog11911.xml" ContentType="application/vnd.openxmlformats-officedocument.spreadsheetml.revisionLog+xml"/>
  <Override PartName="/xl/revisions/revisionLog1281111.xml" ContentType="application/vnd.openxmlformats-officedocument.spreadsheetml.revisionLog+xml"/>
  <Override PartName="/xl/revisions/revisionLog1251311.xml" ContentType="application/vnd.openxmlformats-officedocument.spreadsheetml.revisionLog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revisions/revisionLog11211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127211.xml" ContentType="application/vnd.openxmlformats-officedocument.spreadsheetml.revisionLog+xml"/>
  <Override PartName="/xl/revisions/revisionLog12241.xml" ContentType="application/vnd.openxmlformats-officedocument.spreadsheetml.revisionLog+xml"/>
  <Override PartName="/xl/revisions/revisionLog1251.xml" ContentType="application/vnd.openxmlformats-officedocument.spreadsheetml.revisionLog+xml"/>
  <Override PartName="/xl/revisions/revisionLog1401.xml" ContentType="application/vnd.openxmlformats-officedocument.spreadsheetml.revisionLog+xml"/>
  <Default Extension="xml" ContentType="application/xml"/>
  <Override PartName="/xl/revisions/revisionLog16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2711.xml" ContentType="application/vnd.openxmlformats-officedocument.spreadsheetml.revisionLog+xml"/>
  <Override PartName="/xl/revisions/revisionLog12514.xml" ContentType="application/vnd.openxmlformats-officedocument.spreadsheetml.revisionLog+xml"/>
  <Override PartName="/xl/worksheets/sheet3.xml" ContentType="application/vnd.openxmlformats-officedocument.spreadsheetml.worksheet+xml"/>
  <Override PartName="/xl/revisions/revisionLog110.xml" ContentType="application/vnd.openxmlformats-officedocument.spreadsheetml.revisionLog+xml"/>
  <Override PartName="/xl/revisions/revisionLog12011.xml" ContentType="application/vnd.openxmlformats-officedocument.spreadsheetml.revisionLog+xml"/>
  <Override PartName="/xl/revisions/revisionLog123111.xml" ContentType="application/vnd.openxmlformats-officedocument.spreadsheetml.revisionLog+xml"/>
  <Override PartName="/xl/revisions/revisionLog13511.xml" ContentType="application/vnd.openxmlformats-officedocument.spreadsheetml.revisionLog+xml"/>
  <Override PartName="/xl/revisions/revisionLog12812.xml" ContentType="application/vnd.openxmlformats-officedocument.spreadsheetml.revisionLog+xml"/>
  <Override PartName="/xl/revisions/revisionLog1191.xml" ContentType="application/vnd.openxmlformats-officedocument.spreadsheetml.revisionLog+xml"/>
  <Override PartName="/xl/revisions/revisionLog1341.xml" ContentType="application/vnd.openxmlformats-officedocument.spreadsheetml.revisionLog+xml"/>
  <Override PartName="/xl/worksheets/sheet18.xml" ContentType="application/vnd.openxmlformats-officedocument.spreadsheetml.worksheet+xml"/>
  <Override PartName="/xl/revisions/revisionLog1811.xml" ContentType="application/vnd.openxmlformats-officedocument.spreadsheetml.revisionLog+xml"/>
  <Override PartName="/xl/revisions/revisionLog1133.xml" ContentType="application/vnd.openxmlformats-officedocument.spreadsheetml.revisionLog+xml"/>
  <Override PartName="/xl/revisions/revisionLog128112.xml" ContentType="application/vnd.openxmlformats-officedocument.spreadsheetml.revisionLog+xml"/>
  <Override PartName="/xl/revisions/revisionLog148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37.xml" ContentType="application/vnd.openxmlformats-officedocument.spreadsheetml.revisionLog+xml"/>
  <Override PartName="/xl/worksheets/sheet14.xml" ContentType="application/vnd.openxmlformats-officedocument.spreadsheetml.worksheet+xml"/>
  <Override PartName="/xl/revisions/revisionLog191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292.xml" ContentType="application/vnd.openxmlformats-officedocument.spreadsheetml.revisionLog+xml"/>
  <Override PartName="/xl/revisions/revisionLog1912.xml" ContentType="application/vnd.openxmlformats-officedocument.spreadsheetml.revisionLog+xml"/>
  <Override PartName="/xl/revisions/revisionLog1431.xml" ContentType="application/vnd.openxmlformats-officedocument.spreadsheetml.revisionLog+xml"/>
  <Override PartName="/xl/revisions/revisionLog144.xml" ContentType="application/vnd.openxmlformats-officedocument.spreadsheetml.revisionLo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revisions/revisionLog115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1711.xml" ContentType="application/vnd.openxmlformats-officedocument.spreadsheetml.revisionLog+xml"/>
  <Override PartName="/xl/revisions/revisionLog1281.xml" ContentType="application/vnd.openxmlformats-officedocument.spreadsheetml.revisionLog+xml"/>
  <Override PartName="/xl/revisions/revisionLog13411.xml" ContentType="application/vnd.openxmlformats-officedocument.spreadsheetml.revisionLog+xml"/>
  <Override PartName="/xl/revisions/revisionLog12811111.xml" ContentType="application/vnd.openxmlformats-officedocument.spreadsheetml.revisionLog+xml"/>
  <Override PartName="/xl/revisions/revisionLog1252.xml" ContentType="application/vnd.openxmlformats-officedocument.spreadsheetml.revisionLog+xml"/>
  <Override PartName="/xl/revisions/revisionLog1223.xml" ContentType="application/vnd.openxmlformats-officedocument.spreadsheetml.revisionLog+xml"/>
  <Override PartName="/xl/revisions/revisionLog151.xml" ContentType="application/vnd.openxmlformats-officedocument.spreadsheetml.revisionLo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241.xml" ContentType="application/vnd.openxmlformats-officedocument.spreadsheetml.revisionLog+xml"/>
  <Override PartName="/xl/revisions/revisionLog1212.xml" ContentType="application/vnd.openxmlformats-officedocument.spreadsheetml.revisionLog+xml"/>
  <Override PartName="/xl/revisions/revisionLog111111.xml" ContentType="application/vnd.openxmlformats-officedocument.spreadsheetml.revisionLog+xml"/>
  <Override PartName="/xl/revisions/revisionLog140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201.xml" ContentType="application/vnd.openxmlformats-officedocument.spreadsheetml.revisionLog+xml"/>
  <Override PartName="/xl/revisions/revisionLog12511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211111.xml" ContentType="application/vnd.openxmlformats-officedocument.spreadsheetml.revisionLog+xml"/>
  <Override PartName="/xl/revisions/revisionLog119211.xml" ContentType="application/vnd.openxmlformats-officedocument.spreadsheetml.revisionLog+xml"/>
  <Override PartName="/xl/revisions/revisionLog1382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19111.xml" ContentType="application/vnd.openxmlformats-officedocument.spreadsheetml.revisionLog+xml"/>
  <Override PartName="/xl/revisions/revisionLog125121.xml" ContentType="application/vnd.openxmlformats-officedocument.spreadsheetml.revisionLog+xml"/>
  <Override PartName="/xl/revisions/revisionLog1342.xml" ContentType="application/vnd.openxmlformats-officedocument.spreadsheetml.revisionLog+xml"/>
  <Override PartName="/xl/revisions/revisionLog1371.xml" ContentType="application/vnd.openxmlformats-officedocument.spreadsheetml.revisionLog+xml"/>
  <Override PartName="/xl/revisions/revisionLog13031.xml" ContentType="application/vnd.openxmlformats-officedocument.spreadsheetml.revisionLog+xml"/>
  <Override PartName="/xl/worksheets/sheet19.xml" ContentType="application/vnd.openxmlformats-officedocument.spreadsheetml.worksheet+xml"/>
  <Override PartName="/xl/revisions/revisionLog1181.xml" ContentType="application/vnd.openxmlformats-officedocument.spreadsheetml.revisionLog+xml"/>
  <Override PartName="/xl/revisions/revisionLog115111.xml" ContentType="application/vnd.openxmlformats-officedocument.spreadsheetml.revisionLog+xml"/>
  <Override PartName="/xl/revisions/revisionLog1192.xml" ContentType="application/vnd.openxmlformats-officedocument.spreadsheetml.revisionLog+xml"/>
  <Override PartName="/xl/revisions/revisionLog12321.xml" ContentType="application/vnd.openxmlformats-officedocument.spreadsheetml.revisionLog+xml"/>
  <Override PartName="/xl/revisions/revisionLog126111.xml" ContentType="application/vnd.openxmlformats-officedocument.spreadsheetml.revisionLog+xml"/>
  <Override PartName="/xl/revisions/revisionLog137111.xml" ContentType="application/vnd.openxmlformats-officedocument.spreadsheetml.revisionLog+xml"/>
  <Override PartName="/docProps/core.xml" ContentType="application/vnd.openxmlformats-package.core-properties+xml"/>
  <Override PartName="/xl/revisions/revisionLog11611.xml" ContentType="application/vnd.openxmlformats-officedocument.spreadsheetml.revisionLog+xml"/>
  <Override PartName="/xl/revisions/revisionLog12612.xml" ContentType="application/vnd.openxmlformats-officedocument.spreadsheetml.revisionLog+xml"/>
  <Override PartName="/xl/revisions/revisionLog1302.xml" ContentType="application/vnd.openxmlformats-officedocument.spreadsheetml.revisionLog+xml"/>
  <Override PartName="/xl/revisions/revisionLog149.xml" ContentType="application/vnd.openxmlformats-officedocument.spreadsheetml.revisionLog+xml"/>
  <Override PartName="/xl/worksheets/sheet15.xml" ContentType="application/vnd.openxmlformats-officedocument.spreadsheetml.worksheet+xml"/>
  <Override PartName="/xl/revisions/revisionLog1611.xml" ContentType="application/vnd.openxmlformats-officedocument.spreadsheetml.revisionLog+xml"/>
  <Override PartName="/xl/revisions/revisionLog1141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112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12611111.xml" ContentType="application/vnd.openxmlformats-officedocument.spreadsheetml.revisionLog+xml"/>
  <Override PartName="/xl/revisions/revisionLog1293.xml" ContentType="application/vnd.openxmlformats-officedocument.spreadsheetml.revisionLo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revisions/userNames.xml" ContentType="application/vnd.openxmlformats-officedocument.spreadsheetml.userNames+xml"/>
  <Override PartName="/xl/revisions/revisionLog1101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19111.xml" ContentType="application/vnd.openxmlformats-officedocument.spreadsheetml.revisionLog+xml"/>
  <Override PartName="/xl/revisions/revisionLog12411.xml" ContentType="application/vnd.openxmlformats-officedocument.spreadsheetml.revisionLog+xml"/>
  <Override PartName="/xl/revisions/revisionLog145.xml" ContentType="application/vnd.openxmlformats-officedocument.spreadsheetml.revisionLog+xml"/>
  <Override PartName="/xl/revisions/revisionLog13412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1282.xml" ContentType="application/vnd.openxmlformats-officedocument.spreadsheetml.revisionLog+xml"/>
  <Override PartName="/xl/revisions/revisionLog1261111.xml" ContentType="application/vnd.openxmlformats-officedocument.spreadsheetml.revisionLog+xml"/>
  <Override PartName="/xl/revisions/revisionLog12921.xml" ContentType="application/vnd.openxmlformats-officedocument.spreadsheetml.revisionLog+xml"/>
  <Override PartName="/xl/revisions/revisionLog1461.xml" ContentType="application/vnd.openxmlformats-officedocument.spreadsheetml.revisionLog+xml"/>
  <Override PartName="/xl/worksheets/sheet11.xml" ContentType="application/vnd.openxmlformats-officedocument.spreadsheetml.worksheet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271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421.xml" ContentType="application/vnd.openxmlformats-officedocument.spreadsheetml.revisionLog+xml"/>
  <Override PartName="/xl/revisions/revisionLog1272111.xml" ContentType="application/vnd.openxmlformats-officedocument.spreadsheetml.revisionLog+xml"/>
  <Override PartName="/xl/revisions/revisionLog12321111.xml" ContentType="application/vnd.openxmlformats-officedocument.spreadsheetml.revisionLog+xml"/>
  <Override PartName="/xl/revisions/revisionLog1224.xml" ContentType="application/vnd.openxmlformats-officedocument.spreadsheetml.revisionLog+xml"/>
  <Override PartName="/xl/revisions/revisionLog13911.xml" ContentType="application/vnd.openxmlformats-officedocument.spreadsheetml.revisionLog+xml"/>
  <Override PartName="/xl/worksheets/sheet5.xml" ContentType="application/vnd.openxmlformats-officedocument.spreadsheetml.worksheet+xml"/>
  <Override PartName="/xl/revisions/revisionLog112.xml" ContentType="application/vnd.openxmlformats-officedocument.spreadsheetml.revisionLog+xml"/>
  <Override PartName="/xl/revisions/revisionLog1231.xml" ContentType="application/vnd.openxmlformats-officedocument.spreadsheetml.revisionLog+xml"/>
  <Override PartName="/xl/revisions/revisionLog1222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1511.xml" ContentType="application/vnd.openxmlformats-officedocument.spreadsheetml.revisionLog+xml"/>
  <Override PartName="/xl/revisions/revisionLog12512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232111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511.xml" ContentType="application/vnd.openxmlformats-officedocument.spreadsheetml.revisionLog+xml"/>
  <Override PartName="/xl/revisions/revisionLog13021.xml" ContentType="application/vnd.openxmlformats-officedocument.spreadsheetml.revisionLog+xml"/>
  <Override PartName="/xl/revisions/revisionLog125111.xml" ContentType="application/vnd.openxmlformats-officedocument.spreadsheetml.revisionLog+xml"/>
  <Override PartName="/xl/revisions/revisionLog1361.xml" ContentType="application/vnd.openxmlformats-officedocument.spreadsheetml.revisionLog+xml"/>
  <Override PartName="/xl/revisions/revisionLog12513111.xml" ContentType="application/vnd.openxmlformats-officedocument.spreadsheetml.revisionLog+xml"/>
  <Override PartName="/xl/revisions/revisionLog1321.xml" ContentType="application/vnd.openxmlformats-officedocument.spreadsheetml.revisionLog+xml"/>
  <Override PartName="/xl/revisions/revisionLog12311.xml" ContentType="application/vnd.openxmlformats-officedocument.spreadsheetml.revisionLog+xml"/>
  <Override PartName="/xl/revisions/revisionLog1303.xml" ContentType="application/vnd.openxmlformats-officedocument.spreadsheetml.revisionLog+xml"/>
  <Override PartName="/xl/revisions/revisionLog137112.xml" ContentType="application/vnd.openxmlformats-officedocument.spreadsheetml.revisionLog+xml"/>
  <Override PartName="/xl/revisions/revisionLog1171.xml" ContentType="application/vnd.openxmlformats-officedocument.spreadsheetml.revisionLog+xml"/>
  <Override PartName="/xl/revisions/revisionLog139.xml" ContentType="application/vnd.openxmlformats-officedocument.spreadsheetml.revisionLog+xml"/>
  <Override PartName="/xl/revisions/revisionLog13811.xml" ContentType="application/vnd.openxmlformats-officedocument.spreadsheetml.revisionLog+xml"/>
  <Override PartName="/xl/revisions/revisionLog1310.xml" ContentType="application/vnd.openxmlformats-officedocument.spreadsheetml.revisionLog+xml"/>
  <Override PartName="/xl/revisions/revisionLog1113.xml" ContentType="application/vnd.openxmlformats-officedocument.spreadsheetml.revisionLog+xml"/>
  <Override PartName="/xl/worksheets/sheet16.xml" ContentType="application/vnd.openxmlformats-officedocument.spreadsheetml.worksheet+xml"/>
  <Override PartName="/xl/revisions/revisionLog1131.xml" ContentType="application/vnd.openxmlformats-officedocument.spreadsheetml.revisionLog+xml"/>
  <Override PartName="/xl/revisions/revisionLog11921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46.xml" ContentType="application/vnd.openxmlformats-officedocument.spreadsheetml.revisionLog+xml"/>
  <Override PartName="/xl/revisions/revisionLog13621.xml" ContentType="application/vnd.openxmlformats-officedocument.spreadsheetml.revisionLog+xml"/>
  <Override PartName="/xl/revisions/revisionLog1294.xml" ContentType="application/vnd.openxmlformats-officedocument.spreadsheetml.revisionLog+xml"/>
  <Override PartName="/xl/revisions/revisionLog193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120111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1272.xml" ContentType="application/vnd.openxmlformats-officedocument.spreadsheetml.revisionLog+xml"/>
  <Override PartName="/xl/revisions/revisionLog1283.xml" ContentType="application/vnd.openxmlformats-officedocument.spreadsheetml.revisionLog+xml"/>
  <Override PartName="/xl/revisions/revisionLog12911.xml" ContentType="application/vnd.openxmlformats-officedocument.spreadsheetml.revisionLog+xml"/>
  <Override PartName="/xl/revisions/revisionLog1451.xml" ContentType="application/vnd.openxmlformats-officedocument.spreadsheetml.revisionLog+xml"/>
  <Override PartName="/xl/revisions/revisionLog1225.xml" ContentType="application/vnd.openxmlformats-officedocument.spreadsheetml.revisionLog+xml"/>
  <Override PartName="/xl/revisions/revisionLog1422.xml" ContentType="application/vnd.openxmlformats-officedocument.spreadsheetml.revisionLo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revisions/revisionLog17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261.xml" ContentType="application/vnd.openxmlformats-officedocument.spreadsheetml.revisionLog+xml"/>
  <Override PartName="/xl/revisions/revisionLog12721.xml" ContentType="application/vnd.openxmlformats-officedocument.spreadsheetml.revisionLog+xml"/>
  <Override PartName="/xl/revisions/revisionLog1921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12251.xml" ContentType="application/vnd.openxmlformats-officedocument.spreadsheetml.revisionLog+xml"/>
  <Override PartName="/xl/revisions/revisionLog12222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221.xml" ContentType="application/vnd.openxmlformats-officedocument.spreadsheetml.revisionLog+xml"/>
  <Override PartName="/xl/revisions/revisionLog12211.xml" ContentType="application/vnd.openxmlformats-officedocument.spreadsheetml.revisionLog+xml"/>
  <Override PartName="/xl/revisions/revisionLog1232.xml" ContentType="application/vnd.openxmlformats-officedocument.spreadsheetml.revisionLog+xml"/>
  <Override PartName="/xl/revisions/revisionLog12513.xml" ContentType="application/vnd.openxmlformats-officedocument.spreadsheetml.revisionLog+xml"/>
  <Override PartName="/xl/revisions/revisionLog13711.xml" ContentType="application/vnd.openxmlformats-officedocument.spreadsheetml.revisionLog+xml"/>
  <Override PartName="/xl/revisions/revisionLog113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Log15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13111.xml" ContentType="application/vnd.openxmlformats-officedocument.spreadsheetml.revisionLog+xml"/>
  <Override PartName="/xl/revisions/revisionLog124111.xml" ContentType="application/vnd.openxmlformats-officedocument.spreadsheetml.revisionLog+xml"/>
  <Override PartName="/xl/revisions/revisionLog13022.xml" ContentType="application/vnd.openxmlformats-officedocument.spreadsheetml.revisionLog+xml"/>
  <Override PartName="/xl/revisions/revisionLog1391.xml" ContentType="application/vnd.openxmlformats-officedocument.spreadsheetml.revisionLog+xml"/>
  <Override PartName="/xl/revisions/revisionLog11311.xml" ContentType="application/vnd.openxmlformats-officedocument.spreadsheetml.revisionLog+xml"/>
  <Override PartName="/xl/revisions/revisionLog125112.xml" ContentType="application/vnd.openxmlformats-officedocument.spreadsheetml.revisionLog+xml"/>
  <Override PartName="/xl/revisions/revisionLog136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172.xml" ContentType="application/vnd.openxmlformats-officedocument.spreadsheetml.revisionLog+xml"/>
  <Override PartName="/xl/revisions/revisionLog12811.xml" ContentType="application/vnd.openxmlformats-officedocument.spreadsheetml.revisionLog+xml"/>
  <Override PartName="/xl/revisions/revisionLog1351.xml" ContentType="application/vnd.openxmlformats-officedocument.spreadsheetml.revisionLog+xml"/>
  <Override PartName="/xl/revisions/revisionLog1304.xml" ContentType="application/vnd.openxmlformats-officedocument.spreadsheetml.revisionLog+xml"/>
  <Override PartName="/xl/worksheets/sheet17.xml" ContentType="application/vnd.openxmlformats-officedocument.spreadsheetml.worksheet+xml"/>
  <Override PartName="/xl/revisions/revisionLog1161.xml" ContentType="application/vnd.openxmlformats-officedocument.spreadsheetml.revisionLog+xml"/>
  <Override PartName="/xl/revisions/revisionLog117111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23211.xml" ContentType="application/vnd.openxmlformats-officedocument.spreadsheetml.revisionLog+xml"/>
  <Override PartName="/xl/revisions/revisionLog128111.xml" ContentType="application/vnd.openxmlformats-officedocument.spreadsheetml.revisionLog+xml"/>
  <Override PartName="/xl/revisions/revisionLog112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111111.xml" ContentType="application/vnd.openxmlformats-officedocument.spreadsheetml.revisionLog+xml"/>
  <Override PartName="/xl/revisions/revisionLog13611.xml" ContentType="application/vnd.openxmlformats-officedocument.spreadsheetml.revisionLog+xml"/>
  <Override PartName="/xl/revisions/revisionLog147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1291.xml" ContentType="application/vnd.openxmlformats-officedocument.spreadsheetml.revisionLog+xml"/>
  <Override PartName="/xl/revisions/revisionLog183.xml" ContentType="application/vnd.openxmlformats-officedocument.spreadsheetml.revisionLog+xml"/>
  <Override PartName="/xl/revisions/revisionLog12912.xml" ContentType="application/vnd.openxmlformats-officedocument.spreadsheetml.revisionLo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revisions/revisionLog161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1721.xml" ContentType="application/vnd.openxmlformats-officedocument.spreadsheetml.revisionLog+xml"/>
  <Override PartName="/xl/revisions/revisionLog1222.xml" ContentType="application/vnd.openxmlformats-officedocument.spreadsheetml.revisionLog+xml"/>
  <Override PartName="/xl/revisions/revisionLog1241111.xml" ContentType="application/vnd.openxmlformats-officedocument.spreadsheetml.revisionLog+xml"/>
  <Override PartName="/xl/revisions/revisionLog13712.xml" ContentType="application/vnd.openxmlformats-officedocument.spreadsheetml.revisionLog+xml"/>
  <Override PartName="/xl/revisions/revisionLog13411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1811.xml" ContentType="application/vnd.openxmlformats-officedocument.spreadsheetml.revisionLog+xml"/>
  <Override PartName="/xl/revisions/revisionLog125131.xml" ContentType="application/vnd.openxmlformats-officedocument.spreadsheetml.revisionLog+xml"/>
  <Override PartName="/xl/revisions/revisionLog138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22211.xml" ContentType="application/vnd.openxmlformats-officedocument.spreadsheetml.revisionLog+xml"/>
  <Override PartName="/xl/revisions/revisionLog137121.xml" ContentType="application/vnd.openxmlformats-officedocument.spreadsheetml.revisionLog+xml"/>
  <Override PartName="/xl/revisions/revisionLog1301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127111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26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 tabRatio="695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  <sheet name="Лист1" sheetId="20" state="hidden" r:id="rId20"/>
    <sheet name="Лист2" sheetId="21" r:id="rId21"/>
  </sheets>
  <definedNames>
    <definedName name="Z_1718F1EE_9F48_4DBE_9531_3B70F9C4A5DD_.wvu.Cols" localSheetId="1" hidden="1">Справка!$AV:$AX,Справка!$BB:$BD,Справка!$BH:$BP,Справка!$BT:$BY,Справка!$CX:$DF</definedName>
    <definedName name="Z_1718F1EE_9F48_4DBE_9531_3B70F9C4A5DD_.wvu.PrintArea" localSheetId="5" hidden="1">Иль!$A$1:$F$104</definedName>
    <definedName name="Z_1718F1EE_9F48_4DBE_9531_3B70F9C4A5DD_.wvu.PrintArea" localSheetId="0" hidden="1">Консол!$A$1:$K$50</definedName>
    <definedName name="Z_1718F1EE_9F48_4DBE_9531_3B70F9C4A5DD_.wvu.PrintArea" localSheetId="7" hidden="1">Мор!$A$1:$F$101</definedName>
    <definedName name="Z_1718F1EE_9F48_4DBE_9531_3B70F9C4A5DD_.wvu.PrintArea" localSheetId="1" hidden="1">Справка!$A$1:$EY$31</definedName>
    <definedName name="Z_1718F1EE_9F48_4DBE_9531_3B70F9C4A5DD_.wvu.PrintArea" localSheetId="11" hidden="1">Тор!$A$1:$F$102</definedName>
    <definedName name="Z_1718F1EE_9F48_4DBE_9531_3B70F9C4A5DD_.wvu.PrintArea" localSheetId="15" hidden="1">Юнг!$A$1:$F$100</definedName>
    <definedName name="Z_1718F1EE_9F48_4DBE_9531_3B70F9C4A5DD_.wvu.PrintArea" localSheetId="17" hidden="1">Яра!$A$1:$F$102</definedName>
    <definedName name="Z_1718F1EE_9F48_4DBE_9531_3B70F9C4A5DD_.wvu.Rows" localSheetId="3" hidden="1">Але!$19:$24,Але!$28:$36,Але!$46:$46,Але!$53:$53,Але!$55:$57,Але!$63:$64,Але!$70:$70,Але!$72:$72,Але!$74:$75,Але!$79:$83,Але!$86:$93,Але!$142:$142</definedName>
    <definedName name="Z_1718F1EE_9F48_4DBE_9531_3B70F9C4A5DD_.wvu.Rows" localSheetId="5" hidden="1">Иль!$19:$24,Иль!$30:$39,Иль!$45:$45,Иль!$47:$50,Иль!$58:$58,Иль!$60:$62,Иль!$68:$69,Иль!$78:$79,Иль!$81:$81,Иль!$86:$90,Иль!$93:$100,Иль!$143:$143</definedName>
    <definedName name="Z_1718F1EE_9F48_4DBE_9531_3B70F9C4A5DD_.wvu.Rows" localSheetId="6" hidden="1">Кад!$19:$24,Кад!$29:$35,Кад!$38:$38,Кад!$42:$42,Кад!$44:$44,Кад!$46:$49,Кад!$56:$56,Кад!$58:$60,Кад!$66:$67,Кад!$77:$78,Кад!$82:$86,Кад!$89:$96,Кад!$142:$142</definedName>
    <definedName name="Z_1718F1EE_9F48_4DBE_9531_3B70F9C4A5DD_.wvu.Rows" localSheetId="0" hidden="1">Консол!$22:$22,Консол!$43:$45</definedName>
    <definedName name="Z_1718F1EE_9F48_4DBE_9531_3B70F9C4A5DD_.wvu.Rows" localSheetId="7" hidden="1">Мор!$17:$24,Мор!$27:$27,Мор!$31:$35,Мор!$37:$37,Мор!$44:$44,Мор!$46:$47,Мор!$49:$50,Мор!$57:$57,Мор!$59:$61,Мор!$64:$65,Мор!$67:$68,Мор!$78:$79,Мор!$83:$88,Мор!$91:$97,Мор!$142:$142</definedName>
    <definedName name="Z_1718F1EE_9F48_4DBE_9531_3B70F9C4A5DD_.wvu.Rows" localSheetId="8" hidden="1">Мос!$19:$24,Мос!$29:$35,Мос!$44:$44,Мос!$46:$50,Мос!$58:$58,Мос!$60:$62,Мос!$68:$69,Мос!$79:$80,Мос!$82:$82,Мос!$85:$92,Мос!$95:$102,Мос!$143:$143</definedName>
    <definedName name="Z_1718F1EE_9F48_4DBE_9531_3B70F9C4A5DD_.wvu.Rows" localSheetId="9" hidden="1">Ори!$19:$24,Ори!$31:$35,Ори!$44:$44,Ори!$46:$46,Ори!$48:$50,Ори!$57:$57,Ори!$59:$61,Ори!$67:$68,Ори!$78:$79,Ори!$81:$81,Ори!$84:$88,Ори!$91:$98,Ори!$142:$142</definedName>
    <definedName name="Z_1718F1EE_9F48_4DBE_9531_3B70F9C4A5DD_.wvu.Rows" localSheetId="2" hidden="1">район!$17:$18,район!$20:$20,район!$25:$25,район!$27:$31,район!$35:$35,район!$38:$38,район!$50:$51,район!$75:$75,район!$82:$82,район!$99:$99,район!$105:$105,район!$133:$135,район!$138:$139</definedName>
    <definedName name="Z_1718F1EE_9F48_4DBE_9531_3B70F9C4A5DD_.wvu.Rows" localSheetId="1" hidden="1">Справка!$33:$33</definedName>
    <definedName name="Z_1718F1EE_9F48_4DBE_9531_3B70F9C4A5DD_.wvu.Rows" localSheetId="4" hidden="1">Сун!$19:$24,Сун!$34:$39,Сун!$43:$43,Сун!$45:$45,Сун!$47:$47,Сун!$49:$51,Сун!$58:$58,Сун!$60:$62,Сун!$68:$69,Сун!$79:$80,Сун!$82:$82,Сун!$85:$90,Сун!$93:$100,Сун!$142:$142</definedName>
    <definedName name="Z_1718F1EE_9F48_4DBE_9531_3B70F9C4A5DD_.wvu.Rows" localSheetId="10" hidden="1">Сят!$19:$24,Сят!$31:$35,Сят!$38:$38,Сят!$45:$48,Сят!$57:$57,Сят!$59:$61,Сят!$67:$68,Сят!$78:$79,Сят!$83:$87,Сят!$90:$97,Сят!$143:$143</definedName>
    <definedName name="Z_1718F1EE_9F48_4DBE_9531_3B70F9C4A5DD_.wvu.Rows" localSheetId="11" hidden="1">Тор!$19:$24,Тор!$32:$36,Тор!$39:$39,Тор!$46:$47,Тор!$50:$50,Тор!$57:$57,Тор!$59:$61,Тор!$67:$68,Тор!$75:$75,Тор!$79:$80,Тор!$84:$96,Тор!$143:$143</definedName>
    <definedName name="Z_1718F1EE_9F48_4DBE_9531_3B70F9C4A5DD_.wvu.Rows" localSheetId="12" hidden="1">Хор!$19:$24,Хор!$28:$36,Хор!$40:$40,Хор!$44:$44,Хор!$46:$48,Хор!$55:$55,Хор!$57:$59,Хор!$65:$66,Хор!$72:$72,Хор!$76:$77,Хор!$81:$85,Хор!$88:$95,Хор!$142:$142</definedName>
    <definedName name="Z_1718F1EE_9F48_4DBE_9531_3B70F9C4A5DD_.wvu.Rows" localSheetId="13" hidden="1">Чум!$19:$24,Чум!$31:$39,Чум!$46:$49,Чум!$57:$57,Чум!$59:$61,Чум!$67:$68,Чум!$78:$79,Чум!$83:$87,Чум!$90:$97,Чум!$142:$142</definedName>
    <definedName name="Z_1718F1EE_9F48_4DBE_9531_3B70F9C4A5DD_.wvu.Rows" localSheetId="14" hidden="1">Шать!$19:$19,Шать!$22:$25,Шать!$46:$49,Шать!$57:$57,Шать!$59:$61,Шать!$67:$68,Шать!$78:$79,Шать!$83:$87,Шать!$90:$97,Шать!$142:$142</definedName>
    <definedName name="Z_1718F1EE_9F48_4DBE_9531_3B70F9C4A5DD_.wvu.Rows" localSheetId="15" hidden="1">Юнг!$19:$24,Юнг!$31:$35,Юнг!$38:$38,Юнг!$45:$47,Юнг!$49:$49,Юнг!$56:$56,Юнг!$58:$60,Юнг!$66:$68,Юнг!$77:$78,Юнг!$82:$86,Юнг!$89:$96,Юнг!$142:$142</definedName>
    <definedName name="Z_1718F1EE_9F48_4DBE_9531_3B70F9C4A5DD_.wvu.Rows" localSheetId="16" hidden="1">Юсь!$19:$24,Юсь!$31:$33,Юсь!$36:$36,Юсь!$44:$50,Юсь!$58:$58,Юсь!$60:$62,Юсь!$68:$69,Юсь!$79:$80,Юсь!$84:$88,Юсь!$91:$98,Юсь!$142:$142</definedName>
    <definedName name="Z_1718F1EE_9F48_4DBE_9531_3B70F9C4A5DD_.wvu.Rows" localSheetId="17" hidden="1">Яра!$19:$24,Яра!$30:$39,Яра!$46:$50,Яра!$58:$58,Яра!$60:$62,Яра!$68:$69,Яра!$79:$80,Яра!$84:$88,Яра!$91:$98,Яра!$143:$143</definedName>
    <definedName name="Z_1718F1EE_9F48_4DBE_9531_3B70F9C4A5DD_.wvu.Rows" localSheetId="18" hidden="1">Яро!$19:$24,Яро!$28:$33,Яро!$43:$44,Яро!$46:$47,Яро!$54:$54,Яро!$56:$57,Яро!$64:$65,Яро!$75:$76,Яро!$80:$84,Яро!$87:$94</definedName>
    <definedName name="Z_1A52382B_3765_4E8C_903F_6B8919B7242E_.wvu.Cols" localSheetId="1" hidden="1">Справка!$AV:$AX,Справка!$BB:$BD,Справка!$BH:$BM,Справка!$BT:$BY,Справка!$CX:$DF</definedName>
    <definedName name="Z_1A52382B_3765_4E8C_903F_6B8919B7242E_.wvu.PrintArea" localSheetId="5" hidden="1">Иль!$A$1:$F$104</definedName>
    <definedName name="Z_1A52382B_3765_4E8C_903F_6B8919B7242E_.wvu.PrintArea" localSheetId="0" hidden="1">Консол!$A$1:$K$50</definedName>
    <definedName name="Z_1A52382B_3765_4E8C_903F_6B8919B7242E_.wvu.PrintArea" localSheetId="7" hidden="1">Мор!$A$1:$F$101</definedName>
    <definedName name="Z_1A52382B_3765_4E8C_903F_6B8919B7242E_.wvu.PrintArea" localSheetId="1" hidden="1">Справка!$A$1:$EY$31</definedName>
    <definedName name="Z_1A52382B_3765_4E8C_903F_6B8919B7242E_.wvu.PrintArea" localSheetId="11" hidden="1">Тор!$A$1:$F$102</definedName>
    <definedName name="Z_1A52382B_3765_4E8C_903F_6B8919B7242E_.wvu.PrintArea" localSheetId="12" hidden="1">Хор!$A$1:$F$99</definedName>
    <definedName name="Z_1A52382B_3765_4E8C_903F_6B8919B7242E_.wvu.PrintArea" localSheetId="13" hidden="1">Чум!$A$1:$F$101</definedName>
    <definedName name="Z_1A52382B_3765_4E8C_903F_6B8919B7242E_.wvu.PrintArea" localSheetId="14" hidden="1">Шать!$A$1:$F$101</definedName>
    <definedName name="Z_1A52382B_3765_4E8C_903F_6B8919B7242E_.wvu.PrintArea" localSheetId="15" hidden="1">Юнг!$A$1:$F$100</definedName>
    <definedName name="Z_1A52382B_3765_4E8C_903F_6B8919B7242E_.wvu.PrintArea" localSheetId="17" hidden="1">Яра!$A$1:$F$102</definedName>
    <definedName name="Z_1A52382B_3765_4E8C_903F_6B8919B7242E_.wvu.Rows" localSheetId="3" hidden="1">Але!$19:$24,Але!$44:$44,Але!$46:$46,Але!$53:$53,Але!$55:$56,Але!$63:$64,Але!$74:$75,Але!$79:$83,Але!$87:$89</definedName>
    <definedName name="Z_1A52382B_3765_4E8C_903F_6B8919B7242E_.wvu.Rows" localSheetId="5" hidden="1">Иль!$19:$24,Иль!$30:$31,Иль!$33:$33,Иль!$45:$45,Иль!$50:$50,Иль!$60:$61,Иль!$68:$69,Иль!$78:$79,Иль!$81:$81,Иль!$93:$97</definedName>
    <definedName name="Z_1A52382B_3765_4E8C_903F_6B8919B7242E_.wvu.Rows" localSheetId="6" hidden="1">Кад!$19:$24,Кад!$44:$44,Кад!$56:$56,Кад!$58:$59,Кад!$66:$67,Кад!$83:$85,Кад!$89:$96</definedName>
    <definedName name="Z_1A52382B_3765_4E8C_903F_6B8919B7242E_.wvu.Rows" localSheetId="0" hidden="1">Консол!$22:$22,Консол!$43:$45,Консол!$82:$84</definedName>
    <definedName name="Z_1A52382B_3765_4E8C_903F_6B8919B7242E_.wvu.Rows" localSheetId="19" hidden="1">Лист1!$82:$84</definedName>
    <definedName name="Z_1A52382B_3765_4E8C_903F_6B8919B7242E_.wvu.Rows" localSheetId="7" hidden="1">Мор!$17:$17,Мор!$21:$21,Мор!$23:$23,Мор!$37:$37,Мор!$44:$44,Мор!$46:$47,Мор!$49:$50,Мор!$57:$57,Мор!$59:$60,Мор!$67:$68,Мор!$83:$88,Мор!$91:$97</definedName>
    <definedName name="Z_1A52382B_3765_4E8C_903F_6B8919B7242E_.wvu.Rows" localSheetId="8" hidden="1">Мос!$19:$24,Мос!$44:$44,Мос!$58:$58,Мос!$60:$61,Мос!$68:$69,Мос!$82:$82,Мос!$86:$90,Мос!$95:$100</definedName>
    <definedName name="Z_1A52382B_3765_4E8C_903F_6B8919B7242E_.wvu.Rows" localSheetId="9" hidden="1">Ори!$19:$24,Ори!$32:$32,Ори!$44:$44,Ори!$48:$50,Ори!$57:$57,Ори!$59:$60,Ори!$67:$68,Ори!$78:$79,Ори!$81:$81,Ори!$84:$88,Ори!$91:$98</definedName>
    <definedName name="Z_1A52382B_3765_4E8C_903F_6B8919B7242E_.wvu.Rows" localSheetId="2" hidden="1">район!$17:$18,район!$20:$20,район!$28:$30,район!$50:$51,район!$62:$62,район!$75:$75,район!$82:$82,район!$99:$99,район!$105:$105,район!$133:$135</definedName>
    <definedName name="Z_1A52382B_3765_4E8C_903F_6B8919B7242E_.wvu.Rows" localSheetId="1" hidden="1">Справка!$33:$33</definedName>
    <definedName name="Z_1A52382B_3765_4E8C_903F_6B8919B7242E_.wvu.Rows" localSheetId="4" hidden="1">Сун!$19:$24,Сун!$49:$51,Сун!$58:$58,Сун!$60:$61,Сун!$68:$69,Сун!$79:$80,Сун!$82:$82,Сун!$88:$89,Сун!$93:$97</definedName>
    <definedName name="Z_1A52382B_3765_4E8C_903F_6B8919B7242E_.wvu.Rows" localSheetId="10" hidden="1">Сят!$19:$19,Сят!$45:$47,Сят!$57:$57,Сят!$59:$60,Сят!$67:$68,Сят!$83:$86,Сят!$90:$97</definedName>
    <definedName name="Z_1A52382B_3765_4E8C_903F_6B8919B7242E_.wvu.Rows" localSheetId="11" hidden="1">Тор!$19:$24,Тор!$32:$39,Тор!$46:$47,Тор!$49:$50,Тор!$57:$57,Тор!$59:$60,Тор!$67:$68,Тор!$75:$75,Тор!$79:$80,Тор!$84:$96</definedName>
    <definedName name="Z_1A52382B_3765_4E8C_903F_6B8919B7242E_.wvu.Rows" localSheetId="12" hidden="1">Хор!$19:$24,Хор!$28:$36,Хор!$40:$40,Хор!$46:$48,Хор!$55:$55,Хор!$57:$59,Хор!$65:$66,Хор!$72:$72,Хор!$76:$77,Хор!$81:$85,Хор!$88:$95</definedName>
    <definedName name="Z_1A52382B_3765_4E8C_903F_6B8919B7242E_.wvu.Rows" localSheetId="13" hidden="1">Чум!$19:$21,Чум!$23:$24,Чум!$28:$28,Чум!$31:$39,Чум!$47:$49,Чум!$57:$57,Чум!$59:$60,Чум!$67:$68,Чум!$78:$79,Чум!$83:$87,Чум!$90:$97</definedName>
    <definedName name="Z_1A52382B_3765_4E8C_903F_6B8919B7242E_.wvu.Rows" localSheetId="14" hidden="1">Шать!$19:$24,Шать!$31:$39,Шать!$46:$49,Шать!$57:$57,Шать!$59:$60,Шать!$67:$68,Шать!$78:$79,Шать!$83:$87,Шать!$90:$97</definedName>
    <definedName name="Z_1A52382B_3765_4E8C_903F_6B8919B7242E_.wvu.Rows" localSheetId="15" hidden="1">Юнг!$19:$24,Юнг!$31:$38,Юнг!$45:$49,Юнг!$56:$56,Юнг!$58:$59,Юнг!$66:$67,Юнг!$77:$77,Юнг!$82:$86,Юнг!$89:$96</definedName>
    <definedName name="Z_1A52382B_3765_4E8C_903F_6B8919B7242E_.wvu.Rows" localSheetId="16" hidden="1">Юсь!$20:$24,Юсь!$36:$36,Юсь!$40:$40,Юсь!$44:$49,Юсь!$58:$58,Юсь!$60:$61,Юсь!$68:$69,Юсь!$79:$80,Юсь!$84:$88,Юсь!$91:$98</definedName>
    <definedName name="Z_1A52382B_3765_4E8C_903F_6B8919B7242E_.wvu.Rows" localSheetId="17" hidden="1">Яра!$19:$24,Яра!$46:$46,Яра!$48:$51,Яра!$58:$58,Яра!$60:$61,Яра!$68:$69,Яра!$79:$80,Яра!$84:$88,Яра!$91:$98</definedName>
    <definedName name="Z_1A52382B_3765_4E8C_903F_6B8919B7242E_.wvu.Rows" localSheetId="18" hidden="1">Яро!$19:$24,Яро!$43:$43,Яро!$54:$54,Яро!$56:$58,Яро!$64:$65,Яро!$75:$76,Яро!$80:$84,Яро!$87:$94</definedName>
    <definedName name="Z_3DCB9AAA_F09C_4EA6_B992_F93E466D374A_.wvu.Cols" localSheetId="1" hidden="1">Справка!$AV:$AX,Справка!$BB:$BD,Справка!$BH:$BM,Справка!$BT:$BY,Справка!$CX:$DF</definedName>
    <definedName name="Z_3DCB9AAA_F09C_4EA6_B992_F93E466D374A_.wvu.PrintArea" localSheetId="5" hidden="1">Иль!$A$1:$F$104</definedName>
    <definedName name="Z_3DCB9AAA_F09C_4EA6_B992_F93E466D374A_.wvu.PrintArea" localSheetId="0" hidden="1">Консол!$A$1:$K$50</definedName>
    <definedName name="Z_3DCB9AAA_F09C_4EA6_B992_F93E466D374A_.wvu.PrintArea" localSheetId="7" hidden="1">Мор!$A$1:$F$101</definedName>
    <definedName name="Z_3DCB9AAA_F09C_4EA6_B992_F93E466D374A_.wvu.PrintArea" localSheetId="1" hidden="1">Справка!$A$1:$EY$31</definedName>
    <definedName name="Z_3DCB9AAA_F09C_4EA6_B992_F93E466D374A_.wvu.PrintArea" localSheetId="11" hidden="1">Тор!$A$1:$F$102</definedName>
    <definedName name="Z_3DCB9AAA_F09C_4EA6_B992_F93E466D374A_.wvu.PrintArea" localSheetId="15" hidden="1">Юнг!$A$1:$F$100</definedName>
    <definedName name="Z_3DCB9AAA_F09C_4EA6_B992_F93E466D374A_.wvu.PrintArea" localSheetId="17" hidden="1">Яра!$A$1:$F$102</definedName>
    <definedName name="Z_3DCB9AAA_F09C_4EA6_B992_F93E466D374A_.wvu.Rows" localSheetId="3" hidden="1">Але!$19:$24,Але!$44:$44,Але!$46:$46,Але!$53:$53,Але!$55:$56,Але!$63:$64,Але!$74:$75,Але!$79:$93</definedName>
    <definedName name="Z_3DCB9AAA_F09C_4EA6_B992_F93E466D374A_.wvu.Rows" localSheetId="5" hidden="1">Иль!$19:$24,Иль!$30:$31,Иль!$33:$33,Иль!$45:$45,Иль!$50:$50,Иль!$60:$61,Иль!$68:$69,Иль!$78:$79,Иль!$81:$81,Иль!$83:$90,Иль!$93:$97</definedName>
    <definedName name="Z_3DCB9AAA_F09C_4EA6_B992_F93E466D374A_.wvu.Rows" localSheetId="6" hidden="1">Кад!$19:$24,Кад!$44:$44,Кад!$56:$56,Кад!$58:$59,Кад!$66:$67,Кад!$83:$85,Кад!$89:$96</definedName>
    <definedName name="Z_3DCB9AAA_F09C_4EA6_B992_F93E466D374A_.wvu.Rows" localSheetId="0" hidden="1">Консол!$22:$22,Консол!$43:$45,Консол!$82:$84</definedName>
    <definedName name="Z_3DCB9AAA_F09C_4EA6_B992_F93E466D374A_.wvu.Rows" localSheetId="19" hidden="1">Лист1!$82:$84</definedName>
    <definedName name="Z_3DCB9AAA_F09C_4EA6_B992_F93E466D374A_.wvu.Rows" localSheetId="7" hidden="1">Мор!$21:$21,Мор!$23:$23,Мор!$37:$37,Мор!$44:$44,Мор!$47:$47,Мор!$49:$50,Мор!$57:$57,Мор!$59:$60,Мор!$67:$68,Мор!$83:$88,Мор!$91:$97</definedName>
    <definedName name="Z_3DCB9AAA_F09C_4EA6_B992_F93E466D374A_.wvu.Rows" localSheetId="8" hidden="1">Мос!$19:$24,Мос!$44:$44,Мос!$58:$58,Мос!$60:$61,Мос!$68:$69,Мос!$82:$82,Мос!$84:$90,Мос!$95:$100</definedName>
    <definedName name="Z_3DCB9AAA_F09C_4EA6_B992_F93E466D374A_.wvu.Rows" localSheetId="9" hidden="1">Ори!$19:$24,Ори!$32:$32,Ори!$44:$44,Ори!$48:$50,Ори!$57:$57,Ори!$59:$60,Ори!$67:$68,Ори!$78:$79,Ори!$81:$81,Ори!$83:$87,Ори!$91:$98</definedName>
    <definedName name="Z_3DCB9AAA_F09C_4EA6_B992_F93E466D374A_.wvu.Rows" localSheetId="2" hidden="1">район!$17:$18,район!$20:$20,район!$28:$30,район!$50:$51,район!$75:$75,район!$82:$82,район!$99:$99,район!$105:$105,район!$133:$135</definedName>
    <definedName name="Z_3DCB9AAA_F09C_4EA6_B992_F93E466D374A_.wvu.Rows" localSheetId="1" hidden="1">Справка!$33:$33</definedName>
    <definedName name="Z_3DCB9AAA_F09C_4EA6_B992_F93E466D374A_.wvu.Rows" localSheetId="4" hidden="1">Сун!$19:$24,Сун!$49:$51,Сун!$58:$58,Сун!$60:$61,Сун!$68:$69,Сун!$79:$80,Сун!$82:$85,Сун!$88:$89,Сун!$93:$97</definedName>
    <definedName name="Z_3DCB9AAA_F09C_4EA6_B992_F93E466D374A_.wvu.Rows" localSheetId="10" hidden="1">Сят!$19:$19,Сят!$45:$47,Сят!$57:$57,Сят!$59:$60,Сят!$67:$68,Сят!$83:$86,Сят!$90:$97</definedName>
    <definedName name="Z_3DCB9AAA_F09C_4EA6_B992_F93E466D374A_.wvu.Rows" localSheetId="11" hidden="1">Тор!$19:$19,Тор!$50:$50,Тор!$57:$57,Тор!$59:$60,Тор!$67:$68,Тор!$75:$75,Тор!$79:$80,Тор!$83:$94</definedName>
    <definedName name="Z_3DCB9AAA_F09C_4EA6_B992_F93E466D374A_.wvu.Rows" localSheetId="12" hidden="1">Хор!$19:$24,Хор!$32:$32,Хор!$40:$40,Хор!$44:$44,Хор!$55:$55,Хор!$57:$58,Хор!$65:$66,Хор!$81:$85,Хор!$88:$95</definedName>
    <definedName name="Z_3DCB9AAA_F09C_4EA6_B992_F93E466D374A_.wvu.Rows" localSheetId="13" hidden="1">Чум!$19:$19,Чум!$21:$21,Чум!$23:$24,Чум!$47:$49,Чум!$57:$57,Чум!$59:$60,Чум!$67:$68,Чум!$83:$87,Чум!$90:$97</definedName>
    <definedName name="Z_3DCB9AAA_F09C_4EA6_B992_F93E466D374A_.wvu.Rows" localSheetId="14" hidden="1">Шать!$19:$24,Шать!$47:$49,Шать!$57:$57,Шать!$59:$60,Шать!$67:$68,Шать!$78:$79,Шать!$83:$87,Шать!$90:$97</definedName>
    <definedName name="Z_3DCB9AAA_F09C_4EA6_B992_F93E466D374A_.wvu.Rows" localSheetId="15" hidden="1">Юнг!$19:$24,Юнг!$32:$32,Юнг!$46:$46,Юнг!$49:$49,Юнг!$56:$56,Юнг!$58:$59,Юнг!$66:$67,Юнг!$82:$86,Юнг!$89:$96</definedName>
    <definedName name="Z_3DCB9AAA_F09C_4EA6_B992_F93E466D374A_.wvu.Rows" localSheetId="16" hidden="1">Юсь!$20:$24,Юсь!$40:$40,Юсь!$44:$49,Юсь!$58:$58,Юсь!$60:$61,Юсь!$68:$69,Юсь!$79:$80,Юсь!$83:$88,Юсь!$91:$98</definedName>
    <definedName name="Z_3DCB9AAA_F09C_4EA6_B992_F93E466D374A_.wvu.Rows" localSheetId="17" hidden="1">Яра!$19:$24,Яра!$46:$50,Яра!$58:$58,Яра!$60:$61,Яра!$68:$69,Яра!$79:$79,Яра!$82:$88,Яра!$91:$98</definedName>
    <definedName name="Z_3DCB9AAA_F09C_4EA6_B992_F93E466D374A_.wvu.Rows" localSheetId="18" hidden="1">Яро!$19:$24,Яро!$29:$30,Яро!$32:$32,Яро!$43:$43,Яро!$54:$54,Яро!$56:$57,Яро!$64:$65,Яро!$75:$76,Яро!$80:$85,Яро!$87:$94</definedName>
    <definedName name="Z_42584DC0_1D41_4C93_9B38_C388E7B8DAC4_.wvu.Cols" localSheetId="1" hidden="1">Справка!$AV:$AX,Справка!$BB:$BD,Справка!$BH:$BP,Справка!$BT:$BY,Справка!$CX:$DF</definedName>
    <definedName name="Z_42584DC0_1D41_4C93_9B38_C388E7B8DAC4_.wvu.PrintArea" localSheetId="5" hidden="1">Иль!$A$1:$F$104</definedName>
    <definedName name="Z_42584DC0_1D41_4C93_9B38_C388E7B8DAC4_.wvu.PrintArea" localSheetId="0" hidden="1">Консол!$A$1:$K$50</definedName>
    <definedName name="Z_42584DC0_1D41_4C93_9B38_C388E7B8DAC4_.wvu.PrintArea" localSheetId="7" hidden="1">Мор!$A$1:$F$101</definedName>
    <definedName name="Z_42584DC0_1D41_4C93_9B38_C388E7B8DAC4_.wvu.PrintArea" localSheetId="1" hidden="1">Справка!$A$1:$EY$31</definedName>
    <definedName name="Z_42584DC0_1D41_4C93_9B38_C388E7B8DAC4_.wvu.PrintArea" localSheetId="11" hidden="1">Тор!$A$1:$F$102</definedName>
    <definedName name="Z_42584DC0_1D41_4C93_9B38_C388E7B8DAC4_.wvu.PrintArea" localSheetId="15" hidden="1">Юнг!$A$1:$F$100</definedName>
    <definedName name="Z_42584DC0_1D41_4C93_9B38_C388E7B8DAC4_.wvu.PrintArea" localSheetId="17" hidden="1">Яра!$A$1:$F$102</definedName>
    <definedName name="Z_42584DC0_1D41_4C93_9B38_C388E7B8DAC4_.wvu.Rows" localSheetId="3" hidden="1">Але!$19:$24,Але!$31:$33,Але!$36:$36,Але!$44:$44,Але!$46:$46,Але!$53:$53,Але!$55:$57,Але!$63:$64,Але!$74:$75,Але!$79:$83,Але!$86:$93</definedName>
    <definedName name="Z_42584DC0_1D41_4C93_9B38_C388E7B8DAC4_.wvu.Rows" localSheetId="5" hidden="1">Иль!$19:$24,Иль!$30:$39,Иль!$45:$45,Иль!$47:$50,Иль!$58:$58,Иль!$60:$62,Иль!$68:$69,Иль!$78:$79,Иль!$81:$81,Иль!$86:$90,Иль!$93:$100</definedName>
    <definedName name="Z_42584DC0_1D41_4C93_9B38_C388E7B8DAC4_.wvu.Rows" localSheetId="6" hidden="1">Кад!$19:$24,Кад!$31:$35,Кад!$38:$38,Кад!$44:$44,Кад!$46:$46,Кад!$48:$49,Кад!$56:$56,Кад!$58:$60,Кад!$66:$67,Кад!$77:$78,Кад!$82:$86,Кад!$89:$96</definedName>
    <definedName name="Z_42584DC0_1D41_4C93_9B38_C388E7B8DAC4_.wvu.Rows" localSheetId="0" hidden="1">Консол!$22:$22,Консол!$43:$45</definedName>
    <definedName name="Z_42584DC0_1D41_4C93_9B38_C388E7B8DAC4_.wvu.Rows" localSheetId="7" hidden="1">Мор!$17:$24,Мор!$37:$37,Мор!$44:$44,Мор!$46:$47,Мор!$49:$50,Мор!$57:$57,Мор!$59:$60,Мор!$64:$65,Мор!$67:$68,Мор!$78:$79,Мор!$83:$88,Мор!$91:$97</definedName>
    <definedName name="Z_42584DC0_1D41_4C93_9B38_C388E7B8DAC4_.wvu.Rows" localSheetId="8" hidden="1">Мос!$19:$24,Мос!$29:$35,Мос!$44:$44,Мос!$46:$50,Мос!$58:$58,Мос!$60:$61,Мос!$68:$69,Мос!$79:$80,Мос!$82:$82,Мос!$85:$92,Мос!$95:$102</definedName>
    <definedName name="Z_42584DC0_1D41_4C93_9B38_C388E7B8DAC4_.wvu.Rows" localSheetId="9" hidden="1">Ори!$19:$24,Ори!$31:$35,Ори!$38:$38,Ори!$44:$44,Ори!$46:$46,Ори!$48:$50,Ори!$57:$57,Ори!$59:$61,Ори!$67:$68,Ори!$78:$79,Ори!$81:$81,Ори!$84:$88,Ори!$91:$98</definedName>
    <definedName name="Z_42584DC0_1D41_4C93_9B38_C388E7B8DAC4_.wvu.Rows" localSheetId="2" hidden="1">район!$17:$18,район!$20:$20,район!$25:$25,район!$27:$31,район!$35:$35,район!$38:$38,район!$46:$46,район!$50:$51,район!$62:$62,район!$67:$67,район!$69:$71,район!$75:$75,район!$82:$82,район!$93:$93,район!$99:$99,район!$102:$102,район!$105:$105,район!$113:$113,район!$133:$135,район!$138:$139</definedName>
    <definedName name="Z_42584DC0_1D41_4C93_9B38_C388E7B8DAC4_.wvu.Rows" localSheetId="1" hidden="1">Справка!$33:$33</definedName>
    <definedName name="Z_42584DC0_1D41_4C93_9B38_C388E7B8DAC4_.wvu.Rows" localSheetId="4" hidden="1">Сун!$19:$24,Сун!$34:$39,Сун!$49:$51,Сун!$58:$58,Сун!$60:$63,Сун!$68:$69,Сун!$79:$80,Сун!$82:$82,Сун!$85:$85,Сун!$87:$89,Сун!$93:$100</definedName>
    <definedName name="Z_42584DC0_1D41_4C93_9B38_C388E7B8DAC4_.wvu.Rows" localSheetId="10" hidden="1">Сят!$19:$24,Сят!$31:$35,Сят!$45:$48,Сят!$57:$57,Сят!$59:$60,Сят!$67:$68,Сят!$78:$79,Сят!$83:$87,Сят!$90:$97</definedName>
    <definedName name="Z_42584DC0_1D41_4C93_9B38_C388E7B8DAC4_.wvu.Rows" localSheetId="11" hidden="1">Тор!$19:$24,Тор!$32:$36,Тор!$46:$47,Тор!$50:$50,Тор!$57:$57,Тор!$59:$60,Тор!$67:$68,Тор!$75:$75,Тор!$79:$80,Тор!$84:$96</definedName>
    <definedName name="Z_42584DC0_1D41_4C93_9B38_C388E7B8DAC4_.wvu.Rows" localSheetId="12" hidden="1">Хор!$19:$24,Хор!$28:$36,Хор!$40:$40,Хор!$44:$44,Хор!$46:$48,Хор!$55:$55,Хор!$57:$59,Хор!$65:$66,Хор!$72:$72,Хор!$76:$77,Хор!$81:$85,Хор!$88:$95</definedName>
    <definedName name="Z_42584DC0_1D41_4C93_9B38_C388E7B8DAC4_.wvu.Rows" localSheetId="13" hidden="1">Чум!$19:$24,Чум!$31:$36,Чум!$47:$49,Чум!$57:$57,Чум!$59:$61,Чум!$67:$68,Чум!$78:$79,Чум!$83:$87,Чум!$90:$97</definedName>
    <definedName name="Z_42584DC0_1D41_4C93_9B38_C388E7B8DAC4_.wvu.Rows" localSheetId="14" hidden="1">Шать!$19:$24,Шать!$32:$33,Шать!$35:$35,Шать!$38:$38,Шать!$46:$49,Шать!$57:$57,Шать!$59:$61,Шать!$67:$68,Шать!$78:$79,Шать!$83:$87,Шать!$90:$97</definedName>
    <definedName name="Z_42584DC0_1D41_4C93_9B38_C388E7B8DAC4_.wvu.Rows" localSheetId="15" hidden="1">Юнг!$19:$24,Юнг!$31:$38,Юнг!$45:$46,Юнг!$49:$49,Юнг!$56:$56,Юнг!$58:$60,Юнг!$66:$68,Юнг!$77:$78,Юнг!$82:$86,Юнг!$89:$96</definedName>
    <definedName name="Z_42584DC0_1D41_4C93_9B38_C388E7B8DAC4_.wvu.Rows" localSheetId="16" hidden="1">Юсь!$19:$24,Юсь!$31:$33,Юсь!$36:$36,Юсь!$40:$40,Юсь!$44:$49,Юсь!$58:$58,Юсь!$60:$62,Юсь!$68:$69,Юсь!$79:$80,Юсь!$84:$88,Юсь!$91:$98</definedName>
    <definedName name="Z_42584DC0_1D41_4C93_9B38_C388E7B8DAC4_.wvu.Rows" localSheetId="17" hidden="1">Яра!$19:$24,Яра!$32:$36,Яра!$46:$50,Яра!$58:$58,Яра!$60:$62,Яра!$68:$69,Яра!$79:$80,Яра!$84:$88,Яра!$91:$98</definedName>
    <definedName name="Z_42584DC0_1D41_4C93_9B38_C388E7B8DAC4_.wvu.Rows" localSheetId="18" hidden="1">Яро!$19:$24,Яро!$28:$36,Яро!$43:$44,Яро!$46:$47,Яро!$54:$54,Яро!$56:$58,Яро!$64:$65,Яро!$75:$76,Яро!$80:$84,Яро!$87:$94</definedName>
    <definedName name="Z_5BFCA170_DEAE_4D2C_98A0_1E68B427AC01_.wvu.Cols" localSheetId="1" hidden="1">Справка!$AV:$AX,Справка!$BB:$BD,Справка!$BH:$BM,Справка!$BT:$BY,Справка!$CX:$DF</definedName>
    <definedName name="Z_5BFCA170_DEAE_4D2C_98A0_1E68B427AC01_.wvu.PrintArea" localSheetId="5" hidden="1">Иль!$A$1:$F$104</definedName>
    <definedName name="Z_5BFCA170_DEAE_4D2C_98A0_1E68B427AC01_.wvu.PrintArea" localSheetId="0" hidden="1">Консол!$A$1:$K$50</definedName>
    <definedName name="Z_5BFCA170_DEAE_4D2C_98A0_1E68B427AC01_.wvu.PrintArea" localSheetId="7" hidden="1">Мор!$A$1:$F$101</definedName>
    <definedName name="Z_5BFCA170_DEAE_4D2C_98A0_1E68B427AC01_.wvu.PrintArea" localSheetId="1" hidden="1">Справка!$A$1:$EY$31</definedName>
    <definedName name="Z_5BFCA170_DEAE_4D2C_98A0_1E68B427AC01_.wvu.PrintArea" localSheetId="11" hidden="1">Тор!$A$1:$F$102</definedName>
    <definedName name="Z_5BFCA170_DEAE_4D2C_98A0_1E68B427AC01_.wvu.PrintArea" localSheetId="15" hidden="1">Юнг!$A$1:$F$100</definedName>
    <definedName name="Z_5BFCA170_DEAE_4D2C_98A0_1E68B427AC01_.wvu.PrintArea" localSheetId="17" hidden="1">Яра!$A$1:$F$102</definedName>
    <definedName name="Z_5BFCA170_DEAE_4D2C_98A0_1E68B427AC01_.wvu.Rows" localSheetId="3" hidden="1">Але!$19:$24,Але!$44:$44,Але!$46:$46,Але!$53:$53,Але!$55:$56,Але!$63:$64,Але!$74:$75,Але!$79:$83,Але!$87:$89</definedName>
    <definedName name="Z_5BFCA170_DEAE_4D2C_98A0_1E68B427AC01_.wvu.Rows" localSheetId="5" hidden="1">Иль!$19:$24,Иль!$30:$31,Иль!$33:$33,Иль!$45:$45,Иль!$50:$50,Иль!$60:$61,Иль!$68:$69,Иль!$78:$79,Иль!$81:$81,Иль!$93:$97</definedName>
    <definedName name="Z_5BFCA170_DEAE_4D2C_98A0_1E68B427AC01_.wvu.Rows" localSheetId="6" hidden="1">Кад!$19:$24,Кад!$44:$44,Кад!$56:$56,Кад!$58:$59,Кад!$66:$67,Кад!$83:$85,Кад!$89:$96</definedName>
    <definedName name="Z_5BFCA170_DEAE_4D2C_98A0_1E68B427AC01_.wvu.Rows" localSheetId="0" hidden="1">Консол!$22:$22,Консол!$43:$45,Консол!$82:$84</definedName>
    <definedName name="Z_5BFCA170_DEAE_4D2C_98A0_1E68B427AC01_.wvu.Rows" localSheetId="19" hidden="1">Лист1!$82:$84</definedName>
    <definedName name="Z_5BFCA170_DEAE_4D2C_98A0_1E68B427AC01_.wvu.Rows" localSheetId="7" hidden="1">Мор!$21:$21,Мор!$23:$23,Мор!$37:$37,Мор!$44:$44,Мор!$47:$47,Мор!$49:$50,Мор!$57:$57,Мор!$59:$60,Мор!$67:$68,Мор!$83:$88,Мор!$91:$97</definedName>
    <definedName name="Z_5BFCA170_DEAE_4D2C_98A0_1E68B427AC01_.wvu.Rows" localSheetId="8" hidden="1">Мос!$19:$24,Мос!$44:$44,Мос!$58:$58,Мос!$60:$61,Мос!$68:$69,Мос!$82:$82,Мос!$84:$90,Мос!$95:$100</definedName>
    <definedName name="Z_5BFCA170_DEAE_4D2C_98A0_1E68B427AC01_.wvu.Rows" localSheetId="9" hidden="1">Ори!$19:$24,Ори!$32:$32,Ори!$44:$44,Ори!$48:$50,Ори!$57:$57,Ори!$59:$60,Ори!$67:$68,Ори!$78:$79,Ори!$81:$81,Ори!$83:$87,Ори!$91:$98</definedName>
    <definedName name="Z_5BFCA170_DEAE_4D2C_98A0_1E68B427AC01_.wvu.Rows" localSheetId="2" hidden="1">район!$17:$18,район!$20:$20,район!$28:$30,район!$50:$51,район!$75:$75,район!$82:$82,район!$99:$99,район!$105:$105,район!$133:$135</definedName>
    <definedName name="Z_5BFCA170_DEAE_4D2C_98A0_1E68B427AC01_.wvu.Rows" localSheetId="1" hidden="1">Справка!$33:$34</definedName>
    <definedName name="Z_5BFCA170_DEAE_4D2C_98A0_1E68B427AC01_.wvu.Rows" localSheetId="4" hidden="1">Сун!$19:$24,Сун!$49:$51,Сун!$58:$58,Сун!$60:$61,Сун!$68:$69,Сун!$79:$80,Сун!$82:$82,Сун!$88:$89,Сун!$93:$97</definedName>
    <definedName name="Z_5BFCA170_DEAE_4D2C_98A0_1E68B427AC01_.wvu.Rows" localSheetId="10" hidden="1">Сят!$19:$19,Сят!$45:$47,Сят!$57:$57,Сят!$59:$60,Сят!$67:$68,Сят!$83:$86,Сят!$90:$97</definedName>
    <definedName name="Z_5BFCA170_DEAE_4D2C_98A0_1E68B427AC01_.wvu.Rows" localSheetId="11" hidden="1">Тор!$19:$19,Тор!$50:$50,Тор!$57:$57,Тор!$59:$60,Тор!$67:$68,Тор!$75:$75,Тор!$79:$80,Тор!$83:$94</definedName>
    <definedName name="Z_5BFCA170_DEAE_4D2C_98A0_1E68B427AC01_.wvu.Rows" localSheetId="12" hidden="1">Хор!$19:$24,Хор!$32:$32,Хор!$40:$40,Хор!$44:$44,Хор!$55:$55,Хор!$57:$58,Хор!$65:$66,Хор!$81:$85,Хор!$88:$95</definedName>
    <definedName name="Z_5BFCA170_DEAE_4D2C_98A0_1E68B427AC01_.wvu.Rows" localSheetId="13" hidden="1">Чум!$19:$19,Чум!$21:$21,Чум!$23:$24,Чум!$47:$49,Чум!$57:$57,Чум!$59:$60,Чум!$67:$68,Чум!$83:$87,Чум!$90:$97</definedName>
    <definedName name="Z_5BFCA170_DEAE_4D2C_98A0_1E68B427AC01_.wvu.Rows" localSheetId="14" hidden="1">Шать!$19:$24,Шать!$47:$49,Шать!$57:$57,Шать!$59:$60,Шать!$67:$68,Шать!$78:$79,Шать!$83:$87,Шать!$90:$97</definedName>
    <definedName name="Z_5BFCA170_DEAE_4D2C_98A0_1E68B427AC01_.wvu.Rows" localSheetId="15" hidden="1">Юнг!$19:$24,Юнг!$32:$32,Юнг!$49:$49,Юнг!$56:$56,Юнг!$58:$59,Юнг!$66:$67,Юнг!$82:$86,Юнг!$89:$96</definedName>
    <definedName name="Z_5BFCA170_DEAE_4D2C_98A0_1E68B427AC01_.wvu.Rows" localSheetId="16" hidden="1">Юсь!$20:$24,Юсь!$40:$40,Юсь!$44:$49,Юсь!$58:$58,Юсь!$60:$61,Юсь!$68:$69,Юсь!$79:$80,Юсь!$83:$88,Юсь!$91:$98</definedName>
    <definedName name="Z_5BFCA170_DEAE_4D2C_98A0_1E68B427AC01_.wvu.Rows" localSheetId="17" hidden="1">Яра!$19:$24,Яра!$46:$50,Яра!$58:$58,Яра!$60:$61,Яра!$68:$69,Яра!$79:$79,Яра!$82:$88,Яра!$91:$98</definedName>
    <definedName name="Z_5BFCA170_DEAE_4D2C_98A0_1E68B427AC01_.wvu.Rows" localSheetId="18" hidden="1">Яро!$19:$24,Яро!$29:$30,Яро!$32:$32,Яро!$43:$43,Яро!$54:$54,Яро!$56:$57,Яро!$64:$65,Яро!$75:$76,Яро!$80:$85,Яро!$87:$94</definedName>
    <definedName name="Z_61528DAC_5C4C_48F4_ADE2_8A724B05A086_.wvu.Cols" localSheetId="1" hidden="1">Справка!$AV:$AX,Справка!$BB:$BD,Справка!$BH:$BP,Справка!$BT:$BY,Справка!$CX:$DF</definedName>
    <definedName name="Z_61528DAC_5C4C_48F4_ADE2_8A724B05A086_.wvu.PrintArea" localSheetId="3" hidden="1">Але!$A$1:$F$97</definedName>
    <definedName name="Z_61528DAC_5C4C_48F4_ADE2_8A724B05A086_.wvu.PrintArea" localSheetId="5" hidden="1">Иль!$A$1:$F$104</definedName>
    <definedName name="Z_61528DAC_5C4C_48F4_ADE2_8A724B05A086_.wvu.PrintArea" localSheetId="0" hidden="1">Консол!$A$1:$K$50</definedName>
    <definedName name="Z_61528DAC_5C4C_48F4_ADE2_8A724B05A086_.wvu.PrintArea" localSheetId="7" hidden="1">Мор!$A$1:$F$101</definedName>
    <definedName name="Z_61528DAC_5C4C_48F4_ADE2_8A724B05A086_.wvu.PrintArea" localSheetId="1" hidden="1">Справка!$A$1:$EY$31</definedName>
    <definedName name="Z_61528DAC_5C4C_48F4_ADE2_8A724B05A086_.wvu.PrintArea" localSheetId="4" hidden="1">Сун!$A$1:$F$104</definedName>
    <definedName name="Z_61528DAC_5C4C_48F4_ADE2_8A724B05A086_.wvu.PrintArea" localSheetId="11" hidden="1">Тор!$A$1:$F$102</definedName>
    <definedName name="Z_61528DAC_5C4C_48F4_ADE2_8A724B05A086_.wvu.PrintArea" localSheetId="15" hidden="1">Юнг!$A$1:$F$100</definedName>
    <definedName name="Z_61528DAC_5C4C_48F4_ADE2_8A724B05A086_.wvu.PrintArea" localSheetId="17" hidden="1">Яра!$A$1:$F$102</definedName>
    <definedName name="Z_61528DAC_5C4C_48F4_ADE2_8A724B05A086_.wvu.Rows" localSheetId="3" hidden="1">Але!$19:$24,Але!$28:$28,Але!$36:$36,Але!$46:$46,Але!$55:$57,Але!$74:$75,Але!$79:$82,Але!$86:$93,Але!$142:$142</definedName>
    <definedName name="Z_61528DAC_5C4C_48F4_ADE2_8A724B05A086_.wvu.Rows" localSheetId="5" hidden="1">Иль!$19:$24,Иль!$34:$39,Иль!$58:$58,Иль!$60:$62,Иль!$68:$69,Иль!$78:$79,Иль!$81:$81,Иль!$86:$90,Иль!$93:$100,Иль!$143:$143</definedName>
    <definedName name="Z_61528DAC_5C4C_48F4_ADE2_8A724B05A086_.wvu.Rows" localSheetId="6" hidden="1">Кад!$19:$24,Кад!$31:$35,Кад!$38:$38,Кад!$42:$42,Кад!$44:$44,Кад!$46:$46,Кад!$48:$49,Кад!$56:$56,Кад!$58:$60,Кад!$66:$67,Кад!$77:$78,Кад!$82:$86,Кад!$89:$96,Кад!$142:$142</definedName>
    <definedName name="Z_61528DAC_5C4C_48F4_ADE2_8A724B05A086_.wvu.Rows" localSheetId="0" hidden="1">Консол!$22:$22,Консол!$43:$45</definedName>
    <definedName name="Z_61528DAC_5C4C_48F4_ADE2_8A724B05A086_.wvu.Rows" localSheetId="19" hidden="1">Лист1!$82:$84</definedName>
    <definedName name="Z_61528DAC_5C4C_48F4_ADE2_8A724B05A086_.wvu.Rows" localSheetId="7" hidden="1">Мор!$17:$24,Мор!$27:$27,Мор!$31:$33,Мор!$44:$44,Мор!$46:$47,Мор!$49:$50,Мор!$57:$57,Мор!$59:$60,Мор!$64:$65,Мор!$67:$68,Мор!$78:$79,Мор!$83:$88,Мор!$91:$97,Мор!$142:$142</definedName>
    <definedName name="Z_61528DAC_5C4C_48F4_ADE2_8A724B05A086_.wvu.Rows" localSheetId="8" hidden="1">Мос!$19:$24,Мос!$29:$33,Мос!$44:$44,Мос!$50:$50,Мос!$58:$58,Мос!$60:$61,Мос!$68:$69,Мос!$79:$80,Мос!$82:$82,Мос!$85:$92,Мос!$95:$102,Мос!$143:$143</definedName>
    <definedName name="Z_61528DAC_5C4C_48F4_ADE2_8A724B05A086_.wvu.Rows" localSheetId="9" hidden="1">Ори!$19:$24,Ори!$31:$35,Ори!$44:$44,Ори!$46:$46,Ори!$48:$50,Ори!$57:$57,Ори!$59:$60,Ори!$67:$68,Ори!$78:$79,Ори!$81:$81,Ори!$84:$88,Ори!$91:$98,Ори!$142:$142</definedName>
    <definedName name="Z_61528DAC_5C4C_48F4_ADE2_8A724B05A086_.wvu.Rows" localSheetId="2" hidden="1">район!$17:$18,район!$20:$20,район!$27:$31,район!$35:$35,район!$38:$38,район!$50:$51,район!$62:$62,район!$75:$75,район!$82:$82,район!$99:$99,район!$105:$105,район!$133:$135,район!$138:$139</definedName>
    <definedName name="Z_61528DAC_5C4C_48F4_ADE2_8A724B05A086_.wvu.Rows" localSheetId="1" hidden="1">Справка!$33:$33</definedName>
    <definedName name="Z_61528DAC_5C4C_48F4_ADE2_8A724B05A086_.wvu.Rows" localSheetId="4" hidden="1">Сун!$19:$24,Сун!$34:$36,Сун!$45:$45,Сун!$47:$47,Сун!$49:$51,Сун!$58:$58,Сун!$60:$62,Сун!$68:$69,Сун!$79:$80,Сун!$82:$82,Сун!$85:$85,Сун!$87:$89,Сун!$93:$100,Сун!$142:$142</definedName>
    <definedName name="Z_61528DAC_5C4C_48F4_ADE2_8A724B05A086_.wvu.Rows" localSheetId="10" hidden="1">Сят!$19:$24,Сят!$31:$33,Сят!$38:$38,Сят!$45:$48,Сят!$57:$57,Сят!$59:$60,Сят!$67:$68,Сят!$78:$79,Сят!$83:$87,Сят!$90:$97,Сят!$143:$143</definedName>
    <definedName name="Z_61528DAC_5C4C_48F4_ADE2_8A724B05A086_.wvu.Rows" localSheetId="11" hidden="1">Тор!$19:$24,Тор!$32:$36,Тор!$39:$39,Тор!$50:$50,Тор!$57:$57,Тор!$59:$60,Тор!$67:$68,Тор!$75:$75,Тор!$79:$80,Тор!$86:$87,Тор!$90:$96,Тор!$143:$143</definedName>
    <definedName name="Z_61528DAC_5C4C_48F4_ADE2_8A724B05A086_.wvu.Rows" localSheetId="12" hidden="1">Хор!$19:$24,Хор!$28:$36,Хор!$40:$40,Хор!$44:$44,Хор!$46:$48,Хор!$55:$55,Хор!$57:$59,Хор!$65:$66,Хор!$76:$77,Хор!$81:$85,Хор!$88:$95,Хор!$142:$142</definedName>
    <definedName name="Z_61528DAC_5C4C_48F4_ADE2_8A724B05A086_.wvu.Rows" localSheetId="13" hidden="1">Чум!$19:$24,Чум!$31:$36,Чум!$46:$49,Чум!$57:$57,Чум!$59:$61,Чум!$67:$68,Чум!$78:$79,Чум!$83:$87,Чум!$90:$97,Чум!$142:$142</definedName>
    <definedName name="Z_61528DAC_5C4C_48F4_ADE2_8A724B05A086_.wvu.Rows" localSheetId="14" hidden="1">Шать!$19:$25,Шать!$31:$33,Шать!$46:$49,Шать!$57:$57,Шать!$59:$60,Шать!$67:$68,Шать!$78:$79,Шать!$84:$86,Шать!$90:$97,Шать!$142:$142</definedName>
    <definedName name="Z_61528DAC_5C4C_48F4_ADE2_8A724B05A086_.wvu.Rows" localSheetId="15" hidden="1">Юнг!$19:$24,Юнг!$38:$38,Юнг!$46:$46,Юнг!$56:$56,Юнг!$58:$60,Юнг!$66:$67,Юнг!$77:$78,Юнг!$82:$86,Юнг!$89:$96,Юнг!$142:$142</definedName>
    <definedName name="Z_61528DAC_5C4C_48F4_ADE2_8A724B05A086_.wvu.Rows" localSheetId="16" hidden="1">Юсь!$19:$24,Юсь!$31:$33,Юсь!$36:$36,Юсь!$44:$50,Юсь!$58:$58,Юсь!$60:$61,Юсь!$68:$69,Юсь!$79:$80,Юсь!$84:$88,Юсь!$91:$98,Юсь!$142:$142</definedName>
    <definedName name="Z_61528DAC_5C4C_48F4_ADE2_8A724B05A086_.wvu.Rows" localSheetId="17" hidden="1">Яра!$19:$24,Яра!$46:$50,Яра!$58:$58,Яра!$60:$62,Яра!$68:$69,Яра!$79:$80,Яра!$84:$88,Яра!$91:$98,Яра!$143:$143</definedName>
    <definedName name="Z_61528DAC_5C4C_48F4_ADE2_8A724B05A086_.wvu.Rows" localSheetId="18" hidden="1">Яро!$19:$24,Яро!$28:$28,Яро!$43:$43,Яро!$54:$54,Яро!$56:$58,Яро!$64:$65,Яро!$75:$75,Яро!$82:$84,Яро!$87:$90,Яро!$92:$94</definedName>
    <definedName name="Z_A54C432C_6C68_4B53_A75C_446EB3A61B2B_.wvu.Cols" localSheetId="1" hidden="1">Справка!$AV:$AX,Справка!$BB:$BD,Справка!$BH:$BP,Справка!$BT:$BY,Справка!$CX:$DF</definedName>
    <definedName name="Z_A54C432C_6C68_4B53_A75C_446EB3A61B2B_.wvu.PrintArea" localSheetId="5" hidden="1">Иль!$A$1:$F$104</definedName>
    <definedName name="Z_A54C432C_6C68_4B53_A75C_446EB3A61B2B_.wvu.PrintArea" localSheetId="0" hidden="1">Консол!$A$1:$K$50</definedName>
    <definedName name="Z_A54C432C_6C68_4B53_A75C_446EB3A61B2B_.wvu.PrintArea" localSheetId="7" hidden="1">Мор!$A$1:$F$101</definedName>
    <definedName name="Z_A54C432C_6C68_4B53_A75C_446EB3A61B2B_.wvu.PrintArea" localSheetId="1" hidden="1">Справка!$A$1:$EY$31</definedName>
    <definedName name="Z_A54C432C_6C68_4B53_A75C_446EB3A61B2B_.wvu.PrintArea" localSheetId="11" hidden="1">Тор!$A$1:$F$102</definedName>
    <definedName name="Z_A54C432C_6C68_4B53_A75C_446EB3A61B2B_.wvu.PrintArea" localSheetId="15" hidden="1">Юнг!$A$1:$F$100</definedName>
    <definedName name="Z_A54C432C_6C68_4B53_A75C_446EB3A61B2B_.wvu.PrintArea" localSheetId="17" hidden="1">Яра!$A$1:$F$102</definedName>
    <definedName name="Z_A54C432C_6C68_4B53_A75C_446EB3A61B2B_.wvu.Rows" localSheetId="3" hidden="1">Але!$19:$24,Але!$28:$33,Але!$36:$36,Але!$46:$46,Але!$53:$53,Але!$55:$57,Але!$63:$64,Але!$74:$75,Але!$79:$83,Але!$86:$93,Але!$142:$142</definedName>
    <definedName name="Z_A54C432C_6C68_4B53_A75C_446EB3A61B2B_.wvu.Rows" localSheetId="5" hidden="1">Иль!$19:$24,Иль!$30:$39,Иль!$45:$45,Иль!$47:$50,Иль!$58:$58,Иль!$60:$62,Иль!$68:$69,Иль!$78:$79,Иль!$81:$81,Иль!$86:$90,Иль!$93:$100,Иль!$143:$143</definedName>
    <definedName name="Z_A54C432C_6C68_4B53_A75C_446EB3A61B2B_.wvu.Rows" localSheetId="6" hidden="1">Кад!$19:$24,Кад!$31:$35,Кад!$38:$38,Кад!$42:$42,Кад!$44:$44,Кад!$46:$46,Кад!$48:$49,Кад!$56:$56,Кад!$58:$60,Кад!$66:$67,Кад!$77:$78,Кад!$82:$86,Кад!$89:$96,Кад!$142:$142</definedName>
    <definedName name="Z_A54C432C_6C68_4B53_A75C_446EB3A61B2B_.wvu.Rows" localSheetId="0" hidden="1">Консол!$22:$22,Консол!$43:$45</definedName>
    <definedName name="Z_A54C432C_6C68_4B53_A75C_446EB3A61B2B_.wvu.Rows" localSheetId="19" hidden="1">Лист1!$82:$84</definedName>
    <definedName name="Z_A54C432C_6C68_4B53_A75C_446EB3A61B2B_.wvu.Rows" localSheetId="7" hidden="1">Мор!$17:$24,Мор!$27:$27,Мор!$31:$35,Мор!$37:$37,Мор!$44:$44,Мор!$46:$47,Мор!$49:$50,Мор!$57:$57,Мор!$59:$60,Мор!$64:$65,Мор!$67:$68,Мор!$78:$79,Мор!$83:$88,Мор!$91:$97,Мор!$142:$142</definedName>
    <definedName name="Z_A54C432C_6C68_4B53_A75C_446EB3A61B2B_.wvu.Rows" localSheetId="8" hidden="1">Мос!$19:$24,Мос!$29:$35,Мос!$44:$44,Мос!$46:$50,Мос!$58:$58,Мос!$60:$61,Мос!$68:$69,Мос!$79:$80,Мос!$82:$82,Мос!$85:$92,Мос!$95:$102,Мос!$143:$143</definedName>
    <definedName name="Z_A54C432C_6C68_4B53_A75C_446EB3A61B2B_.wvu.Rows" localSheetId="9" hidden="1">Ори!$19:$24,Ори!$31:$35,Ори!$44:$44,Ори!$46:$46,Ори!$48:$50,Ори!$57:$57,Ори!$59:$60,Ори!$67:$68,Ори!$78:$79,Ори!$81:$81,Ори!$84:$88,Ори!$91:$98,Ори!$142:$142</definedName>
    <definedName name="Z_A54C432C_6C68_4B53_A75C_446EB3A61B2B_.wvu.Rows" localSheetId="2" hidden="1">район!$17:$18,район!$20:$20,район!$25:$25,район!$27:$31,район!$35:$35,район!$38:$38,район!$50:$51,район!$62:$62,район!$75:$75,район!$82:$82,район!$99:$99,район!$105:$105,район!$133:$135,район!$138:$139</definedName>
    <definedName name="Z_A54C432C_6C68_4B53_A75C_446EB3A61B2B_.wvu.Rows" localSheetId="1" hidden="1">Справка!$33:$33</definedName>
    <definedName name="Z_A54C432C_6C68_4B53_A75C_446EB3A61B2B_.wvu.Rows" localSheetId="4" hidden="1">Сун!$19:$24,Сун!$34:$39,Сун!$43:$43,Сун!$45:$45,Сун!$47:$47,Сун!$49:$51,Сун!$58:$58,Сун!$60:$62,Сун!$68:$69,Сун!$79:$80,Сун!$82:$82,Сун!$85:$85,Сун!$87:$89,Сун!$93:$100,Сун!$142:$142</definedName>
    <definedName name="Z_A54C432C_6C68_4B53_A75C_446EB3A61B2B_.wvu.Rows" localSheetId="10" hidden="1">Сят!$19:$24,Сят!$31:$35,Сят!$38:$38,Сят!$45:$48,Сят!$57:$57,Сят!$59:$60,Сят!$67:$68,Сят!$78:$79,Сят!$83:$87,Сят!$90:$97,Сят!$143:$143</definedName>
    <definedName name="Z_A54C432C_6C68_4B53_A75C_446EB3A61B2B_.wvu.Rows" localSheetId="11" hidden="1">Тор!$19:$24,Тор!$32:$36,Тор!$39:$39,Тор!$46:$47,Тор!$50:$50,Тор!$57:$57,Тор!$59:$60,Тор!$67:$68,Тор!$75:$75,Тор!$79:$80,Тор!$84:$96,Тор!$143:$143</definedName>
    <definedName name="Z_A54C432C_6C68_4B53_A75C_446EB3A61B2B_.wvu.Rows" localSheetId="12" hidden="1">Хор!$19:$24,Хор!$28:$33,Хор!$40:$40,Хор!$44:$44,Хор!$46:$48,Хор!$55:$55,Хор!$57:$59,Хор!$65:$66,Хор!$72:$72,Хор!$76:$77,Хор!$81:$85,Хор!$88:$95,Хор!$142:$142</definedName>
    <definedName name="Z_A54C432C_6C68_4B53_A75C_446EB3A61B2B_.wvu.Rows" localSheetId="13" hidden="1">Чум!$19:$24,Чум!$31:$36,Чум!$46:$49,Чум!$57:$57,Чум!$59:$61,Чум!$67:$68,Чум!$78:$79,Чум!$83:$87,Чум!$90:$97,Чум!$142:$142</definedName>
    <definedName name="Z_A54C432C_6C68_4B53_A75C_446EB3A61B2B_.wvu.Rows" localSheetId="14" hidden="1">Шать!$19:$25,Шать!$31:$33,Шать!$46:$49,Шать!$57:$57,Шать!$59:$60,Шать!$67:$68,Шать!$78:$79,Шать!$84:$86,Шать!$90:$97,Шать!$142:$142</definedName>
    <definedName name="Z_A54C432C_6C68_4B53_A75C_446EB3A61B2B_.wvu.Rows" localSheetId="15" hidden="1">Юнг!$19:$24,Юнг!$33:$33,Юнг!$38:$38,Юнг!$46:$47,Юнг!$56:$56,Юнг!$58:$60,Юнг!$66:$68,Юнг!$77:$78,Юнг!$82:$86,Юнг!$89:$96,Юнг!$142:$142</definedName>
    <definedName name="Z_A54C432C_6C68_4B53_A75C_446EB3A61B2B_.wvu.Rows" localSheetId="16" hidden="1">Юсь!$19:$24,Юсь!$31:$33,Юсь!$36:$36,Юсь!$40:$40,Юсь!$44:$50,Юсь!$58:$58,Юсь!$60:$61,Юсь!$68:$69,Юсь!$79:$80,Юсь!$84:$88,Юсь!$91:$98,Юсь!$142:$142</definedName>
    <definedName name="Z_A54C432C_6C68_4B53_A75C_446EB3A61B2B_.wvu.Rows" localSheetId="17" hidden="1">Яра!$19:$24,Яра!$32:$34,Яра!$46:$50,Яра!$58:$58,Яра!$60:$62,Яра!$68:$69,Яра!$79:$80,Яра!$84:$88,Яра!$91:$98,Яра!$143:$143</definedName>
    <definedName name="Z_A54C432C_6C68_4B53_A75C_446EB3A61B2B_.wvu.Rows" localSheetId="18" hidden="1">Яро!$19:$24,Яро!$28:$36,Яро!$43:$43,Яро!$46:$46,Яро!$54:$54,Яро!$56:$58,Яро!$64:$65,Яро!$75:$75,Яро!$80:$84,Яро!$87:$94</definedName>
    <definedName name="Z_B30CE22D_C12F_4E12_8BB9_3AAE0A6991CC_.wvu.Cols" localSheetId="1" hidden="1">Справка!$AV:$AX,Справка!$BB:$BD,Справка!$BH:$BP,Справка!$BT:$BY,Справка!$CX:$DF</definedName>
    <definedName name="Z_B30CE22D_C12F_4E12_8BB9_3AAE0A6991CC_.wvu.PrintArea" localSheetId="5" hidden="1">Иль!$A$1:$F$104</definedName>
    <definedName name="Z_B30CE22D_C12F_4E12_8BB9_3AAE0A6991CC_.wvu.PrintArea" localSheetId="0" hidden="1">Консол!$A$1:$K$50</definedName>
    <definedName name="Z_B30CE22D_C12F_4E12_8BB9_3AAE0A6991CC_.wvu.PrintArea" localSheetId="7" hidden="1">Мор!$A$1:$F$101</definedName>
    <definedName name="Z_B30CE22D_C12F_4E12_8BB9_3AAE0A6991CC_.wvu.PrintArea" localSheetId="1" hidden="1">Справка!$A$1:$EY$31</definedName>
    <definedName name="Z_B30CE22D_C12F_4E12_8BB9_3AAE0A6991CC_.wvu.PrintArea" localSheetId="4" hidden="1">Сун!$A$1:$F$104</definedName>
    <definedName name="Z_B30CE22D_C12F_4E12_8BB9_3AAE0A6991CC_.wvu.PrintArea" localSheetId="11" hidden="1">Тор!$A$1:$F$102</definedName>
    <definedName name="Z_B30CE22D_C12F_4E12_8BB9_3AAE0A6991CC_.wvu.PrintArea" localSheetId="12" hidden="1">Хор!$A$1:$F$99</definedName>
    <definedName name="Z_B30CE22D_C12F_4E12_8BB9_3AAE0A6991CC_.wvu.PrintArea" localSheetId="13" hidden="1">Чум!$A$1:$F$101</definedName>
    <definedName name="Z_B30CE22D_C12F_4E12_8BB9_3AAE0A6991CC_.wvu.PrintArea" localSheetId="14" hidden="1">Шать!$A$1:$F$101</definedName>
    <definedName name="Z_B30CE22D_C12F_4E12_8BB9_3AAE0A6991CC_.wvu.PrintArea" localSheetId="15" hidden="1">Юнг!$A$1:$F$100</definedName>
    <definedName name="Z_B30CE22D_C12F_4E12_8BB9_3AAE0A6991CC_.wvu.PrintArea" localSheetId="16" hidden="1">Юсь!$A$1:$F$102</definedName>
    <definedName name="Z_B30CE22D_C12F_4E12_8BB9_3AAE0A6991CC_.wvu.PrintArea" localSheetId="17" hidden="1">Яра!$A$1:$F$102</definedName>
    <definedName name="Z_B30CE22D_C12F_4E12_8BB9_3AAE0A6991CC_.wvu.Rows" localSheetId="3" hidden="1">Але!$19:$24,Але!$28:$28,Але!$36:$36,Але!$46:$46,Але!$53:$53,Але!$55:$57,Але!$63:$64,Але!$74:$75,Але!$79:$83,Але!$86:$93,Але!$142:$142</definedName>
    <definedName name="Z_B30CE22D_C12F_4E12_8BB9_3AAE0A6991CC_.wvu.Rows" localSheetId="5" hidden="1">Иль!$19:$24,Иль!$30:$39,Иль!$58:$58,Иль!$60:$62,Иль!$68:$69,Иль!$78:$79,Иль!$81:$81,Иль!$86:$90,Иль!$93:$100,Иль!$143:$143</definedName>
    <definedName name="Z_B30CE22D_C12F_4E12_8BB9_3AAE0A6991CC_.wvu.Rows" localSheetId="6" hidden="1">Кад!$19:$24,Кад!$31:$35,Кад!$38:$38,Кад!$42:$42,Кад!$44:$44,Кад!$46:$46,Кад!$48:$49,Кад!$56:$56,Кад!$58:$60,Кад!$66:$67,Кад!$77:$78,Кад!$82:$86,Кад!$89:$96,Кад!$142:$142</definedName>
    <definedName name="Z_B30CE22D_C12F_4E12_8BB9_3AAE0A6991CC_.wvu.Rows" localSheetId="0" hidden="1">Консол!$22:$22,Консол!$43:$45</definedName>
    <definedName name="Z_B30CE22D_C12F_4E12_8BB9_3AAE0A6991CC_.wvu.Rows" localSheetId="19" hidden="1">Лист1!$82:$84</definedName>
    <definedName name="Z_B30CE22D_C12F_4E12_8BB9_3AAE0A6991CC_.wvu.Rows" localSheetId="7" hidden="1">Мор!$17:$24,Мор!$27:$27,Мор!$31:$33,Мор!$44:$44,Мор!$46:$47,Мор!$49:$50,Мор!$57:$57,Мор!$59:$60,Мор!$64:$65,Мор!$67:$68,Мор!$78:$79,Мор!$83:$88,Мор!$91:$97,Мор!$142:$142</definedName>
    <definedName name="Z_B30CE22D_C12F_4E12_8BB9_3AAE0A6991CC_.wvu.Rows" localSheetId="8" hidden="1">Мос!$19:$24,Мос!$29:$35,Мос!$44:$44,Мос!$58:$58,Мос!$60:$61,Мос!$68:$69,Мос!$79:$80,Мос!$82:$82,Мос!$85:$92,Мос!$95:$102,Мос!$143:$143</definedName>
    <definedName name="Z_B30CE22D_C12F_4E12_8BB9_3AAE0A6991CC_.wvu.Rows" localSheetId="9" hidden="1">Ори!$19:$24,Ори!$31:$35,Ори!$44:$44,Ори!$46:$46,Ори!$48:$50,Ори!$57:$57,Ори!$59:$60,Ори!$67:$68,Ори!$78:$79,Ори!$81:$81,Ори!$84:$88,Ори!$91:$98,Ори!$142:$142</definedName>
    <definedName name="Z_B30CE22D_C12F_4E12_8BB9_3AAE0A6991CC_.wvu.Rows" localSheetId="2" hidden="1">район!$17:$18,район!$20:$20,район!$27:$31,район!$35:$35,район!$38:$38,район!$50:$51,район!$62:$62,район!$75:$75,район!$82:$82,район!$99:$99,район!$105:$105,район!$133:$135,район!$138:$139</definedName>
    <definedName name="Z_B30CE22D_C12F_4E12_8BB9_3AAE0A6991CC_.wvu.Rows" localSheetId="1" hidden="1">Справка!$33:$33</definedName>
    <definedName name="Z_B30CE22D_C12F_4E12_8BB9_3AAE0A6991CC_.wvu.Rows" localSheetId="4" hidden="1">Сун!$19:$24,Сун!$34:$36,Сун!$45:$45,Сун!$47:$47,Сун!$49:$51,Сун!$58:$58,Сун!$60:$62,Сун!$68:$69,Сун!$79:$80,Сун!$82:$82,Сун!$85:$85,Сун!$87:$89,Сун!$93:$100,Сун!$142:$142</definedName>
    <definedName name="Z_B30CE22D_C12F_4E12_8BB9_3AAE0A6991CC_.wvu.Rows" localSheetId="10" hidden="1">Сят!$19:$24,Сят!$31:$33,Сят!$38:$38,Сят!$45:$48,Сят!$57:$57,Сят!$59:$60,Сят!$67:$68,Сят!$78:$79,Сят!$83:$87,Сят!$90:$97,Сят!$143:$143</definedName>
    <definedName name="Z_B30CE22D_C12F_4E12_8BB9_3AAE0A6991CC_.wvu.Rows" localSheetId="11" hidden="1">Тор!$19:$24,Тор!$32:$36,Тор!$39:$39,Тор!$50:$50,Тор!$57:$57,Тор!$59:$60,Тор!$67:$68,Тор!$75:$75,Тор!$79:$80,Тор!$86:$87,Тор!$90:$96,Тор!$143:$143</definedName>
    <definedName name="Z_B30CE22D_C12F_4E12_8BB9_3AAE0A6991CC_.wvu.Rows" localSheetId="12" hidden="1">Хор!$19:$24,Хор!$28:$36,Хор!$40:$40,Хор!$46:$48,Хор!$55:$55,Хор!$57:$59,Хор!$65:$66,Хор!$76:$77,Хор!$81:$85,Хор!$88:$95,Хор!$142:$142</definedName>
    <definedName name="Z_B30CE22D_C12F_4E12_8BB9_3AAE0A6991CC_.wvu.Rows" localSheetId="13" hidden="1">Чум!$19:$24,Чум!$31:$36,Чум!$46:$49,Чум!$57:$57,Чум!$59:$61,Чум!$67:$68,Чум!$78:$79,Чум!$83:$87,Чум!$90:$97,Чум!$142:$142</definedName>
    <definedName name="Z_B30CE22D_C12F_4E12_8BB9_3AAE0A6991CC_.wvu.Rows" localSheetId="14" hidden="1">Шать!$19:$25,Шать!$31:$33,Шать!$46:$49,Шать!$57:$57,Шать!$59:$60,Шать!$67:$68,Шать!$78:$79,Шать!$84:$86,Шать!$90:$97,Шать!$142:$142</definedName>
    <definedName name="Z_B30CE22D_C12F_4E12_8BB9_3AAE0A6991CC_.wvu.Rows" localSheetId="15" hidden="1">Юнг!$19:$24,Юнг!$38:$38,Юнг!$45:$49,Юнг!$56:$56,Юнг!$58:$60,Юнг!$66:$67,Юнг!$77:$78,Юнг!$82:$86,Юнг!$89:$96,Юнг!$142:$142</definedName>
    <definedName name="Z_B30CE22D_C12F_4E12_8BB9_3AAE0A6991CC_.wvu.Rows" localSheetId="16" hidden="1">Юсь!$19:$24,Юсь!$31:$33,Юсь!$36:$36,Юсь!$44:$50,Юсь!$58:$58,Юсь!$60:$61,Юсь!$68:$69,Юсь!$79:$80,Юсь!$84:$88,Юсь!$91:$98,Юсь!$142:$142</definedName>
    <definedName name="Z_B30CE22D_C12F_4E12_8BB9_3AAE0A6991CC_.wvu.Rows" localSheetId="17" hidden="1">Яра!$19:$24,Яра!$46:$46,Яра!$48:$51,Яра!$58:$58,Яра!$60:$62,Яра!$68:$69,Яра!$79:$80,Яра!$84:$88,Яра!$91:$98,Яра!$143:$143</definedName>
    <definedName name="Z_B30CE22D_C12F_4E12_8BB9_3AAE0A6991CC_.wvu.Rows" localSheetId="18" hidden="1">Яро!$19:$24,Яро!$28:$28,Яро!$34:$36,Яро!$43:$43,Яро!$46:$47,Яро!$54:$54,Яро!$56:$58,Яро!$64:$65,Яро!$75:$75,Яро!$80:$84,Яро!$87:$90,Яро!$92:$94</definedName>
    <definedName name="Z_B31C8DB7_3E78_4144_A6B5_8DE36DE63F0E_.wvu.Cols" localSheetId="1" hidden="1">Справка!$AV:$AX,Справка!$BB:$BD,Справка!$BH:$BM,Справка!$BT:$BY,Справка!$CX:$DF</definedName>
    <definedName name="Z_B31C8DB7_3E78_4144_A6B5_8DE36DE63F0E_.wvu.PrintArea" localSheetId="5" hidden="1">Иль!$A$1:$F$104</definedName>
    <definedName name="Z_B31C8DB7_3E78_4144_A6B5_8DE36DE63F0E_.wvu.PrintArea" localSheetId="0" hidden="1">Консол!$A$1:$K$50</definedName>
    <definedName name="Z_B31C8DB7_3E78_4144_A6B5_8DE36DE63F0E_.wvu.PrintArea" localSheetId="7" hidden="1">Мор!$A$1:$F$101</definedName>
    <definedName name="Z_B31C8DB7_3E78_4144_A6B5_8DE36DE63F0E_.wvu.PrintArea" localSheetId="1" hidden="1">Справка!$A$1:$EY$31</definedName>
    <definedName name="Z_B31C8DB7_3E78_4144_A6B5_8DE36DE63F0E_.wvu.PrintArea" localSheetId="11" hidden="1">Тор!$A$1:$F$102</definedName>
    <definedName name="Z_B31C8DB7_3E78_4144_A6B5_8DE36DE63F0E_.wvu.PrintArea" localSheetId="15" hidden="1">Юнг!$A$1:$F$100</definedName>
    <definedName name="Z_B31C8DB7_3E78_4144_A6B5_8DE36DE63F0E_.wvu.PrintArea" localSheetId="17" hidden="1">Яра!$A$1:$F$102</definedName>
    <definedName name="Z_B31C8DB7_3E78_4144_A6B5_8DE36DE63F0E_.wvu.Rows" localSheetId="3" hidden="1">Але!$19:$24,Але!$44:$44,Але!$46:$46,Але!$53:$53,Але!$55:$56,Але!$63:$64,Але!$74:$75,Але!$79:$83,Але!$87:$89</definedName>
    <definedName name="Z_B31C8DB7_3E78_4144_A6B5_8DE36DE63F0E_.wvu.Rows" localSheetId="5" hidden="1">Иль!$19:$24,Иль!$33:$33,Иль!$45:$45,Иль!$50:$50,Иль!$60:$61,Иль!$68:$69,Иль!$78:$79,Иль!$81:$81,Иль!$93:$97</definedName>
    <definedName name="Z_B31C8DB7_3E78_4144_A6B5_8DE36DE63F0E_.wvu.Rows" localSheetId="6" hidden="1">Кад!$19:$24,Кад!$44:$44,Кад!$56:$56,Кад!$58:$59,Кад!$66:$67,Кад!$83:$85,Кад!$89:$92,Кад!$94:$96</definedName>
    <definedName name="Z_B31C8DB7_3E78_4144_A6B5_8DE36DE63F0E_.wvu.Rows" localSheetId="0" hidden="1">Консол!$22:$22,Консол!$43:$45,Консол!$82:$84</definedName>
    <definedName name="Z_B31C8DB7_3E78_4144_A6B5_8DE36DE63F0E_.wvu.Rows" localSheetId="19" hidden="1">Лист1!$82:$84</definedName>
    <definedName name="Z_B31C8DB7_3E78_4144_A6B5_8DE36DE63F0E_.wvu.Rows" localSheetId="7" hidden="1">Мор!$21:$21,Мор!$23:$23,Мор!$37:$37,Мор!$44:$44,Мор!$47:$47,Мор!$49:$50,Мор!$57:$57,Мор!$59:$60,Мор!$67:$68,Мор!$83:$88,Мор!$91:$97</definedName>
    <definedName name="Z_B31C8DB7_3E78_4144_A6B5_8DE36DE63F0E_.wvu.Rows" localSheetId="8" hidden="1">Мос!$19:$24,Мос!$44:$44,Мос!$58:$58,Мос!$60:$61,Мос!$68:$69,Мос!$82:$82,Мос!$84:$90,Мос!$95:$100</definedName>
    <definedName name="Z_B31C8DB7_3E78_4144_A6B5_8DE36DE63F0E_.wvu.Rows" localSheetId="9" hidden="1">Ори!$19:$24,Ори!$32:$32,Ори!$44:$44,Ори!$48:$50,Ори!$57:$57,Ори!$59:$60,Ори!$67:$68,Ори!$78:$79,Ори!$81:$81,Ори!$83:$87,Ори!$91:$98</definedName>
    <definedName name="Z_B31C8DB7_3E78_4144_A6B5_8DE36DE63F0E_.wvu.Rows" localSheetId="2" hidden="1">район!$17:$18,район!$20:$20,район!$28:$30,район!$50:$51,район!$75:$75,район!$82:$82,район!$99:$99,район!$105:$105,район!$133:$135</definedName>
    <definedName name="Z_B31C8DB7_3E78_4144_A6B5_8DE36DE63F0E_.wvu.Rows" localSheetId="1" hidden="1">Справка!$33:$33,Справка!$34:$34</definedName>
    <definedName name="Z_B31C8DB7_3E78_4144_A6B5_8DE36DE63F0E_.wvu.Rows" localSheetId="4" hidden="1">Сун!$19:$24,Сун!$49:$51,Сун!$58:$58,Сун!$60:$61,Сун!$68:$69,Сун!$79:$80,Сун!$82:$82,Сун!$88:$89,Сун!$93:$97</definedName>
    <definedName name="Z_B31C8DB7_3E78_4144_A6B5_8DE36DE63F0E_.wvu.Rows" localSheetId="10" hidden="1">Сят!$19:$19,Сят!$45:$47,Сят!$57:$57,Сят!$59:$60,Сят!$67:$68,Сят!$83:$86,Сят!$90:$97</definedName>
    <definedName name="Z_B31C8DB7_3E78_4144_A6B5_8DE36DE63F0E_.wvu.Rows" localSheetId="11" hidden="1">Тор!$19:$19,Тор!$50:$50,Тор!$57:$57,Тор!$59:$60,Тор!$67:$68,Тор!$75:$75,Тор!$79:$80,Тор!$83:$94</definedName>
    <definedName name="Z_B31C8DB7_3E78_4144_A6B5_8DE36DE63F0E_.wvu.Rows" localSheetId="12" hidden="1">Хор!$19:$24,Хор!$32:$32,Хор!$40:$40,Хор!$44:$44,Хор!$55:$55,Хор!$57:$58,Хор!$65:$66,Хор!$81:$85,Хор!$88:$95</definedName>
    <definedName name="Z_B31C8DB7_3E78_4144_A6B5_8DE36DE63F0E_.wvu.Rows" localSheetId="13" hidden="1">Чум!$19:$19,Чум!$21:$21,Чум!$23:$24,Чум!$47:$49,Чум!$57:$57,Чум!$59:$60,Чум!$67:$68,Чум!$83:$87,Чум!$90:$97</definedName>
    <definedName name="Z_B31C8DB7_3E78_4144_A6B5_8DE36DE63F0E_.wvu.Rows" localSheetId="14" hidden="1">Шать!$19:$24,Шать!$47:$49,Шать!$57:$57,Шать!$59:$60,Шать!$67:$68,Шать!$78:$79,Шать!$83:$87,Шать!$90:$97</definedName>
    <definedName name="Z_B31C8DB7_3E78_4144_A6B5_8DE36DE63F0E_.wvu.Rows" localSheetId="15" hidden="1">Юнг!$19:$24,Юнг!$32:$32,Юнг!$49:$49,Юнг!$56:$56,Юнг!$58:$59,Юнг!$66:$67,Юнг!$82:$86,Юнг!$89:$96</definedName>
    <definedName name="Z_B31C8DB7_3E78_4144_A6B5_8DE36DE63F0E_.wvu.Rows" localSheetId="16" hidden="1">Юсь!$20:$24,Юсь!$40:$40,Юсь!$44:$49,Юсь!$58:$58,Юсь!$60:$61,Юсь!$68:$69,Юсь!$79:$80,Юсь!$83:$88,Юсь!$91:$98</definedName>
    <definedName name="Z_B31C8DB7_3E78_4144_A6B5_8DE36DE63F0E_.wvu.Rows" localSheetId="17" hidden="1">Яра!$19:$24,Яра!$46:$50,Яра!$58:$58,Яра!$60:$61,Яра!$68:$69,Яра!$79:$79,Яра!$82:$88,Яра!$91:$98</definedName>
    <definedName name="Z_B31C8DB7_3E78_4144_A6B5_8DE36DE63F0E_.wvu.Rows" localSheetId="18" hidden="1">Яро!$19:$24,Яро!$29:$30,Яро!$32:$32,Яро!$43:$43,Яро!$54:$54,Яро!$56:$57,Яро!$64:$65,Яро!$75:$76,Яро!$80:$85,Яро!$87:$94</definedName>
    <definedName name="_xlnm.Print_Area" localSheetId="5">Иль!$A$1:$F$104</definedName>
    <definedName name="_xlnm.Print_Area" localSheetId="0">Консол!$A$1:$K$50</definedName>
    <definedName name="_xlnm.Print_Area" localSheetId="7">Мор!$A$1:$F$101</definedName>
    <definedName name="_xlnm.Print_Area" localSheetId="1">Справка!$A$1:$EY$31</definedName>
    <definedName name="_xlnm.Print_Area" localSheetId="11">Тор!$A$1:$F$102</definedName>
    <definedName name="_xlnm.Print_Area" localSheetId="15">Юнг!$A$1:$F$100</definedName>
    <definedName name="_xlnm.Print_Area" localSheetId="17">Яра!$A$1:$F$102</definedName>
  </definedNames>
  <calcPr calcId="125725"/>
  <customWorkbookViews>
    <customWorkbookView name="morgau_fin7 - Личное представление" guid="{5BFCA170-DEAE-4D2C-98A0-1E68B427AC01}" mergeInterval="0" personalView="1" maximized="1" xWindow="1" yWindow="1" windowWidth="1916" windowHeight="850" tabRatio="695" activeSheetId="1"/>
    <customWorkbookView name="morgau_fin2 - Личное представление" guid="{B30CE22D-C12F-4E12-8BB9-3AAE0A6991CC}" mergeInterval="0" personalView="1" maximized="1" xWindow="1" yWindow="1" windowWidth="1916" windowHeight="859" tabRatio="695" activeSheetId="13"/>
    <customWorkbookView name="morgau_fin4 - Личное представление" guid="{1A52382B-3765-4E8C-903F-6B8919B7242E}" mergeInterval="0" personalView="1" maximized="1" xWindow="1" yWindow="1" windowWidth="1916" windowHeight="850" tabRatio="695" activeSheetId="12"/>
    <customWorkbookView name="Бухгалтер 1 - Личное представление" guid="{A54C432C-6C68-4B53-A75C-446EB3A61B2B}" mergeInterval="0" personalView="1" maximized="1" xWindow="1" yWindow="1" windowWidth="1356" windowHeight="547" tabRatio="695" activeSheetId="1"/>
    <customWorkbookView name="morgau_fin1 - Личное представление" guid="{3DCB9AAA-F09C-4EA6-B992-F93E466D374A}" mergeInterval="0" personalView="1" maximized="1" xWindow="1" yWindow="1" windowWidth="1920" windowHeight="850" tabRatio="695" activeSheetId="3"/>
    <customWorkbookView name="Admin - Личное представление" guid="{1718F1EE-9F48-4DBE-9531-3B70F9C4A5DD}" mergeInterval="0" personalView="1" maximized="1" windowWidth="1148" windowHeight="649" tabRatio="695" activeSheetId="18"/>
    <customWorkbookView name="Финансовый отдел администрации Моргаушского района - - Личное представление" guid="{42584DC0-1D41-4C93-9B38-C388E7B8DAC4}" mergeInterval="0" personalView="1" maximized="1" xWindow="1" yWindow="1" windowWidth="1920" windowHeight="850" tabRatio="695" activeSheetId="14"/>
    <customWorkbookView name="morgau_fin5 - Личное представление" guid="{B31C8DB7-3E78-4144-A6B5-8DE36DE63F0E}" mergeInterval="0" personalView="1" maximized="1" xWindow="1" yWindow="1" windowWidth="1916" windowHeight="850" tabRatio="695" activeSheetId="2"/>
    <customWorkbookView name="morgau_fin3 - Личное представление" guid="{61528DAC-5C4C-48F4-ADE2-8A724B05A086}" mergeInterval="0" personalView="1" maximized="1" xWindow="1" yWindow="1" windowWidth="1916" windowHeight="850" tabRatio="695" activeSheetId="1"/>
  </customWorkbookViews>
</workbook>
</file>

<file path=xl/calcChain.xml><?xml version="1.0" encoding="utf-8"?>
<calcChain xmlns="http://schemas.openxmlformats.org/spreadsheetml/2006/main">
  <c r="F143" i="3"/>
  <c r="E143"/>
  <c r="F142"/>
  <c r="E142"/>
  <c r="F141"/>
  <c r="E141"/>
  <c r="D140"/>
  <c r="E140" s="1"/>
  <c r="C140"/>
  <c r="F139"/>
  <c r="C138"/>
  <c r="F138" s="1"/>
  <c r="F137"/>
  <c r="E137"/>
  <c r="D136"/>
  <c r="F136" s="1"/>
  <c r="C136"/>
  <c r="E135"/>
  <c r="E134"/>
  <c r="C133"/>
  <c r="E133" s="1"/>
  <c r="F132"/>
  <c r="E132"/>
  <c r="F131"/>
  <c r="F130" s="1"/>
  <c r="E131"/>
  <c r="D130"/>
  <c r="C130"/>
  <c r="F129"/>
  <c r="E129"/>
  <c r="F128"/>
  <c r="E128"/>
  <c r="F127"/>
  <c r="E127"/>
  <c r="F126"/>
  <c r="E126"/>
  <c r="D125"/>
  <c r="C125"/>
  <c r="F124"/>
  <c r="E124"/>
  <c r="F123"/>
  <c r="E123"/>
  <c r="D122"/>
  <c r="F122" s="1"/>
  <c r="C122"/>
  <c r="F121"/>
  <c r="E121"/>
  <c r="F120"/>
  <c r="E120"/>
  <c r="F119"/>
  <c r="E119"/>
  <c r="F118"/>
  <c r="E118"/>
  <c r="F117"/>
  <c r="E117"/>
  <c r="D116"/>
  <c r="C116"/>
  <c r="F115"/>
  <c r="E115"/>
  <c r="D114"/>
  <c r="C114"/>
  <c r="E114" s="1"/>
  <c r="F113"/>
  <c r="E113"/>
  <c r="F112"/>
  <c r="E112"/>
  <c r="F111"/>
  <c r="E111"/>
  <c r="D110"/>
  <c r="C110"/>
  <c r="F109"/>
  <c r="E109"/>
  <c r="F108"/>
  <c r="E108"/>
  <c r="F106"/>
  <c r="E106"/>
  <c r="F105"/>
  <c r="E105"/>
  <c r="D104"/>
  <c r="C104"/>
  <c r="F103"/>
  <c r="E103"/>
  <c r="F102"/>
  <c r="E102"/>
  <c r="F101"/>
  <c r="E101"/>
  <c r="F100"/>
  <c r="E100"/>
  <c r="F99"/>
  <c r="E99"/>
  <c r="D98"/>
  <c r="F98" s="1"/>
  <c r="C98"/>
  <c r="F97"/>
  <c r="E97"/>
  <c r="D96"/>
  <c r="E96" s="1"/>
  <c r="C96"/>
  <c r="F95"/>
  <c r="E95"/>
  <c r="F94"/>
  <c r="E94"/>
  <c r="F93"/>
  <c r="E93"/>
  <c r="F92"/>
  <c r="E92"/>
  <c r="F91"/>
  <c r="E91"/>
  <c r="F90"/>
  <c r="E90"/>
  <c r="F89"/>
  <c r="E89"/>
  <c r="E88"/>
  <c r="D88"/>
  <c r="C88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D73"/>
  <c r="C73"/>
  <c r="F71"/>
  <c r="E71"/>
  <c r="F70"/>
  <c r="E70"/>
  <c r="D69"/>
  <c r="C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D52"/>
  <c r="C52"/>
  <c r="F51"/>
  <c r="E51"/>
  <c r="D50"/>
  <c r="C50"/>
  <c r="F49"/>
  <c r="E49"/>
  <c r="F48"/>
  <c r="E48"/>
  <c r="D47"/>
  <c r="C47"/>
  <c r="F46"/>
  <c r="F45"/>
  <c r="E45"/>
  <c r="D44"/>
  <c r="E44" s="1"/>
  <c r="C44"/>
  <c r="F43"/>
  <c r="E43"/>
  <c r="D42"/>
  <c r="E42" s="1"/>
  <c r="C42"/>
  <c r="F41"/>
  <c r="E41"/>
  <c r="F40"/>
  <c r="E40"/>
  <c r="F39"/>
  <c r="E39"/>
  <c r="F38"/>
  <c r="E38"/>
  <c r="F37"/>
  <c r="E37"/>
  <c r="F36"/>
  <c r="E36"/>
  <c r="F35"/>
  <c r="E35"/>
  <c r="F34"/>
  <c r="E34"/>
  <c r="D33"/>
  <c r="C33"/>
  <c r="F31"/>
  <c r="E31"/>
  <c r="F30"/>
  <c r="E30"/>
  <c r="F29"/>
  <c r="E29"/>
  <c r="F28"/>
  <c r="E28"/>
  <c r="D27"/>
  <c r="C27"/>
  <c r="F26"/>
  <c r="E26"/>
  <c r="F25"/>
  <c r="E25"/>
  <c r="F24"/>
  <c r="E24"/>
  <c r="F23"/>
  <c r="D23"/>
  <c r="C23"/>
  <c r="E23" s="1"/>
  <c r="F22"/>
  <c r="E22"/>
  <c r="D21"/>
  <c r="C21"/>
  <c r="F20"/>
  <c r="E20"/>
  <c r="F19"/>
  <c r="E19"/>
  <c r="F18"/>
  <c r="E18"/>
  <c r="F17"/>
  <c r="E17"/>
  <c r="D16"/>
  <c r="C16"/>
  <c r="F15"/>
  <c r="E15"/>
  <c r="F14"/>
  <c r="E14"/>
  <c r="F13"/>
  <c r="E13"/>
  <c r="D12"/>
  <c r="F12" s="1"/>
  <c r="C12"/>
  <c r="F11"/>
  <c r="E11"/>
  <c r="F10"/>
  <c r="E10"/>
  <c r="F9"/>
  <c r="E9"/>
  <c r="F8"/>
  <c r="E8"/>
  <c r="D7"/>
  <c r="F7" s="1"/>
  <c r="C7"/>
  <c r="E7" s="1"/>
  <c r="F6"/>
  <c r="E6"/>
  <c r="D5"/>
  <c r="C5"/>
  <c r="F71" i="12"/>
  <c r="E71"/>
  <c r="D77" i="4"/>
  <c r="CR19" i="2"/>
  <c r="AB28"/>
  <c r="AZ17"/>
  <c r="AZ19"/>
  <c r="AZ20"/>
  <c r="AZ21"/>
  <c r="AZ24"/>
  <c r="AZ26"/>
  <c r="AZ27"/>
  <c r="AZ28"/>
  <c r="C67" i="5"/>
  <c r="C66" i="8"/>
  <c r="F71"/>
  <c r="E71"/>
  <c r="DF35" i="2"/>
  <c r="C67" i="9"/>
  <c r="C40"/>
  <c r="C66" i="12"/>
  <c r="E65" i="11"/>
  <c r="C66"/>
  <c r="C66" i="10"/>
  <c r="C65" i="7"/>
  <c r="C64" i="13"/>
  <c r="C67" i="17"/>
  <c r="C65" i="16"/>
  <c r="C66" i="15"/>
  <c r="C66" i="14"/>
  <c r="F71"/>
  <c r="E71"/>
  <c r="C62" i="4"/>
  <c r="C63" i="19"/>
  <c r="D26"/>
  <c r="D31"/>
  <c r="BE28" i="2"/>
  <c r="D71" i="7"/>
  <c r="D83" i="9"/>
  <c r="D26" i="6"/>
  <c r="E44" i="14"/>
  <c r="C4" i="3" l="1"/>
  <c r="F4" s="1"/>
  <c r="E12"/>
  <c r="E52"/>
  <c r="F73"/>
  <c r="F88"/>
  <c r="F104"/>
  <c r="E130"/>
  <c r="E110"/>
  <c r="F114"/>
  <c r="D4"/>
  <c r="E47"/>
  <c r="F69"/>
  <c r="F125"/>
  <c r="E116"/>
  <c r="C32"/>
  <c r="F50"/>
  <c r="E27"/>
  <c r="E16"/>
  <c r="E5"/>
  <c r="E21"/>
  <c r="E33"/>
  <c r="F44"/>
  <c r="F47"/>
  <c r="F110"/>
  <c r="E136"/>
  <c r="E50"/>
  <c r="F52"/>
  <c r="E69"/>
  <c r="E98"/>
  <c r="E104"/>
  <c r="E122"/>
  <c r="E125"/>
  <c r="C144"/>
  <c r="F116"/>
  <c r="E73"/>
  <c r="D32"/>
  <c r="F96"/>
  <c r="F5"/>
  <c r="F16"/>
  <c r="F21"/>
  <c r="F27"/>
  <c r="F33"/>
  <c r="F42"/>
  <c r="F140"/>
  <c r="D144"/>
  <c r="D40" i="16"/>
  <c r="E4" i="3" l="1"/>
  <c r="C72"/>
  <c r="C83" s="1"/>
  <c r="C84" s="1"/>
  <c r="D72"/>
  <c r="D83" s="1"/>
  <c r="F144"/>
  <c r="E144"/>
  <c r="E32"/>
  <c r="F32"/>
  <c r="D34" i="15"/>
  <c r="D36" i="7"/>
  <c r="D66" i="12"/>
  <c r="D34" i="11"/>
  <c r="D26"/>
  <c r="D14"/>
  <c r="CV26" i="2"/>
  <c r="AT18"/>
  <c r="AQ18"/>
  <c r="F72" i="3" l="1"/>
  <c r="E72"/>
  <c r="D84"/>
  <c r="F83" s="1"/>
  <c r="E83"/>
  <c r="C34" i="11"/>
  <c r="BN21" i="2" s="1"/>
  <c r="C82" i="12"/>
  <c r="C38" i="17"/>
  <c r="D12" i="19"/>
  <c r="D67" i="18" l="1"/>
  <c r="E42" i="13"/>
  <c r="D82" i="12"/>
  <c r="D64"/>
  <c r="D67" i="6"/>
  <c r="C67"/>
  <c r="E72"/>
  <c r="F72"/>
  <c r="C68" i="4"/>
  <c r="D68"/>
  <c r="G32" i="1" l="1"/>
  <c r="CO19" i="2"/>
  <c r="E49" i="9"/>
  <c r="D5" i="5"/>
  <c r="C29" i="12"/>
  <c r="J15" i="2"/>
  <c r="D12" i="7"/>
  <c r="CD14" i="2"/>
  <c r="CS17"/>
  <c r="CD17"/>
  <c r="C38" i="4"/>
  <c r="AT28" i="2"/>
  <c r="F28" i="18"/>
  <c r="E28"/>
  <c r="D26"/>
  <c r="C67"/>
  <c r="F72"/>
  <c r="E72"/>
  <c r="D73"/>
  <c r="F29"/>
  <c r="E29"/>
  <c r="F87" i="15"/>
  <c r="E87"/>
  <c r="F86"/>
  <c r="E86"/>
  <c r="F85"/>
  <c r="E85"/>
  <c r="F84"/>
  <c r="E84"/>
  <c r="D81" i="14"/>
  <c r="CR17" i="2"/>
  <c r="C40" i="7"/>
  <c r="D41" i="6"/>
  <c r="C41"/>
  <c r="CS16" i="2"/>
  <c r="CR16"/>
  <c r="BQ14"/>
  <c r="E51" i="6"/>
  <c r="F51"/>
  <c r="D67" i="5"/>
  <c r="D38" i="4"/>
  <c r="BR14" i="2"/>
  <c r="CV22"/>
  <c r="CV21"/>
  <c r="D41" i="12"/>
  <c r="E49"/>
  <c r="F49"/>
  <c r="D40" i="11"/>
  <c r="BR25" i="2" l="1"/>
  <c r="CS23"/>
  <c r="CS19"/>
  <c r="CS18"/>
  <c r="CS14" l="1"/>
  <c r="D38" i="13"/>
  <c r="D40" i="10"/>
  <c r="D40" i="9"/>
  <c r="D40" i="8"/>
  <c r="D17" i="15"/>
  <c r="CS29" i="2"/>
  <c r="CR29"/>
  <c r="CS27"/>
  <c r="CS25"/>
  <c r="CS24"/>
  <c r="CS22"/>
  <c r="CS21"/>
  <c r="D41" i="15"/>
  <c r="D37" i="14"/>
  <c r="BR24" i="2" s="1"/>
  <c r="D41" i="14"/>
  <c r="D38" i="17"/>
  <c r="CR23" i="2"/>
  <c r="E9" i="12"/>
  <c r="F33" i="5" l="1"/>
  <c r="AE14" i="2"/>
  <c r="CR14"/>
  <c r="CT14" s="1"/>
  <c r="CR27"/>
  <c r="CT27" s="1"/>
  <c r="CR25"/>
  <c r="CT25" s="1"/>
  <c r="CR24"/>
  <c r="CT24" s="1"/>
  <c r="CR21"/>
  <c r="CT21" s="1"/>
  <c r="CR18"/>
  <c r="CT18" s="1"/>
  <c r="CS15"/>
  <c r="CR15"/>
  <c r="F80" i="13"/>
  <c r="F90" i="18"/>
  <c r="F51" i="17"/>
  <c r="C40" i="16"/>
  <c r="E40" s="1"/>
  <c r="E50" i="15"/>
  <c r="F50"/>
  <c r="C41" i="14"/>
  <c r="F41" s="1"/>
  <c r="E50"/>
  <c r="F50"/>
  <c r="E76" i="12"/>
  <c r="E73"/>
  <c r="E31"/>
  <c r="F31"/>
  <c r="D29"/>
  <c r="AZ22" i="2" s="1"/>
  <c r="C40" i="11"/>
  <c r="E40" s="1"/>
  <c r="E49"/>
  <c r="F49"/>
  <c r="C40" i="10"/>
  <c r="F40" s="1"/>
  <c r="E81" i="9"/>
  <c r="E51"/>
  <c r="F51"/>
  <c r="E47" i="8"/>
  <c r="F47"/>
  <c r="E48"/>
  <c r="F48"/>
  <c r="E49"/>
  <c r="F49"/>
  <c r="E50"/>
  <c r="F50"/>
  <c r="C40"/>
  <c r="F40" s="1"/>
  <c r="F81" i="5"/>
  <c r="F76"/>
  <c r="C26"/>
  <c r="D41"/>
  <c r="E48"/>
  <c r="F48"/>
  <c r="C41"/>
  <c r="E48" i="12"/>
  <c r="F48"/>
  <c r="G24" i="1"/>
  <c r="C41" i="15"/>
  <c r="F41" s="1"/>
  <c r="E42"/>
  <c r="C38" i="13"/>
  <c r="C41" i="12"/>
  <c r="F41" i="10"/>
  <c r="E44"/>
  <c r="F44"/>
  <c r="E44" i="9"/>
  <c r="F44"/>
  <c r="E44" i="8"/>
  <c r="F44"/>
  <c r="E44" i="7"/>
  <c r="F44"/>
  <c r="E45" i="6"/>
  <c r="F45"/>
  <c r="E46"/>
  <c r="F46"/>
  <c r="E45" i="5"/>
  <c r="F45"/>
  <c r="CR22" i="2"/>
  <c r="CT22" s="1"/>
  <c r="CV14"/>
  <c r="C55" i="7"/>
  <c r="G33" i="1"/>
  <c r="F33"/>
  <c r="G20"/>
  <c r="D20" i="14"/>
  <c r="AK24" i="2" s="1"/>
  <c r="E75" i="11"/>
  <c r="E34" i="10"/>
  <c r="F34"/>
  <c r="E35"/>
  <c r="F35"/>
  <c r="D81" i="8"/>
  <c r="EL18" i="2" s="1"/>
  <c r="C77" i="8"/>
  <c r="EH18" i="2" s="1"/>
  <c r="C72" i="8"/>
  <c r="EE18" i="2" s="1"/>
  <c r="E35" i="11"/>
  <c r="F35"/>
  <c r="E34"/>
  <c r="F34"/>
  <c r="E33"/>
  <c r="C7" i="8"/>
  <c r="D7" i="5"/>
  <c r="C52" i="4"/>
  <c r="D12"/>
  <c r="BP23" i="2"/>
  <c r="BO21"/>
  <c r="BP21" s="1"/>
  <c r="D97" i="12"/>
  <c r="ER22" i="2" s="1"/>
  <c r="F35" i="16"/>
  <c r="E35"/>
  <c r="D34"/>
  <c r="E34" s="1"/>
  <c r="D12" i="13"/>
  <c r="D5"/>
  <c r="D79"/>
  <c r="EL23" i="2" s="1"/>
  <c r="D75" i="13"/>
  <c r="EI23" i="2" s="1"/>
  <c r="D62" i="13"/>
  <c r="D70"/>
  <c r="EF23" i="2" s="1"/>
  <c r="D54" i="13"/>
  <c r="D26"/>
  <c r="AQ27" i="2"/>
  <c r="AQ25"/>
  <c r="AQ19"/>
  <c r="AR19" s="1"/>
  <c r="AQ17"/>
  <c r="AT29"/>
  <c r="AU29" s="1"/>
  <c r="BU34"/>
  <c r="BU35" s="1"/>
  <c r="E88" i="16"/>
  <c r="C81" i="14"/>
  <c r="EK24" i="2" s="1"/>
  <c r="E15" i="14"/>
  <c r="C75" i="13"/>
  <c r="EH23" i="2" s="1"/>
  <c r="E42" i="10"/>
  <c r="F42"/>
  <c r="BO19" i="2"/>
  <c r="BP19" s="1"/>
  <c r="F76" i="9"/>
  <c r="F35"/>
  <c r="E35"/>
  <c r="D34"/>
  <c r="C34"/>
  <c r="AZ15" i="2"/>
  <c r="G21" i="1"/>
  <c r="E36" i="18"/>
  <c r="F36"/>
  <c r="E48" i="16"/>
  <c r="F48"/>
  <c r="E46"/>
  <c r="E47"/>
  <c r="E42"/>
  <c r="F42"/>
  <c r="C34" i="15"/>
  <c r="BN25" i="2" s="1"/>
  <c r="E36" i="15"/>
  <c r="F36"/>
  <c r="BO25" i="2"/>
  <c r="E70" i="14"/>
  <c r="D34"/>
  <c r="BO24" i="2" s="1"/>
  <c r="C34" i="14"/>
  <c r="E36" i="12"/>
  <c r="F36"/>
  <c r="C35"/>
  <c r="E42" i="11"/>
  <c r="F42"/>
  <c r="E42" i="8"/>
  <c r="F42"/>
  <c r="E86" i="7"/>
  <c r="BR17" i="2"/>
  <c r="E42" i="7"/>
  <c r="F42"/>
  <c r="E35"/>
  <c r="F35"/>
  <c r="E58" i="6"/>
  <c r="F58"/>
  <c r="E49"/>
  <c r="E60" i="5"/>
  <c r="E61"/>
  <c r="E62"/>
  <c r="C5"/>
  <c r="C7"/>
  <c r="E29"/>
  <c r="E31"/>
  <c r="F28"/>
  <c r="E28"/>
  <c r="E45" i="4"/>
  <c r="DN14" i="2"/>
  <c r="DQ29"/>
  <c r="DQ24"/>
  <c r="DQ22"/>
  <c r="DQ21"/>
  <c r="DQ18"/>
  <c r="DQ16"/>
  <c r="DQ14"/>
  <c r="D17" i="12"/>
  <c r="D5" i="8"/>
  <c r="D5" i="6"/>
  <c r="D56" i="12"/>
  <c r="D35"/>
  <c r="BO22" i="2" s="1"/>
  <c r="BP22" s="1"/>
  <c r="CS26"/>
  <c r="CR26"/>
  <c r="CS28"/>
  <c r="CR28"/>
  <c r="D82" i="18"/>
  <c r="D78"/>
  <c r="EI28" i="2" s="1"/>
  <c r="D41" i="18"/>
  <c r="C41"/>
  <c r="E51"/>
  <c r="F51"/>
  <c r="D34" i="7"/>
  <c r="BO17" i="2" s="1"/>
  <c r="BP17" s="1"/>
  <c r="C34" i="7"/>
  <c r="G15" i="1"/>
  <c r="D61" i="19"/>
  <c r="DZ29" i="2" s="1"/>
  <c r="D38" i="19"/>
  <c r="D35" i="18"/>
  <c r="BO28" i="2" s="1"/>
  <c r="BO20"/>
  <c r="BP20" s="1"/>
  <c r="D88" i="14"/>
  <c r="ER24" i="2" s="1"/>
  <c r="D36" i="8"/>
  <c r="BR18" i="2" s="1"/>
  <c r="E27" i="19"/>
  <c r="E56" i="16"/>
  <c r="E57"/>
  <c r="E58"/>
  <c r="E59"/>
  <c r="AQ29" i="2"/>
  <c r="AQ14"/>
  <c r="CL18"/>
  <c r="AS17"/>
  <c r="AA24"/>
  <c r="G35" i="1"/>
  <c r="D35" s="1"/>
  <c r="D66" i="8"/>
  <c r="EC18" i="2" s="1"/>
  <c r="EB18"/>
  <c r="C14" i="14"/>
  <c r="F15" s="1"/>
  <c r="F35" i="15"/>
  <c r="E35"/>
  <c r="D26" i="4"/>
  <c r="CI16" i="2"/>
  <c r="CI29"/>
  <c r="CI28"/>
  <c r="CI27"/>
  <c r="CI26"/>
  <c r="CI25"/>
  <c r="CI24"/>
  <c r="CI23"/>
  <c r="CI22"/>
  <c r="CI21"/>
  <c r="CI20"/>
  <c r="CI19"/>
  <c r="CI18"/>
  <c r="CI17"/>
  <c r="CI15"/>
  <c r="CI14"/>
  <c r="CC19"/>
  <c r="I29"/>
  <c r="P25"/>
  <c r="AN25"/>
  <c r="CP28"/>
  <c r="CP26"/>
  <c r="CP25"/>
  <c r="CP24"/>
  <c r="CP23"/>
  <c r="CP22"/>
  <c r="CP16"/>
  <c r="BE14"/>
  <c r="AY28"/>
  <c r="AY27"/>
  <c r="AY24"/>
  <c r="BA24" s="1"/>
  <c r="AY21"/>
  <c r="AY20"/>
  <c r="AY19"/>
  <c r="AY17"/>
  <c r="BA17" s="1"/>
  <c r="AY15"/>
  <c r="AY26"/>
  <c r="AS24"/>
  <c r="AQ26"/>
  <c r="AQ24"/>
  <c r="AQ22"/>
  <c r="AQ16"/>
  <c r="AQ15"/>
  <c r="D88" i="15"/>
  <c r="ER25" i="2" s="1"/>
  <c r="D20" i="12"/>
  <c r="AK22" i="2" s="1"/>
  <c r="AL22" s="1"/>
  <c r="C20" i="12"/>
  <c r="D26" i="5"/>
  <c r="C31" i="4"/>
  <c r="AP27" i="2"/>
  <c r="CO28"/>
  <c r="CO26"/>
  <c r="CC26"/>
  <c r="CO24"/>
  <c r="CO23"/>
  <c r="CO22"/>
  <c r="CO16"/>
  <c r="D53" i="19"/>
  <c r="D69"/>
  <c r="EF29" i="2" s="1"/>
  <c r="D65" i="16"/>
  <c r="D63"/>
  <c r="D55"/>
  <c r="D76"/>
  <c r="D71"/>
  <c r="EF26" i="2" s="1"/>
  <c r="D66" i="15"/>
  <c r="EC25" i="2" s="1"/>
  <c r="D7" i="7"/>
  <c r="D40"/>
  <c r="F40" s="1"/>
  <c r="D26"/>
  <c r="D17" i="5"/>
  <c r="EF14" i="2"/>
  <c r="DQ20"/>
  <c r="DQ17"/>
  <c r="D5" i="15"/>
  <c r="D5" i="9"/>
  <c r="C35" i="18"/>
  <c r="BN28" i="2" s="1"/>
  <c r="C34" i="8"/>
  <c r="AP18" i="2"/>
  <c r="AT19"/>
  <c r="AS18"/>
  <c r="F20" i="1"/>
  <c r="DZ22" i="2"/>
  <c r="AQ21"/>
  <c r="D65" i="17"/>
  <c r="D56" i="15"/>
  <c r="D37" i="12"/>
  <c r="BR22" i="2" s="1"/>
  <c r="E15" i="5"/>
  <c r="E16"/>
  <c r="D60" i="4"/>
  <c r="G9" i="1"/>
  <c r="D9" s="1"/>
  <c r="BE22" i="2"/>
  <c r="D31" i="7"/>
  <c r="J14" i="2"/>
  <c r="J16"/>
  <c r="J17"/>
  <c r="J18"/>
  <c r="J19"/>
  <c r="J20"/>
  <c r="J21"/>
  <c r="J22"/>
  <c r="J23"/>
  <c r="J24"/>
  <c r="J25"/>
  <c r="J26"/>
  <c r="J27"/>
  <c r="J28"/>
  <c r="J29"/>
  <c r="BN18"/>
  <c r="BF18"/>
  <c r="BI18"/>
  <c r="BI31" s="1"/>
  <c r="BI34" s="1"/>
  <c r="BI35" s="1"/>
  <c r="BJ18"/>
  <c r="BK18"/>
  <c r="BL18"/>
  <c r="BM18"/>
  <c r="D66" i="14"/>
  <c r="EC24" i="2" s="1"/>
  <c r="D5" i="14"/>
  <c r="EY30" i="2"/>
  <c r="D65" i="18"/>
  <c r="DZ28" i="2" s="1"/>
  <c r="D12" i="5"/>
  <c r="E47"/>
  <c r="F47"/>
  <c r="C73"/>
  <c r="I14" i="2"/>
  <c r="AP26"/>
  <c r="AP25"/>
  <c r="AP24"/>
  <c r="AP22"/>
  <c r="AP17"/>
  <c r="AP14"/>
  <c r="AS26"/>
  <c r="AS22"/>
  <c r="AS21"/>
  <c r="G11" i="1"/>
  <c r="D11" s="1"/>
  <c r="G5"/>
  <c r="G38"/>
  <c r="C97" i="12"/>
  <c r="EQ22" i="2" s="1"/>
  <c r="D7" i="16"/>
  <c r="E42" i="9"/>
  <c r="F42"/>
  <c r="ER14" i="2"/>
  <c r="C84" i="4"/>
  <c r="EL14" i="2"/>
  <c r="C77" i="4"/>
  <c r="D73"/>
  <c r="C73"/>
  <c r="EH14" i="2" s="1"/>
  <c r="D62" i="4"/>
  <c r="EB14" i="2"/>
  <c r="C60" i="4"/>
  <c r="D52"/>
  <c r="D36" i="16"/>
  <c r="G41" i="1"/>
  <c r="D17" i="19"/>
  <c r="D32" i="5"/>
  <c r="BF15" i="2" s="1"/>
  <c r="D66" i="11"/>
  <c r="D64"/>
  <c r="D56"/>
  <c r="DK21" i="2" s="1"/>
  <c r="D87" i="7"/>
  <c r="ER17" i="2" s="1"/>
  <c r="D82" i="7"/>
  <c r="EO17" i="2" s="1"/>
  <c r="D80" i="7"/>
  <c r="EL17" i="2" s="1"/>
  <c r="D76" i="7"/>
  <c r="EI17" i="2" s="1"/>
  <c r="D65" i="7"/>
  <c r="EC17" i="2" s="1"/>
  <c r="D63" i="7"/>
  <c r="D55"/>
  <c r="D64" i="10"/>
  <c r="AS28" i="2"/>
  <c r="AS27"/>
  <c r="AS25"/>
  <c r="AS23"/>
  <c r="AS20"/>
  <c r="AS16"/>
  <c r="AS15"/>
  <c r="AS14"/>
  <c r="AP28"/>
  <c r="AP23"/>
  <c r="AP20"/>
  <c r="D7" i="13"/>
  <c r="D14"/>
  <c r="C14" i="12"/>
  <c r="Y14" i="2"/>
  <c r="Y15"/>
  <c r="Y16"/>
  <c r="Y18"/>
  <c r="Y20"/>
  <c r="Y21"/>
  <c r="Y22"/>
  <c r="Y23"/>
  <c r="Y24"/>
  <c r="Y25"/>
  <c r="Y26"/>
  <c r="Y27"/>
  <c r="Y28"/>
  <c r="Y29"/>
  <c r="DV16"/>
  <c r="CP29"/>
  <c r="CO29"/>
  <c r="DN24"/>
  <c r="DN25"/>
  <c r="DN23"/>
  <c r="DN22"/>
  <c r="DN26"/>
  <c r="DN21"/>
  <c r="DN20"/>
  <c r="DN29"/>
  <c r="DN28"/>
  <c r="DN27"/>
  <c r="DN19"/>
  <c r="DN18"/>
  <c r="DN17"/>
  <c r="DN16"/>
  <c r="DN15"/>
  <c r="DP17"/>
  <c r="G29" i="1"/>
  <c r="D26" i="16"/>
  <c r="D7" i="4"/>
  <c r="D67" i="9"/>
  <c r="D57"/>
  <c r="AD23" i="2"/>
  <c r="I23"/>
  <c r="L23"/>
  <c r="I24"/>
  <c r="AD24"/>
  <c r="AQ28"/>
  <c r="AQ23"/>
  <c r="AQ20"/>
  <c r="AP21"/>
  <c r="AP15"/>
  <c r="C31" i="19"/>
  <c r="E43" i="14"/>
  <c r="F43"/>
  <c r="C26" i="6"/>
  <c r="C65" i="5"/>
  <c r="DE23" i="2"/>
  <c r="DE31" s="1"/>
  <c r="D78" i="17"/>
  <c r="EI27" i="2" s="1"/>
  <c r="D78" i="12"/>
  <c r="D73" i="9"/>
  <c r="G12" i="1"/>
  <c r="BU33" i="2"/>
  <c r="DF33"/>
  <c r="C89" i="17"/>
  <c r="EQ27" i="2" s="1"/>
  <c r="DP14"/>
  <c r="D26" i="17"/>
  <c r="D32" i="18"/>
  <c r="D14" i="4"/>
  <c r="C79" i="13"/>
  <c r="EK23" i="2" s="1"/>
  <c r="C26" i="11"/>
  <c r="C26" i="8"/>
  <c r="C32" i="6"/>
  <c r="E67" i="18"/>
  <c r="C64" i="15"/>
  <c r="C81" i="8"/>
  <c r="E83"/>
  <c r="F83"/>
  <c r="CG23" i="2"/>
  <c r="CF23"/>
  <c r="F40" i="13"/>
  <c r="F41"/>
  <c r="E40"/>
  <c r="E41"/>
  <c r="CG27" i="2"/>
  <c r="CF27"/>
  <c r="F40" i="17"/>
  <c r="F41"/>
  <c r="E40"/>
  <c r="E41"/>
  <c r="CP27" i="2"/>
  <c r="D7" i="10"/>
  <c r="D7" i="8"/>
  <c r="C31" i="13"/>
  <c r="EL22" i="2"/>
  <c r="EK22"/>
  <c r="D95" i="8"/>
  <c r="EU18" i="2" s="1"/>
  <c r="D65" i="6"/>
  <c r="D65" i="5"/>
  <c r="CO27" i="2"/>
  <c r="D81" i="11"/>
  <c r="EL21" i="2" s="1"/>
  <c r="D65" i="9"/>
  <c r="F44" i="17"/>
  <c r="F45"/>
  <c r="F47"/>
  <c r="F48"/>
  <c r="F49"/>
  <c r="F50"/>
  <c r="E44"/>
  <c r="E45"/>
  <c r="E47"/>
  <c r="E48"/>
  <c r="E49"/>
  <c r="E50"/>
  <c r="D17" i="18"/>
  <c r="CP21" i="2"/>
  <c r="E75" i="12"/>
  <c r="F75"/>
  <c r="CO21" i="2"/>
  <c r="CO20"/>
  <c r="C7" i="19"/>
  <c r="C7" i="18"/>
  <c r="C7" i="17"/>
  <c r="C7" i="16"/>
  <c r="C7" i="15"/>
  <c r="C17" i="14"/>
  <c r="C7"/>
  <c r="C7" i="13"/>
  <c r="C7" i="12"/>
  <c r="C7" i="11"/>
  <c r="C7" i="10"/>
  <c r="C7" i="9"/>
  <c r="C7" i="7"/>
  <c r="C7" i="6"/>
  <c r="C7" i="4"/>
  <c r="D12" i="11"/>
  <c r="F38" i="1"/>
  <c r="F37"/>
  <c r="G36"/>
  <c r="F36"/>
  <c r="F32"/>
  <c r="G30"/>
  <c r="F29"/>
  <c r="F6"/>
  <c r="D12" i="6"/>
  <c r="C91" i="9"/>
  <c r="EN19" i="2" s="1"/>
  <c r="D67" i="17"/>
  <c r="EC27" i="2" s="1"/>
  <c r="F78" i="11"/>
  <c r="F79"/>
  <c r="E78"/>
  <c r="E79"/>
  <c r="D91" i="9"/>
  <c r="EO19" i="2" s="1"/>
  <c r="F87" i="9"/>
  <c r="F88"/>
  <c r="F89"/>
  <c r="F90"/>
  <c r="F92"/>
  <c r="E87"/>
  <c r="E88"/>
  <c r="E89"/>
  <c r="E90"/>
  <c r="E92"/>
  <c r="G6" i="1"/>
  <c r="D5" i="19"/>
  <c r="D7"/>
  <c r="D14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F27"/>
  <c r="E28"/>
  <c r="F28"/>
  <c r="C29"/>
  <c r="D29"/>
  <c r="AZ29" i="2" s="1"/>
  <c r="E30" i="19"/>
  <c r="F30"/>
  <c r="E32"/>
  <c r="F32"/>
  <c r="E33"/>
  <c r="F33"/>
  <c r="C34"/>
  <c r="BQ29" i="2" s="1"/>
  <c r="D34" i="19"/>
  <c r="BR29" i="2" s="1"/>
  <c r="E35" i="19"/>
  <c r="F35"/>
  <c r="E36"/>
  <c r="F36"/>
  <c r="E39"/>
  <c r="E40"/>
  <c r="F40"/>
  <c r="E41"/>
  <c r="F41"/>
  <c r="E42"/>
  <c r="F42"/>
  <c r="E43"/>
  <c r="F43"/>
  <c r="E44"/>
  <c r="CQ29" i="2" s="1"/>
  <c r="F44" i="19"/>
  <c r="F45"/>
  <c r="F46"/>
  <c r="E47"/>
  <c r="F47"/>
  <c r="C53"/>
  <c r="E55"/>
  <c r="F55"/>
  <c r="F56"/>
  <c r="E57"/>
  <c r="F57"/>
  <c r="E58"/>
  <c r="F58"/>
  <c r="E59"/>
  <c r="F59"/>
  <c r="E60"/>
  <c r="F60"/>
  <c r="C61"/>
  <c r="E62"/>
  <c r="F62"/>
  <c r="D63"/>
  <c r="EC29" i="2" s="1"/>
  <c r="E64" i="19"/>
  <c r="F64"/>
  <c r="E65"/>
  <c r="F65"/>
  <c r="E66"/>
  <c r="F66"/>
  <c r="E67"/>
  <c r="F67"/>
  <c r="E70"/>
  <c r="F70"/>
  <c r="E71"/>
  <c r="F71"/>
  <c r="E73"/>
  <c r="F73"/>
  <c r="D74"/>
  <c r="EI29" i="2" s="1"/>
  <c r="E75" i="19"/>
  <c r="F75"/>
  <c r="E76"/>
  <c r="F76"/>
  <c r="E77"/>
  <c r="C78"/>
  <c r="D78"/>
  <c r="EL29" i="2" s="1"/>
  <c r="E79" i="19"/>
  <c r="F79"/>
  <c r="C80"/>
  <c r="EN29" i="2" s="1"/>
  <c r="D80" i="19"/>
  <c r="EO29" i="2" s="1"/>
  <c r="E81" i="19"/>
  <c r="F81"/>
  <c r="E82"/>
  <c r="F82"/>
  <c r="E83"/>
  <c r="F83"/>
  <c r="F84"/>
  <c r="C85"/>
  <c r="D85"/>
  <c r="ER29" i="2" s="1"/>
  <c r="E86" i="19"/>
  <c r="F86"/>
  <c r="E87"/>
  <c r="F87"/>
  <c r="E88"/>
  <c r="E89"/>
  <c r="E90"/>
  <c r="C91"/>
  <c r="D91"/>
  <c r="EU29" i="2" s="1"/>
  <c r="E92" i="19"/>
  <c r="F92"/>
  <c r="E93"/>
  <c r="F93"/>
  <c r="E94"/>
  <c r="F94"/>
  <c r="D5" i="18"/>
  <c r="D7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6" s="1"/>
  <c r="E27"/>
  <c r="F27"/>
  <c r="C30"/>
  <c r="D30"/>
  <c r="E31"/>
  <c r="F31"/>
  <c r="C32"/>
  <c r="E33"/>
  <c r="F33"/>
  <c r="E34"/>
  <c r="F34"/>
  <c r="C37"/>
  <c r="BQ28" i="2" s="1"/>
  <c r="D37" i="18"/>
  <c r="E38"/>
  <c r="F38"/>
  <c r="E39"/>
  <c r="F39"/>
  <c r="E42"/>
  <c r="F42"/>
  <c r="E43"/>
  <c r="F43"/>
  <c r="E44"/>
  <c r="F44"/>
  <c r="E45"/>
  <c r="F45"/>
  <c r="E46"/>
  <c r="F46"/>
  <c r="E47"/>
  <c r="F47"/>
  <c r="E48"/>
  <c r="F48"/>
  <c r="F49"/>
  <c r="E50"/>
  <c r="F50"/>
  <c r="D57"/>
  <c r="E59"/>
  <c r="F59"/>
  <c r="F60"/>
  <c r="E61"/>
  <c r="F61"/>
  <c r="E62"/>
  <c r="F62"/>
  <c r="E63"/>
  <c r="F63"/>
  <c r="C65"/>
  <c r="E66"/>
  <c r="F66"/>
  <c r="E68"/>
  <c r="F68"/>
  <c r="E69"/>
  <c r="F69"/>
  <c r="E70"/>
  <c r="F70"/>
  <c r="E71"/>
  <c r="F71"/>
  <c r="EF28" i="2"/>
  <c r="E75" i="18"/>
  <c r="F75"/>
  <c r="E76"/>
  <c r="F76"/>
  <c r="C78"/>
  <c r="E79"/>
  <c r="F79"/>
  <c r="E80"/>
  <c r="F80"/>
  <c r="E81"/>
  <c r="F81"/>
  <c r="C82"/>
  <c r="EK28" i="2" s="1"/>
  <c r="E83" i="18"/>
  <c r="F83"/>
  <c r="C84"/>
  <c r="EN28" i="2" s="1"/>
  <c r="D84" i="18"/>
  <c r="EO28" i="2" s="1"/>
  <c r="E85" i="18"/>
  <c r="F85"/>
  <c r="E86"/>
  <c r="F86"/>
  <c r="E87"/>
  <c r="F87"/>
  <c r="F88"/>
  <c r="D89"/>
  <c r="ER28" i="2" s="1"/>
  <c r="E90" i="18"/>
  <c r="E91"/>
  <c r="F91"/>
  <c r="E92"/>
  <c r="E93"/>
  <c r="E94"/>
  <c r="C95"/>
  <c r="ET28" i="2" s="1"/>
  <c r="D95" i="18"/>
  <c r="EU28" i="2" s="1"/>
  <c r="E96" i="18"/>
  <c r="F96"/>
  <c r="E97"/>
  <c r="F97"/>
  <c r="E98"/>
  <c r="F98"/>
  <c r="D5" i="17"/>
  <c r="D7"/>
  <c r="D14"/>
  <c r="D17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D31"/>
  <c r="BF27" i="2" s="1"/>
  <c r="C26" i="17"/>
  <c r="E27"/>
  <c r="F27"/>
  <c r="E28"/>
  <c r="F28"/>
  <c r="C29"/>
  <c r="D29"/>
  <c r="E30"/>
  <c r="F30"/>
  <c r="C31"/>
  <c r="BE27" i="2" s="1"/>
  <c r="E32" i="17"/>
  <c r="F32"/>
  <c r="E33"/>
  <c r="F33"/>
  <c r="C34"/>
  <c r="BQ27" i="2" s="1"/>
  <c r="D34" i="17"/>
  <c r="BR27" i="2" s="1"/>
  <c r="E35" i="17"/>
  <c r="F35"/>
  <c r="E36"/>
  <c r="F36"/>
  <c r="F39"/>
  <c r="E42"/>
  <c r="F42"/>
  <c r="E43"/>
  <c r="F43"/>
  <c r="C46"/>
  <c r="D46"/>
  <c r="C57"/>
  <c r="D57"/>
  <c r="E59"/>
  <c r="F59"/>
  <c r="F60"/>
  <c r="E61"/>
  <c r="F61"/>
  <c r="E62"/>
  <c r="F62"/>
  <c r="E63"/>
  <c r="F63"/>
  <c r="E64"/>
  <c r="F64"/>
  <c r="C65"/>
  <c r="E66"/>
  <c r="F66"/>
  <c r="E68"/>
  <c r="F68"/>
  <c r="E69"/>
  <c r="F69"/>
  <c r="E70"/>
  <c r="F70"/>
  <c r="E71"/>
  <c r="F71"/>
  <c r="D73"/>
  <c r="EF27" i="2" s="1"/>
  <c r="E75" i="17"/>
  <c r="F75"/>
  <c r="E76"/>
  <c r="F76"/>
  <c r="E77"/>
  <c r="F77"/>
  <c r="C78"/>
  <c r="EH27" i="2" s="1"/>
  <c r="E79" i="17"/>
  <c r="F79"/>
  <c r="E80"/>
  <c r="F80"/>
  <c r="E81"/>
  <c r="F81"/>
  <c r="D82"/>
  <c r="C84"/>
  <c r="D84"/>
  <c r="EO27" i="2" s="1"/>
  <c r="E85" i="17"/>
  <c r="F85"/>
  <c r="E86"/>
  <c r="F86"/>
  <c r="E87"/>
  <c r="F87"/>
  <c r="F88"/>
  <c r="D89"/>
  <c r="ER27" i="2" s="1"/>
  <c r="F90" i="17"/>
  <c r="E91"/>
  <c r="F91"/>
  <c r="E92"/>
  <c r="E93"/>
  <c r="E94"/>
  <c r="C95"/>
  <c r="ET27" i="2" s="1"/>
  <c r="D95" i="17"/>
  <c r="EU27" i="2" s="1"/>
  <c r="E96" i="17"/>
  <c r="F96"/>
  <c r="E97"/>
  <c r="F97"/>
  <c r="E98"/>
  <c r="F98"/>
  <c r="D5" i="16"/>
  <c r="D12"/>
  <c r="D14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D31"/>
  <c r="BF26" i="2" s="1"/>
  <c r="E32" i="16"/>
  <c r="F32"/>
  <c r="E33"/>
  <c r="F33"/>
  <c r="C37"/>
  <c r="E37" s="1"/>
  <c r="E38"/>
  <c r="F38"/>
  <c r="E41"/>
  <c r="F41"/>
  <c r="E43"/>
  <c r="F43"/>
  <c r="E44"/>
  <c r="F44"/>
  <c r="E45"/>
  <c r="F45"/>
  <c r="F46"/>
  <c r="F47"/>
  <c r="E49"/>
  <c r="F49"/>
  <c r="C55"/>
  <c r="F57"/>
  <c r="F58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3"/>
  <c r="F73"/>
  <c r="E74"/>
  <c r="F74"/>
  <c r="E75"/>
  <c r="F75"/>
  <c r="C76"/>
  <c r="EH26" i="2" s="1"/>
  <c r="E77" i="16"/>
  <c r="F77"/>
  <c r="E78"/>
  <c r="F78"/>
  <c r="E79"/>
  <c r="F79"/>
  <c r="C80"/>
  <c r="EK26" i="2" s="1"/>
  <c r="D80" i="16"/>
  <c r="EL26" i="2" s="1"/>
  <c r="E81" i="16"/>
  <c r="F81"/>
  <c r="C82"/>
  <c r="EN26" i="2" s="1"/>
  <c r="D82" i="16"/>
  <c r="E83"/>
  <c r="F83"/>
  <c r="E84"/>
  <c r="F84"/>
  <c r="E85"/>
  <c r="F85"/>
  <c r="F86"/>
  <c r="C87"/>
  <c r="EQ26" i="2" s="1"/>
  <c r="D87" i="16"/>
  <c r="F88"/>
  <c r="E89"/>
  <c r="F89"/>
  <c r="E90"/>
  <c r="E91"/>
  <c r="E92"/>
  <c r="C93"/>
  <c r="ET26" i="2" s="1"/>
  <c r="D93" i="16"/>
  <c r="EU26" i="2" s="1"/>
  <c r="E94" i="16"/>
  <c r="F94"/>
  <c r="E95"/>
  <c r="F95"/>
  <c r="E96"/>
  <c r="F96"/>
  <c r="D7" i="15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7" s="1"/>
  <c r="E18"/>
  <c r="F18"/>
  <c r="E19"/>
  <c r="F19"/>
  <c r="C20"/>
  <c r="D20"/>
  <c r="E21"/>
  <c r="F21"/>
  <c r="E22"/>
  <c r="F22"/>
  <c r="E23"/>
  <c r="F23"/>
  <c r="E24"/>
  <c r="F24"/>
  <c r="D26"/>
  <c r="C26"/>
  <c r="E27"/>
  <c r="F27"/>
  <c r="E28"/>
  <c r="F28"/>
  <c r="C29"/>
  <c r="AY25" i="2" s="1"/>
  <c r="D29" i="15"/>
  <c r="AZ25" i="2" s="1"/>
  <c r="E30" i="15"/>
  <c r="F30"/>
  <c r="C31"/>
  <c r="D31"/>
  <c r="E32"/>
  <c r="F32"/>
  <c r="E33"/>
  <c r="F33"/>
  <c r="C37"/>
  <c r="D37"/>
  <c r="E38"/>
  <c r="F38"/>
  <c r="E39"/>
  <c r="F39"/>
  <c r="F42"/>
  <c r="E43"/>
  <c r="F43"/>
  <c r="E44"/>
  <c r="F44"/>
  <c r="E45"/>
  <c r="F45"/>
  <c r="E46"/>
  <c r="F46"/>
  <c r="E47"/>
  <c r="F47"/>
  <c r="E49"/>
  <c r="F49"/>
  <c r="C56"/>
  <c r="E58"/>
  <c r="F58"/>
  <c r="F59"/>
  <c r="E60"/>
  <c r="F60"/>
  <c r="E61"/>
  <c r="F61"/>
  <c r="E62"/>
  <c r="F62"/>
  <c r="E63"/>
  <c r="F63"/>
  <c r="D64"/>
  <c r="E65"/>
  <c r="F65"/>
  <c r="E67"/>
  <c r="F67"/>
  <c r="E68"/>
  <c r="F68"/>
  <c r="E69"/>
  <c r="F69"/>
  <c r="E70"/>
  <c r="F70"/>
  <c r="D72"/>
  <c r="EF25" i="2" s="1"/>
  <c r="E73" i="15"/>
  <c r="F73"/>
  <c r="E74"/>
  <c r="F74"/>
  <c r="F75"/>
  <c r="E76"/>
  <c r="F76"/>
  <c r="D77"/>
  <c r="EI25" i="2" s="1"/>
  <c r="E78" i="15"/>
  <c r="F78"/>
  <c r="E79"/>
  <c r="F79"/>
  <c r="C81"/>
  <c r="EK25" i="2" s="1"/>
  <c r="D81" i="15"/>
  <c r="EL25" i="2" s="1"/>
  <c r="E82" i="15"/>
  <c r="F82"/>
  <c r="C83"/>
  <c r="EN25" i="2" s="1"/>
  <c r="D83" i="15"/>
  <c r="C88"/>
  <c r="EQ25" i="2" s="1"/>
  <c r="E89" i="15"/>
  <c r="F89"/>
  <c r="E90"/>
  <c r="F90"/>
  <c r="E91"/>
  <c r="E92"/>
  <c r="E93"/>
  <c r="C94"/>
  <c r="ET25" i="2" s="1"/>
  <c r="D94" i="15"/>
  <c r="EU25" i="2" s="1"/>
  <c r="E95" i="15"/>
  <c r="F95"/>
  <c r="E96"/>
  <c r="F96"/>
  <c r="E97"/>
  <c r="F97"/>
  <c r="D7" i="14"/>
  <c r="D14"/>
  <c r="D17"/>
  <c r="C5"/>
  <c r="E6"/>
  <c r="F6"/>
  <c r="E8"/>
  <c r="F8"/>
  <c r="E9"/>
  <c r="F9"/>
  <c r="E10"/>
  <c r="F10"/>
  <c r="E11"/>
  <c r="F11"/>
  <c r="C12"/>
  <c r="D12"/>
  <c r="E13"/>
  <c r="F13"/>
  <c r="E16"/>
  <c r="F16"/>
  <c r="E18"/>
  <c r="F18"/>
  <c r="E19"/>
  <c r="F19"/>
  <c r="C20"/>
  <c r="E20" s="1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7"/>
  <c r="E37" s="1"/>
  <c r="E35" s="1"/>
  <c r="E34" s="1"/>
  <c r="E38"/>
  <c r="E36" s="1"/>
  <c r="F38"/>
  <c r="F36" s="1"/>
  <c r="E39"/>
  <c r="F39"/>
  <c r="E42"/>
  <c r="F42"/>
  <c r="F44"/>
  <c r="E45"/>
  <c r="F45"/>
  <c r="E46"/>
  <c r="F46"/>
  <c r="E47"/>
  <c r="F47"/>
  <c r="F48"/>
  <c r="E49"/>
  <c r="F49"/>
  <c r="C56"/>
  <c r="D56"/>
  <c r="E58"/>
  <c r="F58"/>
  <c r="F59"/>
  <c r="E60"/>
  <c r="F60"/>
  <c r="E61"/>
  <c r="F61"/>
  <c r="E62"/>
  <c r="F62"/>
  <c r="E63"/>
  <c r="F63"/>
  <c r="C64"/>
  <c r="D64"/>
  <c r="E65"/>
  <c r="F65"/>
  <c r="EB24" i="2"/>
  <c r="E67" i="14"/>
  <c r="F67"/>
  <c r="E68"/>
  <c r="F68"/>
  <c r="E69"/>
  <c r="F69"/>
  <c r="F70"/>
  <c r="D72"/>
  <c r="EF24" i="2" s="1"/>
  <c r="E73" i="14"/>
  <c r="F73"/>
  <c r="E74"/>
  <c r="F74"/>
  <c r="E75"/>
  <c r="E76"/>
  <c r="F76"/>
  <c r="D77"/>
  <c r="EI24" i="2" s="1"/>
  <c r="E79" i="14"/>
  <c r="F79"/>
  <c r="E80"/>
  <c r="F80"/>
  <c r="EL24" i="2"/>
  <c r="E82" i="14"/>
  <c r="F82"/>
  <c r="C83"/>
  <c r="EN24" i="2" s="1"/>
  <c r="D83" i="14"/>
  <c r="EO24" i="2" s="1"/>
  <c r="E84" i="14"/>
  <c r="F84"/>
  <c r="E85"/>
  <c r="F85"/>
  <c r="E86"/>
  <c r="F86"/>
  <c r="F87"/>
  <c r="C88"/>
  <c r="EQ24" i="2" s="1"/>
  <c r="E89" i="14"/>
  <c r="F89"/>
  <c r="E90"/>
  <c r="F90"/>
  <c r="E91"/>
  <c r="E92"/>
  <c r="E93"/>
  <c r="C94"/>
  <c r="D94"/>
  <c r="EU24" i="2" s="1"/>
  <c r="E95" i="14"/>
  <c r="F95"/>
  <c r="E96"/>
  <c r="F96"/>
  <c r="E97"/>
  <c r="F97"/>
  <c r="D17" i="13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F17" s="1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AY23" i="2" s="1"/>
  <c r="D29" i="13"/>
  <c r="AZ23" i="2" s="1"/>
  <c r="E30" i="13"/>
  <c r="F30"/>
  <c r="D31"/>
  <c r="E32"/>
  <c r="F32"/>
  <c r="E33"/>
  <c r="F33"/>
  <c r="C34"/>
  <c r="BQ23" i="2" s="1"/>
  <c r="D34" i="13"/>
  <c r="E35"/>
  <c r="F35"/>
  <c r="E36"/>
  <c r="F36"/>
  <c r="E39"/>
  <c r="F39"/>
  <c r="F42"/>
  <c r="E43"/>
  <c r="F43"/>
  <c r="E44"/>
  <c r="F44"/>
  <c r="E45"/>
  <c r="F45"/>
  <c r="F46"/>
  <c r="E47"/>
  <c r="F47"/>
  <c r="C54"/>
  <c r="E56"/>
  <c r="F56"/>
  <c r="F57"/>
  <c r="E58"/>
  <c r="F58"/>
  <c r="E59"/>
  <c r="F59"/>
  <c r="E60"/>
  <c r="F60"/>
  <c r="E61"/>
  <c r="F61"/>
  <c r="C62"/>
  <c r="E63"/>
  <c r="F63"/>
  <c r="EB23" i="2"/>
  <c r="D64" i="13"/>
  <c r="EC23" i="2" s="1"/>
  <c r="E65" i="13"/>
  <c r="F65"/>
  <c r="E66"/>
  <c r="F66"/>
  <c r="E67"/>
  <c r="F67"/>
  <c r="E68"/>
  <c r="F68"/>
  <c r="C70"/>
  <c r="E72"/>
  <c r="F72"/>
  <c r="E73"/>
  <c r="F73"/>
  <c r="E74"/>
  <c r="F74"/>
  <c r="E76"/>
  <c r="F76"/>
  <c r="E77"/>
  <c r="F77"/>
  <c r="E78"/>
  <c r="F78"/>
  <c r="E80"/>
  <c r="C81"/>
  <c r="EN23" i="2" s="1"/>
  <c r="D81" i="13"/>
  <c r="E82"/>
  <c r="F82"/>
  <c r="E83"/>
  <c r="F83"/>
  <c r="E84"/>
  <c r="F84"/>
  <c r="F85"/>
  <c r="C86"/>
  <c r="EQ23" i="2" s="1"/>
  <c r="D86" i="13"/>
  <c r="ER23" i="2" s="1"/>
  <c r="E87" i="13"/>
  <c r="F87"/>
  <c r="E88"/>
  <c r="F88"/>
  <c r="E89"/>
  <c r="E90"/>
  <c r="E91"/>
  <c r="C92"/>
  <c r="ET23" i="2" s="1"/>
  <c r="D92" i="13"/>
  <c r="EU23" i="2" s="1"/>
  <c r="E93" i="13"/>
  <c r="F93"/>
  <c r="E94"/>
  <c r="F94"/>
  <c r="E95"/>
  <c r="F95"/>
  <c r="D5" i="12"/>
  <c r="D7"/>
  <c r="D12"/>
  <c r="D14"/>
  <c r="C5"/>
  <c r="E6"/>
  <c r="F6"/>
  <c r="E8"/>
  <c r="F8"/>
  <c r="F9"/>
  <c r="E10"/>
  <c r="F10"/>
  <c r="E11"/>
  <c r="F11"/>
  <c r="C12"/>
  <c r="E13"/>
  <c r="F13"/>
  <c r="E15"/>
  <c r="F15"/>
  <c r="E16"/>
  <c r="F16"/>
  <c r="C17"/>
  <c r="E18"/>
  <c r="F18"/>
  <c r="E19"/>
  <c r="F19"/>
  <c r="E21"/>
  <c r="F21"/>
  <c r="E22"/>
  <c r="F22"/>
  <c r="E23"/>
  <c r="F23"/>
  <c r="E24"/>
  <c r="F24"/>
  <c r="D26"/>
  <c r="C26"/>
  <c r="E27"/>
  <c r="F27"/>
  <c r="E28"/>
  <c r="F28"/>
  <c r="AY22" i="2"/>
  <c r="E30" i="12"/>
  <c r="F30"/>
  <c r="C32"/>
  <c r="D32"/>
  <c r="BF22" i="2" s="1"/>
  <c r="E33" i="12"/>
  <c r="F33"/>
  <c r="E34"/>
  <c r="F34"/>
  <c r="C37"/>
  <c r="BQ22" i="2" s="1"/>
  <c r="E38" i="12"/>
  <c r="F38"/>
  <c r="E39"/>
  <c r="F39"/>
  <c r="E42"/>
  <c r="F42"/>
  <c r="E43"/>
  <c r="F43"/>
  <c r="E44"/>
  <c r="F44"/>
  <c r="E45"/>
  <c r="F45"/>
  <c r="E46"/>
  <c r="F46"/>
  <c r="E47"/>
  <c r="F47"/>
  <c r="E50"/>
  <c r="F50"/>
  <c r="F59"/>
  <c r="E60"/>
  <c r="F60"/>
  <c r="E61"/>
  <c r="F61"/>
  <c r="E62"/>
  <c r="F62"/>
  <c r="E63"/>
  <c r="F63"/>
  <c r="C64"/>
  <c r="E65"/>
  <c r="F65"/>
  <c r="EB22" i="2"/>
  <c r="EC22"/>
  <c r="E67" i="12"/>
  <c r="F67"/>
  <c r="E68"/>
  <c r="F68"/>
  <c r="E69"/>
  <c r="F69"/>
  <c r="E70"/>
  <c r="F70"/>
  <c r="D72"/>
  <c r="EF22" i="2" s="1"/>
  <c r="F73" i="12"/>
  <c r="E74"/>
  <c r="F74"/>
  <c r="F76"/>
  <c r="F77"/>
  <c r="C78"/>
  <c r="EH22" i="2" s="1"/>
  <c r="E79" i="12"/>
  <c r="F79"/>
  <c r="E80"/>
  <c r="F80"/>
  <c r="E81"/>
  <c r="F81"/>
  <c r="E83"/>
  <c r="F83"/>
  <c r="C84"/>
  <c r="EN22" i="2" s="1"/>
  <c r="D84" i="12"/>
  <c r="EO22" i="2" s="1"/>
  <c r="E85" i="12"/>
  <c r="F85"/>
  <c r="E86"/>
  <c r="F86"/>
  <c r="E87"/>
  <c r="F87"/>
  <c r="F88"/>
  <c r="C89"/>
  <c r="D89"/>
  <c r="E90"/>
  <c r="F90"/>
  <c r="E91"/>
  <c r="F91"/>
  <c r="E92"/>
  <c r="E93"/>
  <c r="E94"/>
  <c r="E95"/>
  <c r="F95"/>
  <c r="E96"/>
  <c r="F96"/>
  <c r="E98"/>
  <c r="F98"/>
  <c r="D5" i="11"/>
  <c r="D7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AK21" i="2" s="1"/>
  <c r="E21" i="11"/>
  <c r="F21"/>
  <c r="E22"/>
  <c r="F22"/>
  <c r="E23"/>
  <c r="F23"/>
  <c r="E24"/>
  <c r="F24"/>
  <c r="D36"/>
  <c r="BR21" i="2" s="1"/>
  <c r="E27" i="11"/>
  <c r="F27"/>
  <c r="E28"/>
  <c r="F28"/>
  <c r="C29"/>
  <c r="D29"/>
  <c r="E30"/>
  <c r="F30"/>
  <c r="C31"/>
  <c r="D31"/>
  <c r="E32"/>
  <c r="F32"/>
  <c r="F33"/>
  <c r="C37"/>
  <c r="C36" s="1"/>
  <c r="E38"/>
  <c r="F38"/>
  <c r="E41"/>
  <c r="F41"/>
  <c r="E43"/>
  <c r="F43"/>
  <c r="E44"/>
  <c r="F44"/>
  <c r="E45"/>
  <c r="F45"/>
  <c r="E46"/>
  <c r="F46"/>
  <c r="F47"/>
  <c r="E48"/>
  <c r="F48"/>
  <c r="C56"/>
  <c r="E58"/>
  <c r="F58"/>
  <c r="F59"/>
  <c r="E60"/>
  <c r="F60"/>
  <c r="E61"/>
  <c r="F61"/>
  <c r="E62"/>
  <c r="F62"/>
  <c r="E63"/>
  <c r="F63"/>
  <c r="C64"/>
  <c r="F65"/>
  <c r="EB21" i="2"/>
  <c r="E67" i="11"/>
  <c r="F67"/>
  <c r="E68"/>
  <c r="F68"/>
  <c r="E69"/>
  <c r="F69"/>
  <c r="E70"/>
  <c r="F70"/>
  <c r="D72"/>
  <c r="EF21" i="2" s="1"/>
  <c r="E74" i="11"/>
  <c r="F74"/>
  <c r="E76"/>
  <c r="F76"/>
  <c r="C77"/>
  <c r="EH21" i="2" s="1"/>
  <c r="D77" i="11"/>
  <c r="E80"/>
  <c r="F80"/>
  <c r="F82"/>
  <c r="C83"/>
  <c r="EN21" i="2" s="1"/>
  <c r="D83" i="11"/>
  <c r="E84"/>
  <c r="F84"/>
  <c r="E85"/>
  <c r="F85"/>
  <c r="E86"/>
  <c r="F86"/>
  <c r="F87"/>
  <c r="C88"/>
  <c r="EQ21" i="2" s="1"/>
  <c r="D88" i="11"/>
  <c r="ER21" i="2" s="1"/>
  <c r="E89" i="11"/>
  <c r="F89"/>
  <c r="E90"/>
  <c r="F90"/>
  <c r="E91"/>
  <c r="E92"/>
  <c r="E93"/>
  <c r="C94"/>
  <c r="ET21" i="2" s="1"/>
  <c r="D94" i="11"/>
  <c r="EU21" i="2" s="1"/>
  <c r="E95" i="11"/>
  <c r="F95"/>
  <c r="E96"/>
  <c r="F96"/>
  <c r="E97"/>
  <c r="F97"/>
  <c r="C5" i="10"/>
  <c r="D5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6"/>
  <c r="BQ20" i="2" s="1"/>
  <c r="D36" i="10"/>
  <c r="BR20" i="2" s="1"/>
  <c r="E37" i="10"/>
  <c r="F37"/>
  <c r="E38"/>
  <c r="F38"/>
  <c r="E41"/>
  <c r="E43"/>
  <c r="F43"/>
  <c r="E45"/>
  <c r="F45"/>
  <c r="E46"/>
  <c r="F46"/>
  <c r="E47"/>
  <c r="F47"/>
  <c r="E48"/>
  <c r="F48"/>
  <c r="F49"/>
  <c r="E50"/>
  <c r="F50"/>
  <c r="C56"/>
  <c r="D56"/>
  <c r="E58"/>
  <c r="F58"/>
  <c r="F59"/>
  <c r="E60"/>
  <c r="F60"/>
  <c r="E61"/>
  <c r="F61"/>
  <c r="E62"/>
  <c r="F62"/>
  <c r="E63"/>
  <c r="F63"/>
  <c r="C64"/>
  <c r="E65"/>
  <c r="F65"/>
  <c r="EB20" i="2"/>
  <c r="D66" i="10"/>
  <c r="EC20" i="2" s="1"/>
  <c r="E67" i="10"/>
  <c r="F67"/>
  <c r="E68"/>
  <c r="F68"/>
  <c r="E69"/>
  <c r="F69"/>
  <c r="E70"/>
  <c r="F70"/>
  <c r="D72"/>
  <c r="E73"/>
  <c r="F73"/>
  <c r="E74"/>
  <c r="E75"/>
  <c r="F75"/>
  <c r="E76"/>
  <c r="F76"/>
  <c r="C77"/>
  <c r="EH20" i="2" s="1"/>
  <c r="D77" i="10"/>
  <c r="E78"/>
  <c r="F78"/>
  <c r="E79"/>
  <c r="F79"/>
  <c r="E80"/>
  <c r="F80"/>
  <c r="E81"/>
  <c r="F81"/>
  <c r="C82"/>
  <c r="D82"/>
  <c r="EL20" i="2" s="1"/>
  <c r="E83" i="10"/>
  <c r="F83"/>
  <c r="C84"/>
  <c r="EN20" i="2" s="1"/>
  <c r="D84" i="10"/>
  <c r="EO20" i="2" s="1"/>
  <c r="E85" i="10"/>
  <c r="F85"/>
  <c r="E86"/>
  <c r="F86"/>
  <c r="E87"/>
  <c r="F87"/>
  <c r="F88"/>
  <c r="C89"/>
  <c r="EQ20" i="2" s="1"/>
  <c r="D89" i="10"/>
  <c r="ER20" i="2" s="1"/>
  <c r="E90" i="10"/>
  <c r="F90"/>
  <c r="E91"/>
  <c r="F91"/>
  <c r="E92"/>
  <c r="E93"/>
  <c r="E94"/>
  <c r="C95"/>
  <c r="ET20" i="2" s="1"/>
  <c r="D95" i="10"/>
  <c r="E96"/>
  <c r="F96"/>
  <c r="E97"/>
  <c r="F97"/>
  <c r="E98"/>
  <c r="F98"/>
  <c r="C5" i="9"/>
  <c r="E6"/>
  <c r="F6"/>
  <c r="D7"/>
  <c r="E8"/>
  <c r="F8"/>
  <c r="E9"/>
  <c r="F9"/>
  <c r="E10"/>
  <c r="F10"/>
  <c r="E11"/>
  <c r="F11"/>
  <c r="C12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AS19" i="2" s="1"/>
  <c r="D26" i="9"/>
  <c r="E27"/>
  <c r="F27"/>
  <c r="E28"/>
  <c r="F28"/>
  <c r="C29"/>
  <c r="D29"/>
  <c r="E30"/>
  <c r="F30"/>
  <c r="C31"/>
  <c r="D31"/>
  <c r="E32"/>
  <c r="F32"/>
  <c r="E33"/>
  <c r="F33"/>
  <c r="C36"/>
  <c r="BQ19" i="2" s="1"/>
  <c r="D36" i="9"/>
  <c r="BR19" i="2" s="1"/>
  <c r="E37" i="9"/>
  <c r="F37"/>
  <c r="E38"/>
  <c r="F38"/>
  <c r="E41"/>
  <c r="F41"/>
  <c r="E43"/>
  <c r="F43"/>
  <c r="E45"/>
  <c r="F45"/>
  <c r="E46"/>
  <c r="F46"/>
  <c r="E48"/>
  <c r="F48"/>
  <c r="F49"/>
  <c r="E50"/>
  <c r="F50"/>
  <c r="C57"/>
  <c r="E59"/>
  <c r="F59"/>
  <c r="F60"/>
  <c r="E61"/>
  <c r="F61"/>
  <c r="E62"/>
  <c r="F62"/>
  <c r="E63"/>
  <c r="F63"/>
  <c r="E64"/>
  <c r="F64"/>
  <c r="C65"/>
  <c r="E66"/>
  <c r="F66"/>
  <c r="EB19" i="2"/>
  <c r="E68" i="9"/>
  <c r="F68"/>
  <c r="E69"/>
  <c r="F69"/>
  <c r="E70"/>
  <c r="F70"/>
  <c r="E71"/>
  <c r="F71"/>
  <c r="C73"/>
  <c r="E74"/>
  <c r="F74"/>
  <c r="E75"/>
  <c r="F75"/>
  <c r="E77"/>
  <c r="F77"/>
  <c r="C78"/>
  <c r="D78"/>
  <c r="EI19" i="2" s="1"/>
  <c r="E79" i="9"/>
  <c r="F79"/>
  <c r="E80"/>
  <c r="F80"/>
  <c r="F81"/>
  <c r="E82"/>
  <c r="F82"/>
  <c r="C83"/>
  <c r="EK19" i="2" s="1"/>
  <c r="E84" i="9"/>
  <c r="F84"/>
  <c r="E85"/>
  <c r="F85"/>
  <c r="C86"/>
  <c r="D86"/>
  <c r="C93"/>
  <c r="D93"/>
  <c r="ER19" i="2" s="1"/>
  <c r="E94" i="9"/>
  <c r="F94"/>
  <c r="E95"/>
  <c r="F95"/>
  <c r="E96"/>
  <c r="E97"/>
  <c r="E98"/>
  <c r="C99"/>
  <c r="ET19" i="2" s="1"/>
  <c r="D99" i="9"/>
  <c r="EU19" i="2" s="1"/>
  <c r="E100" i="9"/>
  <c r="F100"/>
  <c r="E101"/>
  <c r="F101"/>
  <c r="E102"/>
  <c r="F102"/>
  <c r="C5" i="8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D26"/>
  <c r="E27"/>
  <c r="F27"/>
  <c r="E28"/>
  <c r="F28"/>
  <c r="C29"/>
  <c r="D29"/>
  <c r="AZ18" i="2" s="1"/>
  <c r="E30" i="8"/>
  <c r="F30"/>
  <c r="C31"/>
  <c r="D31"/>
  <c r="E32"/>
  <c r="F32"/>
  <c r="E33"/>
  <c r="BG18" i="2" s="1"/>
  <c r="F33" i="8"/>
  <c r="BH18" i="2" s="1"/>
  <c r="BH31" s="1"/>
  <c r="D34" i="8"/>
  <c r="BO18" i="2" s="1"/>
  <c r="E35" i="8"/>
  <c r="F35"/>
  <c r="C36"/>
  <c r="F37"/>
  <c r="F38"/>
  <c r="E41"/>
  <c r="F41"/>
  <c r="E43"/>
  <c r="F43"/>
  <c r="E45"/>
  <c r="F45"/>
  <c r="E46"/>
  <c r="F46"/>
  <c r="C56"/>
  <c r="D56"/>
  <c r="E58"/>
  <c r="F58"/>
  <c r="F59"/>
  <c r="E60"/>
  <c r="F60"/>
  <c r="E61"/>
  <c r="F61"/>
  <c r="E62"/>
  <c r="F62"/>
  <c r="E63"/>
  <c r="F63"/>
  <c r="C64"/>
  <c r="DY18" i="2" s="1"/>
  <c r="D64" i="8"/>
  <c r="DZ18" i="2" s="1"/>
  <c r="E65" i="8"/>
  <c r="F65"/>
  <c r="E67"/>
  <c r="F67"/>
  <c r="E68"/>
  <c r="F68"/>
  <c r="E69"/>
  <c r="F69"/>
  <c r="E70"/>
  <c r="F70"/>
  <c r="D72"/>
  <c r="EF18" i="2" s="1"/>
  <c r="E73" i="8"/>
  <c r="F73"/>
  <c r="F74"/>
  <c r="E75"/>
  <c r="F75"/>
  <c r="E76"/>
  <c r="F76"/>
  <c r="D77"/>
  <c r="EI18" i="2" s="1"/>
  <c r="E78" i="8"/>
  <c r="F78"/>
  <c r="E79"/>
  <c r="F79"/>
  <c r="E82"/>
  <c r="F82"/>
  <c r="C84"/>
  <c r="EN18" i="2" s="1"/>
  <c r="D84" i="8"/>
  <c r="E85"/>
  <c r="F85"/>
  <c r="E86"/>
  <c r="F86"/>
  <c r="E87"/>
  <c r="F87"/>
  <c r="F88"/>
  <c r="C89"/>
  <c r="EQ18" i="2" s="1"/>
  <c r="D89" i="8"/>
  <c r="ER18" i="2" s="1"/>
  <c r="E90" i="8"/>
  <c r="F90"/>
  <c r="E91"/>
  <c r="F91"/>
  <c r="E92"/>
  <c r="E93"/>
  <c r="E94"/>
  <c r="C95"/>
  <c r="ET18" i="2" s="1"/>
  <c r="E96" i="8"/>
  <c r="F96"/>
  <c r="E97"/>
  <c r="F97"/>
  <c r="C5" i="7"/>
  <c r="D5"/>
  <c r="E6"/>
  <c r="F6"/>
  <c r="E8"/>
  <c r="F8"/>
  <c r="E9"/>
  <c r="F9"/>
  <c r="E10"/>
  <c r="F10"/>
  <c r="E11"/>
  <c r="F11"/>
  <c r="C12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E32"/>
  <c r="F32"/>
  <c r="E33"/>
  <c r="F33"/>
  <c r="C37"/>
  <c r="C36" s="1"/>
  <c r="E38"/>
  <c r="F38"/>
  <c r="E41"/>
  <c r="F41"/>
  <c r="E43"/>
  <c r="F43"/>
  <c r="E45"/>
  <c r="F45"/>
  <c r="E46"/>
  <c r="F46"/>
  <c r="E47"/>
  <c r="F47"/>
  <c r="F48"/>
  <c r="E49"/>
  <c r="F49"/>
  <c r="E57"/>
  <c r="F57"/>
  <c r="F58"/>
  <c r="E59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2"/>
  <c r="F72"/>
  <c r="E74"/>
  <c r="F74"/>
  <c r="E75"/>
  <c r="F75"/>
  <c r="E77"/>
  <c r="F77"/>
  <c r="E78"/>
  <c r="F78"/>
  <c r="E79"/>
  <c r="C80"/>
  <c r="E81"/>
  <c r="F81"/>
  <c r="C82"/>
  <c r="E83"/>
  <c r="F83"/>
  <c r="E84"/>
  <c r="F84"/>
  <c r="E85"/>
  <c r="F85"/>
  <c r="F86"/>
  <c r="C87"/>
  <c r="EQ17" i="2" s="1"/>
  <c r="E88" i="7"/>
  <c r="F88"/>
  <c r="E89"/>
  <c r="F89"/>
  <c r="E90"/>
  <c r="E91"/>
  <c r="E92"/>
  <c r="C93"/>
  <c r="ET17" i="2" s="1"/>
  <c r="D93" i="7"/>
  <c r="E94"/>
  <c r="F94"/>
  <c r="E95"/>
  <c r="F95"/>
  <c r="E96"/>
  <c r="F96"/>
  <c r="C5" i="6"/>
  <c r="E6"/>
  <c r="F6"/>
  <c r="D7"/>
  <c r="E8"/>
  <c r="F8"/>
  <c r="E9"/>
  <c r="F9"/>
  <c r="E10"/>
  <c r="F10"/>
  <c r="E11"/>
  <c r="F11"/>
  <c r="C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E27"/>
  <c r="F27"/>
  <c r="E28"/>
  <c r="F28"/>
  <c r="E29"/>
  <c r="F29"/>
  <c r="C30"/>
  <c r="AY16" i="2" s="1"/>
  <c r="D30" i="6"/>
  <c r="AZ16" i="2" s="1"/>
  <c r="BA16" s="1"/>
  <c r="E31" i="6"/>
  <c r="F31"/>
  <c r="D32"/>
  <c r="E33"/>
  <c r="F33"/>
  <c r="E34"/>
  <c r="F34"/>
  <c r="C35"/>
  <c r="D35"/>
  <c r="E36"/>
  <c r="F36"/>
  <c r="D37"/>
  <c r="BR16" i="2" s="1"/>
  <c r="C37" i="6"/>
  <c r="E38"/>
  <c r="E39"/>
  <c r="F39"/>
  <c r="F41"/>
  <c r="E42"/>
  <c r="F42"/>
  <c r="E43"/>
  <c r="F43"/>
  <c r="E44"/>
  <c r="F44"/>
  <c r="E47"/>
  <c r="F47"/>
  <c r="E48"/>
  <c r="F48"/>
  <c r="F49"/>
  <c r="E50"/>
  <c r="F50"/>
  <c r="C57"/>
  <c r="D57"/>
  <c r="E59"/>
  <c r="F59"/>
  <c r="F60"/>
  <c r="E61"/>
  <c r="F61"/>
  <c r="E62"/>
  <c r="F62"/>
  <c r="E63"/>
  <c r="F63"/>
  <c r="E64"/>
  <c r="F64"/>
  <c r="C65"/>
  <c r="E66"/>
  <c r="F66"/>
  <c r="EB16" i="2"/>
  <c r="E68" i="6"/>
  <c r="F68"/>
  <c r="E69"/>
  <c r="F69"/>
  <c r="E70"/>
  <c r="F70"/>
  <c r="E71"/>
  <c r="F71"/>
  <c r="D73"/>
  <c r="EF16" i="2" s="1"/>
  <c r="E74" i="6"/>
  <c r="F74"/>
  <c r="E75"/>
  <c r="F75"/>
  <c r="E77"/>
  <c r="F77"/>
  <c r="C80"/>
  <c r="D80"/>
  <c r="EI16" i="2" s="1"/>
  <c r="E81" i="6"/>
  <c r="F81"/>
  <c r="E82"/>
  <c r="F82"/>
  <c r="E83"/>
  <c r="F83"/>
  <c r="C84"/>
  <c r="EK16" i="2" s="1"/>
  <c r="D84" i="6"/>
  <c r="EL16" i="2" s="1"/>
  <c r="E85" i="6"/>
  <c r="F85"/>
  <c r="C86"/>
  <c r="EN16" i="2" s="1"/>
  <c r="D86" i="6"/>
  <c r="EO16" i="2" s="1"/>
  <c r="E87" i="6"/>
  <c r="F87"/>
  <c r="E88"/>
  <c r="F88"/>
  <c r="E89"/>
  <c r="F89"/>
  <c r="F90"/>
  <c r="C91"/>
  <c r="EQ16" i="2" s="1"/>
  <c r="D91" i="6"/>
  <c r="ER16" i="2" s="1"/>
  <c r="E92" i="6"/>
  <c r="F92"/>
  <c r="E93"/>
  <c r="F93"/>
  <c r="E94"/>
  <c r="E95"/>
  <c r="E96"/>
  <c r="C97"/>
  <c r="D97"/>
  <c r="EU16" i="2" s="1"/>
  <c r="E98" i="6"/>
  <c r="F98"/>
  <c r="E99"/>
  <c r="F99"/>
  <c r="E100"/>
  <c r="F100"/>
  <c r="E6" i="5"/>
  <c r="F6"/>
  <c r="E8"/>
  <c r="F8"/>
  <c r="E9"/>
  <c r="F9"/>
  <c r="E10"/>
  <c r="F10"/>
  <c r="E11"/>
  <c r="F11"/>
  <c r="C12"/>
  <c r="E13"/>
  <c r="F13"/>
  <c r="C14"/>
  <c r="D14"/>
  <c r="F15"/>
  <c r="F16"/>
  <c r="C17"/>
  <c r="E18"/>
  <c r="F18"/>
  <c r="E19"/>
  <c r="F19"/>
  <c r="C20"/>
  <c r="D20"/>
  <c r="E21"/>
  <c r="F21"/>
  <c r="E22"/>
  <c r="F22"/>
  <c r="E23"/>
  <c r="F23"/>
  <c r="E24"/>
  <c r="F24"/>
  <c r="E27"/>
  <c r="F27"/>
  <c r="F29"/>
  <c r="C30"/>
  <c r="D30"/>
  <c r="F31"/>
  <c r="C32"/>
  <c r="BE15" i="2" s="1"/>
  <c r="E33" i="5"/>
  <c r="E34"/>
  <c r="F34"/>
  <c r="C35"/>
  <c r="BK15" i="2" s="1"/>
  <c r="D35" i="5"/>
  <c r="BL15" i="2" s="1"/>
  <c r="E36" i="5"/>
  <c r="F36"/>
  <c r="C37"/>
  <c r="BQ15" i="2" s="1"/>
  <c r="D37" i="5"/>
  <c r="E38"/>
  <c r="F38"/>
  <c r="E39"/>
  <c r="F39"/>
  <c r="E42"/>
  <c r="F42"/>
  <c r="E43"/>
  <c r="F43"/>
  <c r="E44"/>
  <c r="F44"/>
  <c r="E46"/>
  <c r="F46"/>
  <c r="E49"/>
  <c r="F49"/>
  <c r="F50"/>
  <c r="E51"/>
  <c r="F51"/>
  <c r="C57"/>
  <c r="D57"/>
  <c r="E59"/>
  <c r="F59"/>
  <c r="F60"/>
  <c r="F61"/>
  <c r="F62"/>
  <c r="E63"/>
  <c r="F63"/>
  <c r="E64"/>
  <c r="F64"/>
  <c r="E66"/>
  <c r="F66"/>
  <c r="F67"/>
  <c r="E68"/>
  <c r="F68"/>
  <c r="E69"/>
  <c r="F69"/>
  <c r="E70"/>
  <c r="F70"/>
  <c r="E72"/>
  <c r="F72"/>
  <c r="D73"/>
  <c r="EF15" i="2" s="1"/>
  <c r="E74" i="5"/>
  <c r="F74"/>
  <c r="E75"/>
  <c r="F75"/>
  <c r="E76"/>
  <c r="E77"/>
  <c r="F77"/>
  <c r="C78"/>
  <c r="D78"/>
  <c r="EI15" i="2" s="1"/>
  <c r="E79" i="5"/>
  <c r="F79"/>
  <c r="E80"/>
  <c r="F80"/>
  <c r="E81"/>
  <c r="E82"/>
  <c r="F82"/>
  <c r="C83"/>
  <c r="EK15" i="2" s="1"/>
  <c r="D83" i="5"/>
  <c r="E84"/>
  <c r="F84"/>
  <c r="E85"/>
  <c r="F85"/>
  <c r="C86"/>
  <c r="EN15" i="2" s="1"/>
  <c r="D86" i="5"/>
  <c r="EO15" i="2" s="1"/>
  <c r="E87" i="5"/>
  <c r="F87"/>
  <c r="E88"/>
  <c r="F88"/>
  <c r="E89"/>
  <c r="F89"/>
  <c r="E90"/>
  <c r="F90"/>
  <c r="C91"/>
  <c r="EQ15" i="2" s="1"/>
  <c r="D91" i="5"/>
  <c r="ER15" i="2" s="1"/>
  <c r="E92" i="5"/>
  <c r="F92"/>
  <c r="E93"/>
  <c r="F93"/>
  <c r="E94"/>
  <c r="E95"/>
  <c r="E96"/>
  <c r="E97"/>
  <c r="F97"/>
  <c r="E98"/>
  <c r="F98"/>
  <c r="E99"/>
  <c r="F99"/>
  <c r="E100"/>
  <c r="F100"/>
  <c r="C5" i="4"/>
  <c r="D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D17"/>
  <c r="E18"/>
  <c r="F18"/>
  <c r="E19"/>
  <c r="F19"/>
  <c r="D20"/>
  <c r="E21"/>
  <c r="F21"/>
  <c r="E22"/>
  <c r="F22"/>
  <c r="E23"/>
  <c r="F23"/>
  <c r="E24"/>
  <c r="F24"/>
  <c r="C26"/>
  <c r="E27"/>
  <c r="F27"/>
  <c r="E28"/>
  <c r="F28"/>
  <c r="C29"/>
  <c r="AY14" i="2" s="1"/>
  <c r="D29" i="4"/>
  <c r="AZ14" i="2" s="1"/>
  <c r="E30" i="4"/>
  <c r="F30"/>
  <c r="D31"/>
  <c r="E32"/>
  <c r="F32"/>
  <c r="E33"/>
  <c r="F33"/>
  <c r="D34"/>
  <c r="E34" s="1"/>
  <c r="E35"/>
  <c r="F35"/>
  <c r="E36"/>
  <c r="F36"/>
  <c r="E39"/>
  <c r="E40"/>
  <c r="F40"/>
  <c r="E41"/>
  <c r="F41"/>
  <c r="E42"/>
  <c r="F42"/>
  <c r="E43"/>
  <c r="F43"/>
  <c r="E44"/>
  <c r="F44"/>
  <c r="F45"/>
  <c r="E46"/>
  <c r="F46"/>
  <c r="E54"/>
  <c r="F54"/>
  <c r="F55"/>
  <c r="E56"/>
  <c r="F56"/>
  <c r="E57"/>
  <c r="F57"/>
  <c r="E58"/>
  <c r="F58"/>
  <c r="E59"/>
  <c r="F59"/>
  <c r="E61"/>
  <c r="F61"/>
  <c r="E63"/>
  <c r="F63"/>
  <c r="E64"/>
  <c r="F64"/>
  <c r="E65"/>
  <c r="F65"/>
  <c r="E66"/>
  <c r="F66"/>
  <c r="E69"/>
  <c r="F69"/>
  <c r="E70"/>
  <c r="F70"/>
  <c r="E71"/>
  <c r="F71"/>
  <c r="E72"/>
  <c r="F72"/>
  <c r="E74"/>
  <c r="F74"/>
  <c r="E75"/>
  <c r="F75"/>
  <c r="E76"/>
  <c r="F76"/>
  <c r="E78"/>
  <c r="F78"/>
  <c r="E79"/>
  <c r="F79"/>
  <c r="E80"/>
  <c r="F80"/>
  <c r="E81"/>
  <c r="F81"/>
  <c r="E82"/>
  <c r="F82"/>
  <c r="F83"/>
  <c r="F85"/>
  <c r="E86"/>
  <c r="F86"/>
  <c r="E87"/>
  <c r="E88"/>
  <c r="E89"/>
  <c r="D90"/>
  <c r="E90" s="1"/>
  <c r="E91"/>
  <c r="F91"/>
  <c r="E92"/>
  <c r="F92"/>
  <c r="E93"/>
  <c r="F93"/>
  <c r="F9" i="1"/>
  <c r="F11"/>
  <c r="C11" s="1"/>
  <c r="F12"/>
  <c r="F13"/>
  <c r="F16"/>
  <c r="C16" s="1"/>
  <c r="F17"/>
  <c r="G17"/>
  <c r="F18"/>
  <c r="G19"/>
  <c r="D19" s="1"/>
  <c r="F34"/>
  <c r="C34" s="1"/>
  <c r="F39"/>
  <c r="C39" s="1"/>
  <c r="F40"/>
  <c r="C40" s="1"/>
  <c r="G40"/>
  <c r="D40" s="1"/>
  <c r="L14" i="2"/>
  <c r="M14"/>
  <c r="O14"/>
  <c r="P14"/>
  <c r="R14"/>
  <c r="S14"/>
  <c r="U14"/>
  <c r="V14"/>
  <c r="X14"/>
  <c r="AA14"/>
  <c r="AB14"/>
  <c r="AD14"/>
  <c r="AG14"/>
  <c r="AH14"/>
  <c r="AL14"/>
  <c r="AO14"/>
  <c r="AT14"/>
  <c r="AX14"/>
  <c r="BB14"/>
  <c r="BC14"/>
  <c r="BC31" s="1"/>
  <c r="BJ14"/>
  <c r="BP14"/>
  <c r="BV14"/>
  <c r="BV31" s="1"/>
  <c r="BV34" s="1"/>
  <c r="BV35" s="1"/>
  <c r="BY14"/>
  <c r="BY31" s="1"/>
  <c r="CC14"/>
  <c r="CF14"/>
  <c r="CG14"/>
  <c r="CJ14"/>
  <c r="CL14"/>
  <c r="CM14"/>
  <c r="CZ14"/>
  <c r="DM14"/>
  <c r="DS14"/>
  <c r="DT14"/>
  <c r="DV14"/>
  <c r="DW14"/>
  <c r="DY14"/>
  <c r="DZ14"/>
  <c r="EN14"/>
  <c r="EO14"/>
  <c r="ET14"/>
  <c r="I15"/>
  <c r="L15"/>
  <c r="M15"/>
  <c r="O15"/>
  <c r="P15"/>
  <c r="R15"/>
  <c r="S15"/>
  <c r="U15"/>
  <c r="V15"/>
  <c r="X15"/>
  <c r="AA15"/>
  <c r="AB15"/>
  <c r="AD15"/>
  <c r="AE15"/>
  <c r="AG15"/>
  <c r="AH15"/>
  <c r="AL15"/>
  <c r="AM15"/>
  <c r="AN15"/>
  <c r="AT15"/>
  <c r="AX15"/>
  <c r="BJ15"/>
  <c r="BV15"/>
  <c r="BY15"/>
  <c r="CC15"/>
  <c r="CD15"/>
  <c r="CF15"/>
  <c r="CG15"/>
  <c r="CJ15"/>
  <c r="CL15"/>
  <c r="CM15"/>
  <c r="CO15"/>
  <c r="CP15"/>
  <c r="CZ15"/>
  <c r="DM15"/>
  <c r="DP15"/>
  <c r="DQ15"/>
  <c r="DS15"/>
  <c r="DT15"/>
  <c r="DV15"/>
  <c r="DW15"/>
  <c r="DY15"/>
  <c r="DZ15"/>
  <c r="EC15"/>
  <c r="ET15"/>
  <c r="EU15"/>
  <c r="I16"/>
  <c r="L16"/>
  <c r="M16"/>
  <c r="O16"/>
  <c r="P16"/>
  <c r="R16"/>
  <c r="S16"/>
  <c r="U16"/>
  <c r="V16"/>
  <c r="X16"/>
  <c r="AA16"/>
  <c r="AB16"/>
  <c r="AD16"/>
  <c r="AE16"/>
  <c r="AG16"/>
  <c r="AH16"/>
  <c r="AL16"/>
  <c r="AM16"/>
  <c r="AN16"/>
  <c r="AP16"/>
  <c r="AT16"/>
  <c r="AX16"/>
  <c r="BE16"/>
  <c r="BF16"/>
  <c r="BJ16"/>
  <c r="BV16"/>
  <c r="BY16"/>
  <c r="CC16"/>
  <c r="CD16"/>
  <c r="CF16"/>
  <c r="CG16"/>
  <c r="CJ16"/>
  <c r="CL16"/>
  <c r="CM16"/>
  <c r="CT16"/>
  <c r="CZ16"/>
  <c r="DM16"/>
  <c r="DP16"/>
  <c r="DS16"/>
  <c r="DT16"/>
  <c r="DW16"/>
  <c r="DY16"/>
  <c r="DZ16"/>
  <c r="I17"/>
  <c r="L17"/>
  <c r="M17"/>
  <c r="O17"/>
  <c r="P17"/>
  <c r="R17"/>
  <c r="S17"/>
  <c r="U17"/>
  <c r="V17"/>
  <c r="X17"/>
  <c r="AA17"/>
  <c r="AB17"/>
  <c r="AD17"/>
  <c r="AE17"/>
  <c r="AG17"/>
  <c r="AH17"/>
  <c r="AL17"/>
  <c r="AO17"/>
  <c r="AT17"/>
  <c r="AX17"/>
  <c r="BE17"/>
  <c r="BF17"/>
  <c r="BJ17"/>
  <c r="BV17"/>
  <c r="BY17"/>
  <c r="CC17"/>
  <c r="CF17"/>
  <c r="CG17"/>
  <c r="CJ17"/>
  <c r="CL17"/>
  <c r="CM17"/>
  <c r="CT17"/>
  <c r="CZ17"/>
  <c r="DM17"/>
  <c r="DS17"/>
  <c r="DT17"/>
  <c r="DV17"/>
  <c r="DW17"/>
  <c r="DY17"/>
  <c r="DZ17"/>
  <c r="I18"/>
  <c r="L18"/>
  <c r="M18"/>
  <c r="O18"/>
  <c r="P18"/>
  <c r="R18"/>
  <c r="S18"/>
  <c r="U18"/>
  <c r="V18"/>
  <c r="X18"/>
  <c r="AA18"/>
  <c r="AB18"/>
  <c r="AD18"/>
  <c r="AE18"/>
  <c r="AG18"/>
  <c r="AH18"/>
  <c r="AJ18"/>
  <c r="AK18"/>
  <c r="AO18"/>
  <c r="AX18"/>
  <c r="BE18"/>
  <c r="BV18"/>
  <c r="BY18"/>
  <c r="CC18"/>
  <c r="CD18"/>
  <c r="CF18"/>
  <c r="CG18"/>
  <c r="CJ18"/>
  <c r="CM18"/>
  <c r="CO18"/>
  <c r="CP18"/>
  <c r="CZ18"/>
  <c r="DM18"/>
  <c r="DP18"/>
  <c r="DS18"/>
  <c r="DT18"/>
  <c r="DV18"/>
  <c r="DW18"/>
  <c r="I19"/>
  <c r="L19"/>
  <c r="M19"/>
  <c r="O19"/>
  <c r="P19"/>
  <c r="R19"/>
  <c r="S19"/>
  <c r="U19"/>
  <c r="V19"/>
  <c r="X19"/>
  <c r="AA19"/>
  <c r="AB19"/>
  <c r="AD19"/>
  <c r="AE19"/>
  <c r="AG19"/>
  <c r="AH19"/>
  <c r="AL19"/>
  <c r="AM19"/>
  <c r="AN19"/>
  <c r="AX19"/>
  <c r="BE19"/>
  <c r="BF19"/>
  <c r="BJ19"/>
  <c r="BV19"/>
  <c r="BY19"/>
  <c r="CD19"/>
  <c r="CF19"/>
  <c r="CG19"/>
  <c r="CJ19"/>
  <c r="CL19"/>
  <c r="CM19"/>
  <c r="CP19"/>
  <c r="CZ19"/>
  <c r="DM19"/>
  <c r="DP19"/>
  <c r="DQ19"/>
  <c r="DS19"/>
  <c r="DT19"/>
  <c r="DV19"/>
  <c r="DW19"/>
  <c r="DY19"/>
  <c r="DZ19"/>
  <c r="I20"/>
  <c r="L20"/>
  <c r="M20"/>
  <c r="O20"/>
  <c r="P20"/>
  <c r="R20"/>
  <c r="S20"/>
  <c r="U20"/>
  <c r="V20"/>
  <c r="X20"/>
  <c r="AA20"/>
  <c r="AB20"/>
  <c r="AD20"/>
  <c r="AE20"/>
  <c r="AG20"/>
  <c r="AH20"/>
  <c r="AL20"/>
  <c r="AO20"/>
  <c r="AT20"/>
  <c r="AX20"/>
  <c r="BE20"/>
  <c r="BF20"/>
  <c r="BJ20"/>
  <c r="BV20"/>
  <c r="BY20"/>
  <c r="CD20"/>
  <c r="CF20"/>
  <c r="CG20"/>
  <c r="CJ20"/>
  <c r="CL20"/>
  <c r="CM20"/>
  <c r="CP20"/>
  <c r="CR20"/>
  <c r="CS20"/>
  <c r="CZ20"/>
  <c r="DM20"/>
  <c r="DP20"/>
  <c r="DS20"/>
  <c r="DT20"/>
  <c r="DV20"/>
  <c r="DW20"/>
  <c r="DY20"/>
  <c r="DZ20"/>
  <c r="I21"/>
  <c r="M21"/>
  <c r="P21"/>
  <c r="S21"/>
  <c r="V21"/>
  <c r="AB21"/>
  <c r="AE21"/>
  <c r="AH21"/>
  <c r="AT21"/>
  <c r="L21"/>
  <c r="O21"/>
  <c r="R21"/>
  <c r="U21"/>
  <c r="X21"/>
  <c r="AA21"/>
  <c r="AD21"/>
  <c r="AG21"/>
  <c r="AJ21"/>
  <c r="AO21"/>
  <c r="AX21"/>
  <c r="BE21"/>
  <c r="BF21"/>
  <c r="BJ21"/>
  <c r="BV21"/>
  <c r="BY21"/>
  <c r="CC21"/>
  <c r="CD21"/>
  <c r="CJ21"/>
  <c r="CM21"/>
  <c r="CF21"/>
  <c r="CG21"/>
  <c r="CL21"/>
  <c r="CZ21"/>
  <c r="DM21"/>
  <c r="DP21"/>
  <c r="DS21"/>
  <c r="DT21"/>
  <c r="DV21"/>
  <c r="DW21"/>
  <c r="DY21"/>
  <c r="DZ21"/>
  <c r="I22"/>
  <c r="M22"/>
  <c r="P22"/>
  <c r="S22"/>
  <c r="V22"/>
  <c r="AB22"/>
  <c r="AE22"/>
  <c r="AH22"/>
  <c r="AT22"/>
  <c r="L22"/>
  <c r="O22"/>
  <c r="R22"/>
  <c r="U22"/>
  <c r="X22"/>
  <c r="AA22"/>
  <c r="AD22"/>
  <c r="AG22"/>
  <c r="AX22"/>
  <c r="BJ22"/>
  <c r="BV22"/>
  <c r="BY22"/>
  <c r="CC22"/>
  <c r="CD22"/>
  <c r="CM22"/>
  <c r="CF22"/>
  <c r="CG22"/>
  <c r="CJ22"/>
  <c r="CL22"/>
  <c r="CZ22"/>
  <c r="DP22"/>
  <c r="DS22"/>
  <c r="DT22"/>
  <c r="DV22"/>
  <c r="DW22"/>
  <c r="DY22"/>
  <c r="ET22"/>
  <c r="EU22"/>
  <c r="M23"/>
  <c r="P23"/>
  <c r="S23"/>
  <c r="V23"/>
  <c r="AB23"/>
  <c r="AE23"/>
  <c r="AH23"/>
  <c r="CD23"/>
  <c r="CJ23"/>
  <c r="CM23"/>
  <c r="O23"/>
  <c r="R23"/>
  <c r="U23"/>
  <c r="X23"/>
  <c r="AA23"/>
  <c r="AG23"/>
  <c r="AL23"/>
  <c r="AO23"/>
  <c r="AT23"/>
  <c r="AX23"/>
  <c r="BE23"/>
  <c r="BF23"/>
  <c r="BJ23"/>
  <c r="BV23"/>
  <c r="BY23"/>
  <c r="CC23"/>
  <c r="CL23"/>
  <c r="CT23"/>
  <c r="CZ23"/>
  <c r="DM23"/>
  <c r="DP23"/>
  <c r="DQ23"/>
  <c r="DS23"/>
  <c r="DT23"/>
  <c r="DV23"/>
  <c r="DW23"/>
  <c r="DY23"/>
  <c r="DZ23"/>
  <c r="M24"/>
  <c r="P24"/>
  <c r="S24"/>
  <c r="V24"/>
  <c r="AB24"/>
  <c r="AE24"/>
  <c r="AH24"/>
  <c r="CD24"/>
  <c r="CJ24"/>
  <c r="CM24"/>
  <c r="L24"/>
  <c r="O24"/>
  <c r="R24"/>
  <c r="U24"/>
  <c r="X24"/>
  <c r="AG24"/>
  <c r="AJ24"/>
  <c r="AO24"/>
  <c r="AT24"/>
  <c r="AX24"/>
  <c r="BE24"/>
  <c r="BF24"/>
  <c r="BJ24"/>
  <c r="BV24"/>
  <c r="BY24"/>
  <c r="CC24"/>
  <c r="CF24"/>
  <c r="CG24"/>
  <c r="CL24"/>
  <c r="CZ24"/>
  <c r="DM24"/>
  <c r="DP24"/>
  <c r="DS24"/>
  <c r="DT24"/>
  <c r="DV24"/>
  <c r="DW24"/>
  <c r="DY24"/>
  <c r="DZ24"/>
  <c r="M25"/>
  <c r="S25"/>
  <c r="V25"/>
  <c r="AB25"/>
  <c r="AE25"/>
  <c r="AH25"/>
  <c r="AO25"/>
  <c r="AT25"/>
  <c r="CD25"/>
  <c r="CJ25"/>
  <c r="CM25"/>
  <c r="I25"/>
  <c r="L25"/>
  <c r="O25"/>
  <c r="R25"/>
  <c r="U25"/>
  <c r="X25"/>
  <c r="AA25"/>
  <c r="AD25"/>
  <c r="AG25"/>
  <c r="AL25"/>
  <c r="AX25"/>
  <c r="BE25"/>
  <c r="BF25"/>
  <c r="BJ25"/>
  <c r="BV25"/>
  <c r="BY25"/>
  <c r="CC25"/>
  <c r="CF25"/>
  <c r="CG25"/>
  <c r="CL25"/>
  <c r="CO25"/>
  <c r="CZ25"/>
  <c r="DM25"/>
  <c r="DP25"/>
  <c r="DQ25"/>
  <c r="DS25"/>
  <c r="DT25"/>
  <c r="DV25"/>
  <c r="DW25"/>
  <c r="DY25"/>
  <c r="DZ25"/>
  <c r="M26"/>
  <c r="P26"/>
  <c r="S26"/>
  <c r="V26"/>
  <c r="AB26"/>
  <c r="AE26"/>
  <c r="AH26"/>
  <c r="AT26"/>
  <c r="CD26"/>
  <c r="CM26"/>
  <c r="I26"/>
  <c r="L26"/>
  <c r="O26"/>
  <c r="R26"/>
  <c r="U26"/>
  <c r="X26"/>
  <c r="AA26"/>
  <c r="AD26"/>
  <c r="AG26"/>
  <c r="AL26"/>
  <c r="AX26"/>
  <c r="BE26"/>
  <c r="BJ26"/>
  <c r="BV26"/>
  <c r="BY26"/>
  <c r="CF26"/>
  <c r="CG26"/>
  <c r="CJ26"/>
  <c r="CL26"/>
  <c r="CZ26"/>
  <c r="DM26"/>
  <c r="DP26"/>
  <c r="DQ26"/>
  <c r="DS26"/>
  <c r="DT26"/>
  <c r="DV26"/>
  <c r="DW26"/>
  <c r="DY26"/>
  <c r="DZ26"/>
  <c r="M27"/>
  <c r="P27"/>
  <c r="S27"/>
  <c r="V27"/>
  <c r="AB27"/>
  <c r="AE27"/>
  <c r="AH27"/>
  <c r="AT27"/>
  <c r="CD27"/>
  <c r="CM27"/>
  <c r="I27"/>
  <c r="L27"/>
  <c r="O27"/>
  <c r="R27"/>
  <c r="U27"/>
  <c r="X27"/>
  <c r="AA27"/>
  <c r="AD27"/>
  <c r="AG27"/>
  <c r="AL27"/>
  <c r="AX27"/>
  <c r="BJ27"/>
  <c r="BP27"/>
  <c r="BV27"/>
  <c r="BY27"/>
  <c r="CC27"/>
  <c r="CJ27"/>
  <c r="CL27"/>
  <c r="CZ27"/>
  <c r="DM27"/>
  <c r="DP27"/>
  <c r="DQ27"/>
  <c r="DS27"/>
  <c r="DT27"/>
  <c r="DV27"/>
  <c r="DW27"/>
  <c r="DY27"/>
  <c r="DZ27"/>
  <c r="M28"/>
  <c r="P28"/>
  <c r="S28"/>
  <c r="V28"/>
  <c r="AE28"/>
  <c r="AH28"/>
  <c r="CD28"/>
  <c r="CM28"/>
  <c r="I28"/>
  <c r="L28"/>
  <c r="O28"/>
  <c r="R28"/>
  <c r="U28"/>
  <c r="X28"/>
  <c r="AA28"/>
  <c r="AD28"/>
  <c r="AG28"/>
  <c r="AL28"/>
  <c r="AO28"/>
  <c r="AX28"/>
  <c r="BG28"/>
  <c r="BJ28"/>
  <c r="BV28"/>
  <c r="BY28"/>
  <c r="CC28"/>
  <c r="CF28"/>
  <c r="CG28"/>
  <c r="CJ28"/>
  <c r="CL28"/>
  <c r="CZ28"/>
  <c r="DB28"/>
  <c r="DC28" s="1"/>
  <c r="DM28"/>
  <c r="DP28"/>
  <c r="DQ28"/>
  <c r="DS28"/>
  <c r="DT28"/>
  <c r="DV28"/>
  <c r="DW28"/>
  <c r="DY28"/>
  <c r="M29"/>
  <c r="P29"/>
  <c r="S29"/>
  <c r="V29"/>
  <c r="AB29"/>
  <c r="AE29"/>
  <c r="AH29"/>
  <c r="CD29"/>
  <c r="CJ29"/>
  <c r="CM29"/>
  <c r="L29"/>
  <c r="O29"/>
  <c r="R29"/>
  <c r="U29"/>
  <c r="X29"/>
  <c r="AA29"/>
  <c r="AD29"/>
  <c r="AG29"/>
  <c r="AL29"/>
  <c r="AX29"/>
  <c r="BA29"/>
  <c r="BE29"/>
  <c r="BJ29"/>
  <c r="BP29"/>
  <c r="BV29"/>
  <c r="BY29"/>
  <c r="CC29"/>
  <c r="CF29"/>
  <c r="CG29"/>
  <c r="CL29"/>
  <c r="CT29"/>
  <c r="CZ29"/>
  <c r="DM29"/>
  <c r="DP29"/>
  <c r="DS29"/>
  <c r="DT29"/>
  <c r="DV29"/>
  <c r="DW29"/>
  <c r="EK29"/>
  <c r="BA30"/>
  <c r="AV31"/>
  <c r="AV34" s="1"/>
  <c r="AV35" s="1"/>
  <c r="AW31"/>
  <c r="AW33" s="1"/>
  <c r="BT31"/>
  <c r="BT34" s="1"/>
  <c r="BT35" s="1"/>
  <c r="BW31"/>
  <c r="BW34" s="1"/>
  <c r="BW35" s="1"/>
  <c r="BX31"/>
  <c r="BX33" s="1"/>
  <c r="CU31"/>
  <c r="CU34" s="1"/>
  <c r="CU35" s="1"/>
  <c r="CX31"/>
  <c r="CX34" s="1"/>
  <c r="CX35" s="1"/>
  <c r="CY31"/>
  <c r="CY34" s="1"/>
  <c r="CY35" s="1"/>
  <c r="DA31"/>
  <c r="DA33" s="1"/>
  <c r="DD31"/>
  <c r="DD34" s="1"/>
  <c r="DD35" s="1"/>
  <c r="C22" i="1"/>
  <c r="D22"/>
  <c r="E24"/>
  <c r="F24"/>
  <c r="F26"/>
  <c r="C26" s="1"/>
  <c r="G26"/>
  <c r="D26" s="1"/>
  <c r="E32"/>
  <c r="E33"/>
  <c r="E36"/>
  <c r="AO22" i="2"/>
  <c r="AO29"/>
  <c r="AO27"/>
  <c r="AO26"/>
  <c r="F38" i="6"/>
  <c r="BS14" i="2"/>
  <c r="G37" i="1"/>
  <c r="E73" i="11"/>
  <c r="E58" i="12"/>
  <c r="F58"/>
  <c r="C56"/>
  <c r="DM22" i="2"/>
  <c r="F78" i="14"/>
  <c r="C77"/>
  <c r="EH24" i="2" s="1"/>
  <c r="E78" i="14"/>
  <c r="F80" i="15"/>
  <c r="C77"/>
  <c r="EH25" i="2" s="1"/>
  <c r="E80" i="15"/>
  <c r="F74" i="18"/>
  <c r="E74"/>
  <c r="C69" i="19"/>
  <c r="F72"/>
  <c r="E72"/>
  <c r="E41" i="6"/>
  <c r="E76" i="9"/>
  <c r="F75" i="11"/>
  <c r="E77" i="12"/>
  <c r="F74" i="17"/>
  <c r="C73"/>
  <c r="EE27" i="2" s="1"/>
  <c r="E74" i="17"/>
  <c r="E80" i="8"/>
  <c r="F80"/>
  <c r="E74"/>
  <c r="CC20" i="2"/>
  <c r="C72" i="12"/>
  <c r="C38" i="19"/>
  <c r="F39"/>
  <c r="C94" i="4" l="1"/>
  <c r="G94" s="1"/>
  <c r="J31" i="2"/>
  <c r="J35" s="1"/>
  <c r="E64" i="11"/>
  <c r="D25" i="19"/>
  <c r="D95"/>
  <c r="E14" i="12"/>
  <c r="EQ29" i="2"/>
  <c r="ES29" s="1"/>
  <c r="F17" i="14"/>
  <c r="C99" i="12"/>
  <c r="G99" s="1"/>
  <c r="D99"/>
  <c r="H99" s="1"/>
  <c r="D25"/>
  <c r="V31" i="2"/>
  <c r="V35" s="1"/>
  <c r="EQ14"/>
  <c r="ES14" s="1"/>
  <c r="D25" i="11"/>
  <c r="F40"/>
  <c r="C25"/>
  <c r="D94" i="4"/>
  <c r="K27" i="2"/>
  <c r="F60" i="4"/>
  <c r="H9" i="1"/>
  <c r="E17" i="19"/>
  <c r="F81" i="14"/>
  <c r="BA23" i="2"/>
  <c r="D25" i="13"/>
  <c r="E40" i="9"/>
  <c r="EB15" i="2"/>
  <c r="ED15" s="1"/>
  <c r="E5" i="12"/>
  <c r="F55" i="16"/>
  <c r="E40" i="8"/>
  <c r="CK27" i="2"/>
  <c r="E70" i="13"/>
  <c r="F7" i="7"/>
  <c r="E66" i="15"/>
  <c r="D25" i="18"/>
  <c r="F5" i="17"/>
  <c r="AC24" i="2"/>
  <c r="CK28"/>
  <c r="F32" i="18"/>
  <c r="F12" i="12"/>
  <c r="E7"/>
  <c r="AU21" i="2"/>
  <c r="F5" i="16"/>
  <c r="E26" i="5"/>
  <c r="E5" i="14"/>
  <c r="DR29" i="2"/>
  <c r="K26"/>
  <c r="E5" i="13"/>
  <c r="AU22" i="2"/>
  <c r="F82" i="12"/>
  <c r="CQ20" i="2"/>
  <c r="E5" i="8"/>
  <c r="F26" i="5"/>
  <c r="F26" i="12"/>
  <c r="AR22" i="2"/>
  <c r="F41" i="5"/>
  <c r="F7" i="12"/>
  <c r="E37" i="5"/>
  <c r="C25"/>
  <c r="CH23" i="2"/>
  <c r="Z20"/>
  <c r="E54" i="13"/>
  <c r="N22" i="2"/>
  <c r="F14" i="11"/>
  <c r="DO18" i="2"/>
  <c r="K17"/>
  <c r="AF14"/>
  <c r="C36" i="16"/>
  <c r="BQ26" i="2" s="1"/>
  <c r="F26" s="1"/>
  <c r="E17" i="16"/>
  <c r="ED23" i="2"/>
  <c r="E17" i="13"/>
  <c r="E26" i="12"/>
  <c r="CK22" i="2"/>
  <c r="F5" i="12"/>
  <c r="CH19" i="2"/>
  <c r="AI18"/>
  <c r="AC18"/>
  <c r="AI17"/>
  <c r="E26" i="6"/>
  <c r="F80"/>
  <c r="F20"/>
  <c r="DU29" i="2"/>
  <c r="AF28"/>
  <c r="E26" i="17"/>
  <c r="E26" i="14"/>
  <c r="E66"/>
  <c r="CN23" i="2"/>
  <c r="EA23"/>
  <c r="W21"/>
  <c r="E37" i="11"/>
  <c r="EA21" i="2"/>
  <c r="N21"/>
  <c r="F14" i="9"/>
  <c r="E91"/>
  <c r="CN18" i="2"/>
  <c r="F56" i="8"/>
  <c r="E7"/>
  <c r="W18" i="2"/>
  <c r="E34" i="7"/>
  <c r="F67" i="6"/>
  <c r="E35" i="5"/>
  <c r="E32"/>
  <c r="E67"/>
  <c r="DU15" i="2"/>
  <c r="CN15"/>
  <c r="F57" i="5"/>
  <c r="C4"/>
  <c r="BN15" i="2"/>
  <c r="F15" s="1"/>
  <c r="F35" i="5"/>
  <c r="F30"/>
  <c r="AU14" i="2"/>
  <c r="F34" i="4"/>
  <c r="F17"/>
  <c r="F5"/>
  <c r="F41" i="1"/>
  <c r="H41" s="1"/>
  <c r="DD33" i="2"/>
  <c r="F26" i="19"/>
  <c r="E17" i="17"/>
  <c r="CH27" i="2"/>
  <c r="EA25"/>
  <c r="AU25"/>
  <c r="CH25"/>
  <c r="Z25"/>
  <c r="CE25"/>
  <c r="F37" i="14"/>
  <c r="F35" s="1"/>
  <c r="F34" s="1"/>
  <c r="F20" i="13"/>
  <c r="F62"/>
  <c r="Q22" i="2"/>
  <c r="E94" i="11"/>
  <c r="F40" i="9"/>
  <c r="E20"/>
  <c r="F36"/>
  <c r="F86"/>
  <c r="AU19" i="2"/>
  <c r="F7" i="8"/>
  <c r="ES18" i="2"/>
  <c r="F14" i="8"/>
  <c r="F80" i="7"/>
  <c r="E37" i="6"/>
  <c r="E35"/>
  <c r="CE15" i="2"/>
  <c r="AF15"/>
  <c r="W15"/>
  <c r="EP15"/>
  <c r="E84" i="4"/>
  <c r="E73"/>
  <c r="D4"/>
  <c r="G31" i="1"/>
  <c r="F7" i="19"/>
  <c r="BA27" i="2"/>
  <c r="F31" i="16"/>
  <c r="E29"/>
  <c r="F31" i="15"/>
  <c r="F29"/>
  <c r="E20"/>
  <c r="AI24" i="2"/>
  <c r="CK23"/>
  <c r="E26" i="13"/>
  <c r="CH22" i="2"/>
  <c r="F94" i="11"/>
  <c r="F37"/>
  <c r="E7"/>
  <c r="DJ20" i="2"/>
  <c r="CT20"/>
  <c r="E26" i="10"/>
  <c r="F20"/>
  <c r="E12"/>
  <c r="BG19" i="2"/>
  <c r="BZ18"/>
  <c r="E14" i="8"/>
  <c r="T18" i="2"/>
  <c r="BP18"/>
  <c r="F81" i="8"/>
  <c r="F17" i="7"/>
  <c r="DJ16" i="2"/>
  <c r="F37" i="6"/>
  <c r="F86"/>
  <c r="C4"/>
  <c r="DR15" i="2"/>
  <c r="BO15"/>
  <c r="F20" i="5"/>
  <c r="DX14" i="2"/>
  <c r="CE14"/>
  <c r="E7" i="19"/>
  <c r="D4"/>
  <c r="E34"/>
  <c r="AC29" i="2"/>
  <c r="DK29"/>
  <c r="DH29" s="1"/>
  <c r="E84" i="18"/>
  <c r="F78" i="17"/>
  <c r="C25"/>
  <c r="E31"/>
  <c r="AI27" i="2"/>
  <c r="E82" i="16"/>
  <c r="W26" i="2"/>
  <c r="C4" i="16"/>
  <c r="E26"/>
  <c r="E12"/>
  <c r="G25" i="2"/>
  <c r="E31" i="15"/>
  <c r="F20"/>
  <c r="F26" i="14"/>
  <c r="E83"/>
  <c r="DK24" i="2"/>
  <c r="DH24" s="1"/>
  <c r="F92" i="13"/>
  <c r="F23" i="2"/>
  <c r="DO23"/>
  <c r="F54" i="13"/>
  <c r="D96"/>
  <c r="F86"/>
  <c r="D4"/>
  <c r="F78" i="12"/>
  <c r="EI22" i="2"/>
  <c r="EJ22" s="1"/>
  <c r="E29" i="12"/>
  <c r="DO22" i="2"/>
  <c r="F29" i="12"/>
  <c r="DR22" i="2"/>
  <c r="E64" i="12"/>
  <c r="F37"/>
  <c r="E78"/>
  <c r="E12"/>
  <c r="F7" i="11"/>
  <c r="F84" i="10"/>
  <c r="E7"/>
  <c r="E66"/>
  <c r="AF20" i="2"/>
  <c r="AR20"/>
  <c r="F20" i="9"/>
  <c r="CK19" i="2"/>
  <c r="F65" i="9"/>
  <c r="DK19" i="2"/>
  <c r="DX19"/>
  <c r="Q19"/>
  <c r="CQ19"/>
  <c r="K19"/>
  <c r="E66" i="8"/>
  <c r="CE18" i="2"/>
  <c r="K18"/>
  <c r="BL31"/>
  <c r="BL33" s="1"/>
  <c r="E89" i="8"/>
  <c r="EA18" i="2"/>
  <c r="AR18"/>
  <c r="BZ16"/>
  <c r="E7" i="6"/>
  <c r="E32"/>
  <c r="F12"/>
  <c r="F86" i="5"/>
  <c r="E20"/>
  <c r="DO15" i="2"/>
  <c r="E20" i="4"/>
  <c r="CK14" i="2"/>
  <c r="Z14"/>
  <c r="C25" i="4"/>
  <c r="E14"/>
  <c r="E7"/>
  <c r="F31"/>
  <c r="CU33" i="2"/>
  <c r="F29" i="19"/>
  <c r="E29"/>
  <c r="E12"/>
  <c r="E26"/>
  <c r="AI29" i="2"/>
  <c r="F31" i="19"/>
  <c r="E91"/>
  <c r="DO29" i="2"/>
  <c r="W29"/>
  <c r="E17" i="18"/>
  <c r="E7"/>
  <c r="Z28" i="2"/>
  <c r="E78" i="17"/>
  <c r="E46"/>
  <c r="DX27" i="2"/>
  <c r="E34" i="17"/>
  <c r="EV27" i="2"/>
  <c r="F31" i="17"/>
  <c r="W27" i="2"/>
  <c r="E95" i="17"/>
  <c r="F95"/>
  <c r="BS27" i="2"/>
  <c r="E87" i="16"/>
  <c r="E55"/>
  <c r="F93"/>
  <c r="EO26" i="2"/>
  <c r="EP26" s="1"/>
  <c r="BO26"/>
  <c r="BP26" s="1"/>
  <c r="ER26"/>
  <c r="ER31" s="1"/>
  <c r="N26"/>
  <c r="F26" i="16"/>
  <c r="BA26" i="2"/>
  <c r="F34" i="16"/>
  <c r="F37"/>
  <c r="F29"/>
  <c r="F12"/>
  <c r="F7"/>
  <c r="EV25" i="2"/>
  <c r="F56" i="15"/>
  <c r="E41"/>
  <c r="F94"/>
  <c r="EB25" i="2"/>
  <c r="ED25" s="1"/>
  <c r="K25"/>
  <c r="E88" i="15"/>
  <c r="E56"/>
  <c r="DX25" i="2"/>
  <c r="EJ24"/>
  <c r="E17" i="14"/>
  <c r="BQ24" i="2"/>
  <c r="BS24" s="1"/>
  <c r="F64" i="14"/>
  <c r="E88"/>
  <c r="BZ24" i="2"/>
  <c r="N24"/>
  <c r="F5" i="14"/>
  <c r="AR24" i="2"/>
  <c r="E64" i="13"/>
  <c r="F26"/>
  <c r="BZ23" i="2"/>
  <c r="AI23"/>
  <c r="AR23"/>
  <c r="E89" i="12"/>
  <c r="F72"/>
  <c r="F97"/>
  <c r="E97"/>
  <c r="BA22" i="2"/>
  <c r="F83" i="11"/>
  <c r="EO21" i="2"/>
  <c r="EP21" s="1"/>
  <c r="E88" i="11"/>
  <c r="AF21" i="2"/>
  <c r="AJ31"/>
  <c r="AJ34" s="1"/>
  <c r="AJ35" s="1"/>
  <c r="K21"/>
  <c r="ES20"/>
  <c r="F66" i="10"/>
  <c r="F77"/>
  <c r="F7"/>
  <c r="DO20" i="2"/>
  <c r="E29" i="10"/>
  <c r="E20"/>
  <c r="E14"/>
  <c r="E86" i="9"/>
  <c r="E65"/>
  <c r="DO19" i="2"/>
  <c r="E34" i="9"/>
  <c r="F26"/>
  <c r="D98" i="8"/>
  <c r="EV18" i="2"/>
  <c r="EJ18"/>
  <c r="F20" i="8"/>
  <c r="E95"/>
  <c r="F34"/>
  <c r="BK31" i="2"/>
  <c r="BK33" s="1"/>
  <c r="E20" i="7"/>
  <c r="O31" i="2"/>
  <c r="O35" s="1"/>
  <c r="E87" i="7"/>
  <c r="AU17" i="2"/>
  <c r="F93" i="7"/>
  <c r="E65"/>
  <c r="ES16" i="2"/>
  <c r="E20" i="6"/>
  <c r="BO16" i="2"/>
  <c r="BP16" s="1"/>
  <c r="E91" i="6"/>
  <c r="DR16" i="2"/>
  <c r="E12" i="6"/>
  <c r="DU16" i="2"/>
  <c r="AI16"/>
  <c r="AC16"/>
  <c r="W16"/>
  <c r="C101" i="5"/>
  <c r="D101"/>
  <c r="EV15" i="2"/>
  <c r="BC34"/>
  <c r="BC35" s="1"/>
  <c r="BC33"/>
  <c r="E12" i="4"/>
  <c r="F90"/>
  <c r="F20"/>
  <c r="Q29" i="2"/>
  <c r="DX28"/>
  <c r="DR28"/>
  <c r="CE28"/>
  <c r="Q27"/>
  <c r="N27"/>
  <c r="T26"/>
  <c r="Q24"/>
  <c r="DK23"/>
  <c r="AC23"/>
  <c r="BZ22"/>
  <c r="W22"/>
  <c r="DU19"/>
  <c r="BZ19"/>
  <c r="AL18"/>
  <c r="CN16"/>
  <c r="AO16"/>
  <c r="F16"/>
  <c r="DK15"/>
  <c r="DJ15"/>
  <c r="AO15"/>
  <c r="AA31"/>
  <c r="AA35" s="1"/>
  <c r="E17" i="4"/>
  <c r="C4"/>
  <c r="F83" i="5"/>
  <c r="EP16" i="2"/>
  <c r="E80" i="6"/>
  <c r="C25"/>
  <c r="F17"/>
  <c r="F87" i="7"/>
  <c r="F29"/>
  <c r="F5"/>
  <c r="E56" i="8"/>
  <c r="E17"/>
  <c r="E78" i="9"/>
  <c r="F31"/>
  <c r="C4"/>
  <c r="E82" i="10"/>
  <c r="F56"/>
  <c r="E36"/>
  <c r="E17"/>
  <c r="F77" i="11"/>
  <c r="E17"/>
  <c r="E20" i="13"/>
  <c r="E31" i="14"/>
  <c r="E29"/>
  <c r="C25" i="15"/>
  <c r="E12"/>
  <c r="F87" i="16"/>
  <c r="F14"/>
  <c r="F89" i="17"/>
  <c r="E12"/>
  <c r="C4"/>
  <c r="E5"/>
  <c r="E20" i="18"/>
  <c r="E5" i="19"/>
  <c r="C4" i="14"/>
  <c r="F31" i="13"/>
  <c r="E73" i="9"/>
  <c r="DK17" i="2"/>
  <c r="G21"/>
  <c r="F7" i="13"/>
  <c r="E64" i="10"/>
  <c r="BG15" i="2"/>
  <c r="K16"/>
  <c r="BG22"/>
  <c r="AR21"/>
  <c r="E34" i="8"/>
  <c r="E26" i="7"/>
  <c r="F65" i="16"/>
  <c r="BZ26" i="2"/>
  <c r="ES24"/>
  <c r="E41" i="18"/>
  <c r="CT28" i="2"/>
  <c r="D25" i="6"/>
  <c r="E68" i="4"/>
  <c r="F77" i="8"/>
  <c r="H20" i="1"/>
  <c r="CT15" i="2"/>
  <c r="E67" i="6"/>
  <c r="AF27" i="2"/>
  <c r="AF25"/>
  <c r="N25"/>
  <c r="T24"/>
  <c r="F20"/>
  <c r="C4" i="7"/>
  <c r="C4" i="8"/>
  <c r="BS19" i="2"/>
  <c r="D4" i="10"/>
  <c r="C4" i="11"/>
  <c r="E14" i="15"/>
  <c r="F17" i="16"/>
  <c r="F85" i="19"/>
  <c r="C25"/>
  <c r="E7" i="9"/>
  <c r="F26" i="17"/>
  <c r="Z24" i="2"/>
  <c r="Z16"/>
  <c r="F65" i="7"/>
  <c r="D4" i="5"/>
  <c r="E5" i="15"/>
  <c r="D37" i="19"/>
  <c r="D48" s="1"/>
  <c r="BZ17" i="2"/>
  <c r="BZ21"/>
  <c r="ED18"/>
  <c r="F5" i="6"/>
  <c r="DK22" i="2"/>
  <c r="BA20"/>
  <c r="AR17"/>
  <c r="E72" i="8"/>
  <c r="D98" i="11"/>
  <c r="F56"/>
  <c r="F57" i="9"/>
  <c r="E56" i="12"/>
  <c r="F57" i="17"/>
  <c r="DK18" i="2"/>
  <c r="DR18"/>
  <c r="E56" i="11"/>
  <c r="F89" i="18"/>
  <c r="BZ28" i="2"/>
  <c r="F14" i="18"/>
  <c r="E35"/>
  <c r="W28" i="2"/>
  <c r="C89" i="18"/>
  <c r="EQ28" i="2" s="1"/>
  <c r="ES28" s="1"/>
  <c r="F5" i="18"/>
  <c r="F35"/>
  <c r="F26"/>
  <c r="E12"/>
  <c r="E69" i="19"/>
  <c r="BZ29" i="2"/>
  <c r="E37" i="18"/>
  <c r="E38" i="19"/>
  <c r="F17" i="17"/>
  <c r="DQ31" i="2"/>
  <c r="D4" i="16"/>
  <c r="F7" i="18"/>
  <c r="BZ27" i="2"/>
  <c r="CN27"/>
  <c r="DT31"/>
  <c r="DT33" s="1"/>
  <c r="AG31"/>
  <c r="I31"/>
  <c r="I35" s="1"/>
  <c r="D97" i="16"/>
  <c r="H97" s="1"/>
  <c r="EG27" i="2"/>
  <c r="DO26"/>
  <c r="CP31"/>
  <c r="CP34" s="1"/>
  <c r="CP35" s="1"/>
  <c r="D99" i="18"/>
  <c r="H99" s="1"/>
  <c r="H33" i="1"/>
  <c r="H6"/>
  <c r="D25" i="16"/>
  <c r="BR26" i="2"/>
  <c r="AQ31"/>
  <c r="EM25"/>
  <c r="DJ25"/>
  <c r="W25"/>
  <c r="E83" i="15"/>
  <c r="D25"/>
  <c r="E64" i="14"/>
  <c r="AE31" i="2"/>
  <c r="AE35" s="1"/>
  <c r="CL31"/>
  <c r="D98" i="15"/>
  <c r="H98" s="1"/>
  <c r="F77" i="14"/>
  <c r="E41"/>
  <c r="BZ25" i="2"/>
  <c r="E81" i="15"/>
  <c r="DP31" i="2"/>
  <c r="DP35" s="1"/>
  <c r="DJ24"/>
  <c r="F64" i="15"/>
  <c r="H24" i="1"/>
  <c r="BY34" i="2"/>
  <c r="BY35" s="1"/>
  <c r="BY33"/>
  <c r="EM26"/>
  <c r="BI33"/>
  <c r="F77" i="15"/>
  <c r="Z21" i="2"/>
  <c r="E77" i="8"/>
  <c r="AC15" i="2"/>
  <c r="EU14"/>
  <c r="EV14" s="1"/>
  <c r="ES17"/>
  <c r="E7" i="13"/>
  <c r="F34" i="9"/>
  <c r="E34" i="15"/>
  <c r="F95" i="18"/>
  <c r="DO17" i="2"/>
  <c r="F91" i="9"/>
  <c r="G34" i="1"/>
  <c r="G7"/>
  <c r="BF29" i="2"/>
  <c r="G29" s="1"/>
  <c r="EC26"/>
  <c r="EO25"/>
  <c r="EP25" s="1"/>
  <c r="N23"/>
  <c r="EC16"/>
  <c r="ED16" s="1"/>
  <c r="F26" i="6"/>
  <c r="DJ26" i="2"/>
  <c r="AN31"/>
  <c r="AN33" s="1"/>
  <c r="E63" i="16"/>
  <c r="E85" i="19"/>
  <c r="AW34" i="2"/>
  <c r="AW35" s="1"/>
  <c r="E66" i="12"/>
  <c r="F66"/>
  <c r="F81" i="15"/>
  <c r="F64" i="13"/>
  <c r="F72" i="8"/>
  <c r="C98"/>
  <c r="G98" s="1"/>
  <c r="D98" i="14"/>
  <c r="H98" s="1"/>
  <c r="E79" i="13"/>
  <c r="E20" i="12"/>
  <c r="F83" i="15"/>
  <c r="E91" i="5"/>
  <c r="F17" i="15"/>
  <c r="EU17" i="2"/>
  <c r="EV17" s="1"/>
  <c r="E84" i="6"/>
  <c r="F32"/>
  <c r="CK17" i="2"/>
  <c r="CY33"/>
  <c r="E17" i="6"/>
  <c r="EL15" i="2"/>
  <c r="EM15" s="1"/>
  <c r="F36" i="10"/>
  <c r="K29" i="2"/>
  <c r="F26" i="7"/>
  <c r="E7" i="16"/>
  <c r="F26" i="15"/>
  <c r="E31" i="9"/>
  <c r="D4" i="15"/>
  <c r="AP29" i="2"/>
  <c r="AR29" s="1"/>
  <c r="E29" i="15"/>
  <c r="D25" i="9"/>
  <c r="F82" i="7"/>
  <c r="F34" i="15"/>
  <c r="E92" i="13"/>
  <c r="F17" i="18"/>
  <c r="DR14" i="2"/>
  <c r="F17" i="11"/>
  <c r="F84" i="6"/>
  <c r="F75" i="13"/>
  <c r="F80" i="16"/>
  <c r="F61" i="19"/>
  <c r="E14" i="18"/>
  <c r="F20" i="14"/>
  <c r="Q25" i="2"/>
  <c r="CK25"/>
  <c r="Z22"/>
  <c r="EK20"/>
  <c r="EM20" s="1"/>
  <c r="EH16"/>
  <c r="EJ16" s="1"/>
  <c r="E57" i="9"/>
  <c r="F7"/>
  <c r="E64" i="15"/>
  <c r="F79" i="13"/>
  <c r="E93" i="7"/>
  <c r="E5" i="6"/>
  <c r="D25" i="10"/>
  <c r="DN31" i="2"/>
  <c r="DN35" s="1"/>
  <c r="E37" i="12"/>
  <c r="F64"/>
  <c r="EC28" i="2"/>
  <c r="AU24"/>
  <c r="AR16"/>
  <c r="E65" i="6"/>
  <c r="DJ18" i="2"/>
  <c r="F17" i="19"/>
  <c r="E29" i="4"/>
  <c r="E80" i="16"/>
  <c r="E99" i="9"/>
  <c r="DJ19" i="2"/>
  <c r="F14" i="4"/>
  <c r="E77" i="15"/>
  <c r="E94"/>
  <c r="E82" i="12"/>
  <c r="E78" i="19"/>
  <c r="C25" i="12"/>
  <c r="F29" i="10"/>
  <c r="E84"/>
  <c r="F66" i="8"/>
  <c r="E83" i="5"/>
  <c r="ES25" i="2"/>
  <c r="C4" i="13"/>
  <c r="F21" i="1"/>
  <c r="F66" i="14"/>
  <c r="E95" i="18"/>
  <c r="F34" i="19"/>
  <c r="CK29" i="2"/>
  <c r="DO24"/>
  <c r="CK24"/>
  <c r="AU23"/>
  <c r="CS31"/>
  <c r="CS35" s="1"/>
  <c r="AU20"/>
  <c r="EB17"/>
  <c r="ED17" s="1"/>
  <c r="Z15"/>
  <c r="EE14"/>
  <c r="EG14" s="1"/>
  <c r="E31" i="13"/>
  <c r="F12"/>
  <c r="E65" i="18"/>
  <c r="AR28" i="2"/>
  <c r="DR17"/>
  <c r="AI25"/>
  <c r="W24"/>
  <c r="EE29"/>
  <c r="EG29" s="1"/>
  <c r="F28"/>
  <c r="CN29"/>
  <c r="AF16"/>
  <c r="F97" i="6"/>
  <c r="N28" i="2"/>
  <c r="D97" i="7"/>
  <c r="AI28" i="2"/>
  <c r="CN21"/>
  <c r="K14"/>
  <c r="EA28"/>
  <c r="CK21"/>
  <c r="F57" i="6"/>
  <c r="F7"/>
  <c r="DM31" i="2"/>
  <c r="DM35" s="1"/>
  <c r="CE26"/>
  <c r="CA26"/>
  <c r="CA29"/>
  <c r="CA28"/>
  <c r="CA27"/>
  <c r="CO31"/>
  <c r="CO35" s="1"/>
  <c r="CA24"/>
  <c r="CA23"/>
  <c r="EP22"/>
  <c r="CF31"/>
  <c r="CF35" s="1"/>
  <c r="CA22"/>
  <c r="AD31"/>
  <c r="L31"/>
  <c r="L35" s="1"/>
  <c r="AC22"/>
  <c r="CA21"/>
  <c r="CA18"/>
  <c r="CA17"/>
  <c r="BA19"/>
  <c r="CA25"/>
  <c r="CA20"/>
  <c r="CA19"/>
  <c r="CA16"/>
  <c r="CA15"/>
  <c r="CA14"/>
  <c r="G20"/>
  <c r="AF22"/>
  <c r="CE20"/>
  <c r="M31"/>
  <c r="P31"/>
  <c r="E37" i="7"/>
  <c r="F37"/>
  <c r="E57" i="6"/>
  <c r="E55" i="7"/>
  <c r="F55"/>
  <c r="F38" i="19"/>
  <c r="EA17" i="2"/>
  <c r="F14" i="5"/>
  <c r="EV19" i="2"/>
  <c r="E26" i="9"/>
  <c r="E31" i="10"/>
  <c r="F5"/>
  <c r="E75" i="13"/>
  <c r="F91" i="6"/>
  <c r="H36" i="1"/>
  <c r="CH18" i="2"/>
  <c r="F17" i="10"/>
  <c r="F56" i="12"/>
  <c r="BT33" i="2"/>
  <c r="CH14"/>
  <c r="F12" i="14"/>
  <c r="F12" i="17"/>
  <c r="E5" i="18"/>
  <c r="E7" i="14"/>
  <c r="E7" i="15"/>
  <c r="T22" i="2"/>
  <c r="F5" i="8"/>
  <c r="E41" i="5"/>
  <c r="F30" i="1"/>
  <c r="H30" s="1"/>
  <c r="BR15" i="2"/>
  <c r="F37" i="5"/>
  <c r="E82" i="7"/>
  <c r="EN17" i="2"/>
  <c r="EP17" s="1"/>
  <c r="F36" i="8"/>
  <c r="BQ18" i="2"/>
  <c r="BS18" s="1"/>
  <c r="E26" i="8"/>
  <c r="D25"/>
  <c r="E12" i="13"/>
  <c r="AS31" i="2"/>
  <c r="AS35" s="1"/>
  <c r="DJ22"/>
  <c r="CX33"/>
  <c r="F19"/>
  <c r="BS22"/>
  <c r="E26" i="4"/>
  <c r="F26"/>
  <c r="C4" i="15"/>
  <c r="E65" i="16"/>
  <c r="EB26" i="2"/>
  <c r="F7" i="17"/>
  <c r="E7"/>
  <c r="F31" i="1"/>
  <c r="F73" i="4"/>
  <c r="EI14" i="2"/>
  <c r="EJ14" s="1"/>
  <c r="Z29"/>
  <c r="DO28"/>
  <c r="Z27"/>
  <c r="AU27"/>
  <c r="AU26"/>
  <c r="DR24"/>
  <c r="AF24"/>
  <c r="Z23"/>
  <c r="AF23"/>
  <c r="CK20"/>
  <c r="AU16"/>
  <c r="CK15"/>
  <c r="K15"/>
  <c r="F12" i="4"/>
  <c r="E73" i="5"/>
  <c r="E80" i="7"/>
  <c r="F7" i="14"/>
  <c r="F5" i="15"/>
  <c r="F7"/>
  <c r="F63" i="16"/>
  <c r="E31" i="19"/>
  <c r="E67" i="17"/>
  <c r="AU28" i="2"/>
  <c r="AR14"/>
  <c r="AR25"/>
  <c r="BA14"/>
  <c r="F14"/>
  <c r="CE24"/>
  <c r="T21"/>
  <c r="F12" i="19"/>
  <c r="F41" i="12"/>
  <c r="E41"/>
  <c r="F38" i="17"/>
  <c r="E38"/>
  <c r="AF29" i="2"/>
  <c r="E14" i="11"/>
  <c r="D4"/>
  <c r="E7" i="7"/>
  <c r="C71"/>
  <c r="EE17" i="2" s="1"/>
  <c r="F15" i="1"/>
  <c r="H15" s="1"/>
  <c r="CE27" i="2"/>
  <c r="T23"/>
  <c r="DX15"/>
  <c r="EP14"/>
  <c r="F30" i="6"/>
  <c r="D99" i="10"/>
  <c r="G18" i="1"/>
  <c r="H18" s="1"/>
  <c r="K23" i="2"/>
  <c r="DV31"/>
  <c r="CJ31"/>
  <c r="CJ35" s="1"/>
  <c r="EJ25"/>
  <c r="E40" i="7"/>
  <c r="F69" i="19"/>
  <c r="AL24" i="2"/>
  <c r="BZ20"/>
  <c r="E77" i="14"/>
  <c r="DA34" i="2"/>
  <c r="DA35" s="1"/>
  <c r="AV33"/>
  <c r="BW33"/>
  <c r="EP29"/>
  <c r="ES27"/>
  <c r="DK25"/>
  <c r="BG23"/>
  <c r="E36" i="9"/>
  <c r="F46" i="17"/>
  <c r="F34"/>
  <c r="E72" i="12"/>
  <c r="AC26" i="2"/>
  <c r="DU24"/>
  <c r="CH24"/>
  <c r="AO19"/>
  <c r="N19"/>
  <c r="DU18"/>
  <c r="E86" i="6"/>
  <c r="F17" i="9"/>
  <c r="F82" i="10"/>
  <c r="E5"/>
  <c r="E86" i="13"/>
  <c r="F82" i="16"/>
  <c r="BP24" i="2"/>
  <c r="G24"/>
  <c r="C9" i="1"/>
  <c r="E9" s="1"/>
  <c r="AK31" i="2"/>
  <c r="EE22"/>
  <c r="EG22" s="1"/>
  <c r="E73" i="17"/>
  <c r="AX31" i="2"/>
  <c r="BS29"/>
  <c r="EA26"/>
  <c r="DX26"/>
  <c r="DK26"/>
  <c r="AI26"/>
  <c r="DU23"/>
  <c r="Q21"/>
  <c r="AI21"/>
  <c r="Q18"/>
  <c r="DU17"/>
  <c r="X31"/>
  <c r="X35" s="1"/>
  <c r="R31"/>
  <c r="R35" s="1"/>
  <c r="EA16"/>
  <c r="CE16"/>
  <c r="Q16"/>
  <c r="E86" i="5"/>
  <c r="F65" i="6"/>
  <c r="F35"/>
  <c r="E29" i="7"/>
  <c r="E17"/>
  <c r="F64" i="8"/>
  <c r="E31"/>
  <c r="F29" i="11"/>
  <c r="E84" i="12"/>
  <c r="EM24" i="2"/>
  <c r="D25" i="14"/>
  <c r="F84" i="18"/>
  <c r="F37"/>
  <c r="F20"/>
  <c r="D4"/>
  <c r="E60" i="4"/>
  <c r="F41" i="18"/>
  <c r="AC25" i="2"/>
  <c r="S31"/>
  <c r="F88" i="15"/>
  <c r="H32" i="1"/>
  <c r="H12"/>
  <c r="E81" i="14"/>
  <c r="G27" i="2"/>
  <c r="CG31"/>
  <c r="CG35" s="1"/>
  <c r="CM31"/>
  <c r="CM35" s="1"/>
  <c r="AB31"/>
  <c r="EK17"/>
  <c r="EM17" s="1"/>
  <c r="N17"/>
  <c r="ED22"/>
  <c r="EM29"/>
  <c r="BZ14"/>
  <c r="F91" i="5"/>
  <c r="EP19" i="2"/>
  <c r="F20" i="12"/>
  <c r="F34" i="7"/>
  <c r="BS16" i="2"/>
  <c r="CC31"/>
  <c r="CC35" s="1"/>
  <c r="H37" i="1"/>
  <c r="BV33" i="2"/>
  <c r="CZ31"/>
  <c r="CZ33" s="1"/>
  <c r="DB31"/>
  <c r="BX34"/>
  <c r="BX35" s="1"/>
  <c r="T29"/>
  <c r="EV28"/>
  <c r="AC28"/>
  <c r="T27"/>
  <c r="DX24"/>
  <c r="DX23"/>
  <c r="DR23"/>
  <c r="W23"/>
  <c r="CE22"/>
  <c r="DX21"/>
  <c r="BG21"/>
  <c r="AI20"/>
  <c r="W20"/>
  <c r="Q20"/>
  <c r="N20"/>
  <c r="CN19"/>
  <c r="AM31"/>
  <c r="AM34" s="1"/>
  <c r="AM35" s="1"/>
  <c r="AI19"/>
  <c r="AC19"/>
  <c r="DX18"/>
  <c r="DX17"/>
  <c r="CE17"/>
  <c r="AC17"/>
  <c r="T17"/>
  <c r="T16"/>
  <c r="N16"/>
  <c r="Q15"/>
  <c r="N15"/>
  <c r="DJ14"/>
  <c r="CN14"/>
  <c r="AI14"/>
  <c r="F29" i="4"/>
  <c r="E5"/>
  <c r="E57" i="5"/>
  <c r="D25"/>
  <c r="E30" i="6"/>
  <c r="E5" i="7"/>
  <c r="E20" i="8"/>
  <c r="E12"/>
  <c r="E14" i="9"/>
  <c r="F31" i="10"/>
  <c r="F26"/>
  <c r="F88" i="11"/>
  <c r="E29"/>
  <c r="F31" i="14"/>
  <c r="E93" i="16"/>
  <c r="F84" i="17"/>
  <c r="E57"/>
  <c r="E20"/>
  <c r="F78" i="19"/>
  <c r="F20"/>
  <c r="H38" i="1"/>
  <c r="BG27" i="2"/>
  <c r="BE31"/>
  <c r="BE35" s="1"/>
  <c r="F27"/>
  <c r="E36" i="7"/>
  <c r="F36"/>
  <c r="BQ17" i="2"/>
  <c r="BS17" s="1"/>
  <c r="DZ31"/>
  <c r="DZ35" s="1"/>
  <c r="BP28"/>
  <c r="EV26"/>
  <c r="DJ23"/>
  <c r="AF17"/>
  <c r="CH16"/>
  <c r="EA15"/>
  <c r="CQ15"/>
  <c r="BZ15"/>
  <c r="E64" i="8"/>
  <c r="C25" i="9"/>
  <c r="F89" i="10"/>
  <c r="F14"/>
  <c r="F84" i="12"/>
  <c r="F5" i="13"/>
  <c r="F83" i="14"/>
  <c r="E26" i="15"/>
  <c r="F12"/>
  <c r="E31" i="16"/>
  <c r="F20" i="17"/>
  <c r="F65" i="18"/>
  <c r="E20" i="19"/>
  <c r="Z26" i="2"/>
  <c r="E62" i="13"/>
  <c r="F40" i="16"/>
  <c r="E40" i="10"/>
  <c r="EM16" i="2"/>
  <c r="CN26"/>
  <c r="EP24"/>
  <c r="EM22"/>
  <c r="EA22"/>
  <c r="CN22"/>
  <c r="DU21"/>
  <c r="ED20"/>
  <c r="EA19"/>
  <c r="AI15"/>
  <c r="T15"/>
  <c r="T14"/>
  <c r="EP20"/>
  <c r="F14" i="15"/>
  <c r="E5" i="16"/>
  <c r="C25" i="13"/>
  <c r="E65" i="5"/>
  <c r="Z18" i="2"/>
  <c r="F68" i="4"/>
  <c r="DS31" i="2"/>
  <c r="DS35" s="1"/>
  <c r="CH15"/>
  <c r="AC14"/>
  <c r="E30" i="5"/>
  <c r="F20" i="7"/>
  <c r="F29" i="14"/>
  <c r="F12" i="18"/>
  <c r="C4"/>
  <c r="F7" i="4"/>
  <c r="AU15" i="2"/>
  <c r="F32" i="5"/>
  <c r="BA28" i="2"/>
  <c r="EA27"/>
  <c r="AF26"/>
  <c r="Q26"/>
  <c r="DU25"/>
  <c r="CN24"/>
  <c r="ES23"/>
  <c r="EV21"/>
  <c r="AC21"/>
  <c r="EA20"/>
  <c r="DU20"/>
  <c r="CN20"/>
  <c r="CH20"/>
  <c r="ES15"/>
  <c r="F84" i="4"/>
  <c r="E14" i="5"/>
  <c r="F89" i="8"/>
  <c r="F12"/>
  <c r="C25" i="10"/>
  <c r="E83" i="11"/>
  <c r="BR28" i="2"/>
  <c r="G28" s="1"/>
  <c r="K28"/>
  <c r="K24"/>
  <c r="F66" i="15"/>
  <c r="BP25" i="2"/>
  <c r="BB31"/>
  <c r="BD14"/>
  <c r="G39" i="1"/>
  <c r="F5"/>
  <c r="E12" i="5"/>
  <c r="F12"/>
  <c r="E31" i="7"/>
  <c r="F31"/>
  <c r="C25"/>
  <c r="F17" i="8"/>
  <c r="D4"/>
  <c r="EH19" i="2"/>
  <c r="EJ19" s="1"/>
  <c r="F78" i="9"/>
  <c r="E5"/>
  <c r="F5"/>
  <c r="E77" i="10"/>
  <c r="EI20" i="2"/>
  <c r="EI21"/>
  <c r="EJ21" s="1"/>
  <c r="E77" i="11"/>
  <c r="E31"/>
  <c r="E26"/>
  <c r="F26"/>
  <c r="E32" i="12"/>
  <c r="F32"/>
  <c r="E34" i="13"/>
  <c r="BR23" i="2"/>
  <c r="BS23" s="1"/>
  <c r="F34" i="13"/>
  <c r="E14"/>
  <c r="F14"/>
  <c r="F20" i="16"/>
  <c r="E20"/>
  <c r="E29" i="17"/>
  <c r="F29"/>
  <c r="D25"/>
  <c r="E61" i="19"/>
  <c r="DY29" i="2"/>
  <c r="EA29" s="1"/>
  <c r="EK18"/>
  <c r="E81" i="8"/>
  <c r="C25"/>
  <c r="F26"/>
  <c r="G16" i="1"/>
  <c r="E67" i="9"/>
  <c r="EC19" i="2"/>
  <c r="F67" i="9"/>
  <c r="E66" i="11"/>
  <c r="F66"/>
  <c r="EC21" i="2"/>
  <c r="E77" i="4"/>
  <c r="EK14" i="2"/>
  <c r="F77" i="4"/>
  <c r="C72" i="15"/>
  <c r="C98" s="1"/>
  <c r="G98" s="1"/>
  <c r="E75"/>
  <c r="C71" i="16"/>
  <c r="F72"/>
  <c r="E72"/>
  <c r="C82" i="17"/>
  <c r="E82" s="1"/>
  <c r="F83"/>
  <c r="E83"/>
  <c r="E77" i="18"/>
  <c r="C73"/>
  <c r="F77"/>
  <c r="E64"/>
  <c r="C57"/>
  <c r="F64"/>
  <c r="C74" i="19"/>
  <c r="C95" s="1"/>
  <c r="F77"/>
  <c r="H11" i="1"/>
  <c r="D101" i="6"/>
  <c r="F93" i="9"/>
  <c r="E89" i="10"/>
  <c r="EV23" i="2"/>
  <c r="F65" i="5"/>
  <c r="E32" i="18"/>
  <c r="CK18" i="2"/>
  <c r="G13" i="1"/>
  <c r="BF14" i="2"/>
  <c r="E31" i="4"/>
  <c r="D25"/>
  <c r="E5" i="5"/>
  <c r="F5"/>
  <c r="ET16" i="2"/>
  <c r="E97" i="6"/>
  <c r="E14"/>
  <c r="D4"/>
  <c r="F14"/>
  <c r="EQ19" i="2"/>
  <c r="E93" i="9"/>
  <c r="EE19" i="2"/>
  <c r="C103" i="9"/>
  <c r="F95" i="10"/>
  <c r="EU20" i="2"/>
  <c r="E95" i="10"/>
  <c r="E56"/>
  <c r="F36" i="11"/>
  <c r="BQ21" i="2"/>
  <c r="BS21" s="1"/>
  <c r="E36" i="11"/>
  <c r="E37" i="15"/>
  <c r="BQ25" i="2"/>
  <c r="F37" i="15"/>
  <c r="EB28" i="2"/>
  <c r="F67" i="18"/>
  <c r="ET29" i="2"/>
  <c r="EV29" s="1"/>
  <c r="F91" i="19"/>
  <c r="F35" i="1"/>
  <c r="E12" i="11"/>
  <c r="F12"/>
  <c r="CQ21" i="2"/>
  <c r="EE15"/>
  <c r="F73" i="5"/>
  <c r="D99" i="17"/>
  <c r="E65"/>
  <c r="F65"/>
  <c r="F76" i="16"/>
  <c r="E76"/>
  <c r="EI26" i="2"/>
  <c r="E53" i="19"/>
  <c r="F53"/>
  <c r="E82" i="18"/>
  <c r="EL28" i="2"/>
  <c r="EM28" s="1"/>
  <c r="F82" i="18"/>
  <c r="F39" i="4"/>
  <c r="E76" i="6"/>
  <c r="C73"/>
  <c r="F76"/>
  <c r="E73" i="7"/>
  <c r="F73"/>
  <c r="F79"/>
  <c r="C76"/>
  <c r="CR31" i="2"/>
  <c r="CR35" s="1"/>
  <c r="CT19"/>
  <c r="F73" i="17"/>
  <c r="CN28" i="2"/>
  <c r="F31" i="8"/>
  <c r="E17" i="9"/>
  <c r="F31" i="11"/>
  <c r="F89" i="12"/>
  <c r="C96" i="13"/>
  <c r="F88" i="14"/>
  <c r="C25"/>
  <c r="E14" i="16"/>
  <c r="D103" i="9"/>
  <c r="ES22" i="2"/>
  <c r="DK16"/>
  <c r="DX16"/>
  <c r="F19" i="1"/>
  <c r="F7"/>
  <c r="EH15" i="2"/>
  <c r="F78" i="5"/>
  <c r="E78"/>
  <c r="E14" i="7"/>
  <c r="F14"/>
  <c r="AY18" i="2"/>
  <c r="F29" i="8"/>
  <c r="E29"/>
  <c r="E83" i="9"/>
  <c r="F83"/>
  <c r="EL19" i="2"/>
  <c r="F12" i="10"/>
  <c r="C4"/>
  <c r="F64" i="11"/>
  <c r="E20"/>
  <c r="F20"/>
  <c r="E5"/>
  <c r="F5"/>
  <c r="F17" i="12"/>
  <c r="C4"/>
  <c r="E17"/>
  <c r="F81" i="13"/>
  <c r="EO23" i="2"/>
  <c r="EP23" s="1"/>
  <c r="E81" i="13"/>
  <c r="EE23" i="2"/>
  <c r="F70" i="13"/>
  <c r="F56" i="14"/>
  <c r="E56"/>
  <c r="E12"/>
  <c r="D4"/>
  <c r="EL27" i="2"/>
  <c r="D4" i="17"/>
  <c r="F14"/>
  <c r="E14"/>
  <c r="F30" i="18"/>
  <c r="E30"/>
  <c r="C25"/>
  <c r="E14" i="19"/>
  <c r="F14"/>
  <c r="F73" i="9"/>
  <c r="EF19" i="2"/>
  <c r="E52" i="4"/>
  <c r="F52"/>
  <c r="DK20" i="2"/>
  <c r="DR20"/>
  <c r="DO14"/>
  <c r="DK14"/>
  <c r="F35" i="12"/>
  <c r="E35"/>
  <c r="E38" i="13"/>
  <c r="F38"/>
  <c r="E7" i="5"/>
  <c r="F7"/>
  <c r="EB27" i="2"/>
  <c r="F67" i="17"/>
  <c r="E13" i="7"/>
  <c r="Y17" i="2"/>
  <c r="F13" i="7"/>
  <c r="Y19" i="2"/>
  <c r="G19" s="1"/>
  <c r="E13" i="9"/>
  <c r="D12"/>
  <c r="F95" i="8"/>
  <c r="CE23" i="2"/>
  <c r="K22"/>
  <c r="F22"/>
  <c r="E17" i="5"/>
  <c r="F17"/>
  <c r="E63" i="7"/>
  <c r="F63"/>
  <c r="F84" i="8"/>
  <c r="E84"/>
  <c r="EO18" i="2"/>
  <c r="E29" i="9"/>
  <c r="F29"/>
  <c r="EF20" i="2"/>
  <c r="F14" i="12"/>
  <c r="D4"/>
  <c r="E29" i="13"/>
  <c r="F29"/>
  <c r="E94" i="14"/>
  <c r="F94"/>
  <c r="ET24" i="2"/>
  <c r="EV24" s="1"/>
  <c r="E14" i="14"/>
  <c r="F14"/>
  <c r="E84" i="17"/>
  <c r="EN27" i="2"/>
  <c r="EP27" s="1"/>
  <c r="E78" i="18"/>
  <c r="EH28" i="2"/>
  <c r="EJ28" s="1"/>
  <c r="F78" i="18"/>
  <c r="E80" i="19"/>
  <c r="F80"/>
  <c r="EB29" i="2"/>
  <c r="ED29" s="1"/>
  <c r="E63" i="19"/>
  <c r="F63"/>
  <c r="C4"/>
  <c r="F5"/>
  <c r="F64" i="10"/>
  <c r="EF17" i="2"/>
  <c r="EC14"/>
  <c r="F62" i="4"/>
  <c r="E62"/>
  <c r="CI31" i="2"/>
  <c r="CI35" s="1"/>
  <c r="CK16"/>
  <c r="CW14"/>
  <c r="CV31"/>
  <c r="F74" i="10"/>
  <c r="C72"/>
  <c r="EE20" i="2" s="1"/>
  <c r="F73" i="11"/>
  <c r="C72"/>
  <c r="C81"/>
  <c r="E82"/>
  <c r="E71" i="13"/>
  <c r="F71"/>
  <c r="C72" i="14"/>
  <c r="F75"/>
  <c r="F99" i="9"/>
  <c r="D25" i="7"/>
  <c r="BA21" i="2"/>
  <c r="BA15"/>
  <c r="EM23"/>
  <c r="EP28"/>
  <c r="CK26"/>
  <c r="DO25"/>
  <c r="EA24"/>
  <c r="DR21"/>
  <c r="AL21"/>
  <c r="DX20"/>
  <c r="K20"/>
  <c r="AF19"/>
  <c r="AF18"/>
  <c r="N18"/>
  <c r="CN17"/>
  <c r="Q17"/>
  <c r="AR26"/>
  <c r="H29" i="1"/>
  <c r="DJ29" i="2"/>
  <c r="CH29"/>
  <c r="N29"/>
  <c r="DU28"/>
  <c r="DU27"/>
  <c r="DO27"/>
  <c r="AC27"/>
  <c r="DR26"/>
  <c r="BG26"/>
  <c r="DR25"/>
  <c r="BG25"/>
  <c r="T25"/>
  <c r="CN25"/>
  <c r="ED24"/>
  <c r="EJ23"/>
  <c r="Q23"/>
  <c r="EV22"/>
  <c r="DU22"/>
  <c r="AI22"/>
  <c r="AC20"/>
  <c r="CE19"/>
  <c r="T19"/>
  <c r="U31"/>
  <c r="U34" s="1"/>
  <c r="U35" s="1"/>
  <c r="CH17"/>
  <c r="BG17"/>
  <c r="W17"/>
  <c r="DO16"/>
  <c r="W14"/>
  <c r="Q14"/>
  <c r="BS20"/>
  <c r="H17" i="1"/>
  <c r="DX29" i="2"/>
  <c r="CE29"/>
  <c r="DK28"/>
  <c r="CH28"/>
  <c r="T28"/>
  <c r="Q28"/>
  <c r="EJ27"/>
  <c r="DR27"/>
  <c r="DU26"/>
  <c r="CH26"/>
  <c r="BG24"/>
  <c r="DX22"/>
  <c r="ES21"/>
  <c r="DO21"/>
  <c r="CH21"/>
  <c r="CE21"/>
  <c r="BG20"/>
  <c r="T20"/>
  <c r="DR19"/>
  <c r="W19"/>
  <c r="CQ18"/>
  <c r="DJ17"/>
  <c r="CD31"/>
  <c r="BG16"/>
  <c r="EA14"/>
  <c r="DU14"/>
  <c r="N14"/>
  <c r="AR15"/>
  <c r="CT26"/>
  <c r="AR27"/>
  <c r="E11" i="1"/>
  <c r="BH33" i="2"/>
  <c r="BH34"/>
  <c r="BH35" s="1"/>
  <c r="BJ31"/>
  <c r="DE34"/>
  <c r="DE35" s="1"/>
  <c r="DE33"/>
  <c r="DJ28"/>
  <c r="DJ27"/>
  <c r="DW31"/>
  <c r="DW35" s="1"/>
  <c r="AH31"/>
  <c r="AH35" s="1"/>
  <c r="EG18"/>
  <c r="DK27"/>
  <c r="DJ21"/>
  <c r="D39" i="16" l="1"/>
  <c r="D50" s="1"/>
  <c r="CD33" i="2"/>
  <c r="CD35"/>
  <c r="AB33"/>
  <c r="AB35"/>
  <c r="S33"/>
  <c r="S35"/>
  <c r="M33"/>
  <c r="M35"/>
  <c r="I10" i="1"/>
  <c r="C10" s="1"/>
  <c r="AD35" i="2"/>
  <c r="CL33"/>
  <c r="CL35"/>
  <c r="I12" i="1"/>
  <c r="C12" s="1"/>
  <c r="AG35" i="2"/>
  <c r="DQ33"/>
  <c r="DQ35"/>
  <c r="J38" i="1"/>
  <c r="ER35" i="2"/>
  <c r="DV33"/>
  <c r="DV35"/>
  <c r="P33"/>
  <c r="P35"/>
  <c r="AQ33"/>
  <c r="AQ35"/>
  <c r="G18"/>
  <c r="D18" s="1"/>
  <c r="AT31"/>
  <c r="AT35" s="1"/>
  <c r="C40" i="5"/>
  <c r="C52" s="1"/>
  <c r="C53" s="1"/>
  <c r="X33" i="2"/>
  <c r="D40" i="18"/>
  <c r="D52" s="1"/>
  <c r="J33" i="2"/>
  <c r="BS15"/>
  <c r="G15"/>
  <c r="D15" s="1"/>
  <c r="CB29"/>
  <c r="D49" i="19"/>
  <c r="E25" i="15"/>
  <c r="ED26" i="2"/>
  <c r="BN31"/>
  <c r="E25" i="5"/>
  <c r="E4" i="13"/>
  <c r="CZ34" i="2"/>
  <c r="CZ35" s="1"/>
  <c r="C25" i="16"/>
  <c r="E25" s="1"/>
  <c r="BS26" i="2"/>
  <c r="F4" i="16"/>
  <c r="E36"/>
  <c r="F36"/>
  <c r="E4" i="10"/>
  <c r="D39"/>
  <c r="D51" s="1"/>
  <c r="F17" i="2"/>
  <c r="C17" s="1"/>
  <c r="BP15"/>
  <c r="CB18"/>
  <c r="CB23"/>
  <c r="E4" i="16"/>
  <c r="C40" i="14"/>
  <c r="C51" s="1"/>
  <c r="G51" s="1"/>
  <c r="F4" i="13"/>
  <c r="E25" i="12"/>
  <c r="E71" i="7"/>
  <c r="C40" i="6"/>
  <c r="C52" s="1"/>
  <c r="G16" i="2"/>
  <c r="D16" s="1"/>
  <c r="BO31"/>
  <c r="BO35" s="1"/>
  <c r="E4" i="5"/>
  <c r="F4" i="4"/>
  <c r="D37"/>
  <c r="D47" s="1"/>
  <c r="DG20" i="2"/>
  <c r="DL23"/>
  <c r="DL19"/>
  <c r="BM31"/>
  <c r="BM33" s="1"/>
  <c r="DY31"/>
  <c r="ES26"/>
  <c r="D40" i="14"/>
  <c r="AL31" i="2"/>
  <c r="AL35" s="1"/>
  <c r="DL24"/>
  <c r="H20"/>
  <c r="C19"/>
  <c r="BL34"/>
  <c r="BL35" s="1"/>
  <c r="F98" i="8"/>
  <c r="CB16" i="2"/>
  <c r="DG14"/>
  <c r="H31" i="1"/>
  <c r="BK34" i="2"/>
  <c r="BK35" s="1"/>
  <c r="C16"/>
  <c r="CB19"/>
  <c r="C28"/>
  <c r="AZ31"/>
  <c r="E4" i="11"/>
  <c r="F25" i="9"/>
  <c r="F71" i="7"/>
  <c r="E25" i="6"/>
  <c r="F4" i="5"/>
  <c r="C23" i="2"/>
  <c r="E25" i="19"/>
  <c r="DL29" i="2"/>
  <c r="C37" i="17"/>
  <c r="C52" s="1"/>
  <c r="G52" s="1"/>
  <c r="DL26" i="2"/>
  <c r="BA25"/>
  <c r="F25" i="15"/>
  <c r="DH22" i="2"/>
  <c r="F25" i="12"/>
  <c r="F4" i="11"/>
  <c r="AJ33" i="2"/>
  <c r="I13" i="1"/>
  <c r="C13" s="1"/>
  <c r="F101" i="5"/>
  <c r="E4" i="4"/>
  <c r="F94"/>
  <c r="CB26" i="2"/>
  <c r="DL18"/>
  <c r="DL15"/>
  <c r="F25" i="19"/>
  <c r="BG29" i="2"/>
  <c r="C26"/>
  <c r="DH25"/>
  <c r="CB25"/>
  <c r="O33"/>
  <c r="F24"/>
  <c r="C24" s="1"/>
  <c r="CB24"/>
  <c r="G22"/>
  <c r="H22" s="1"/>
  <c r="C40" i="12"/>
  <c r="C51" s="1"/>
  <c r="C39" i="11"/>
  <c r="C51" s="1"/>
  <c r="CF33" i="2"/>
  <c r="CB17"/>
  <c r="C39" i="7"/>
  <c r="C50" s="1"/>
  <c r="DL17" i="2"/>
  <c r="F25" i="6"/>
  <c r="AO31" i="2"/>
  <c r="AD33"/>
  <c r="AN34"/>
  <c r="AN35" s="1"/>
  <c r="V33"/>
  <c r="E101" i="5"/>
  <c r="ER33" i="2"/>
  <c r="C15"/>
  <c r="AA33"/>
  <c r="I6" i="1"/>
  <c r="C6" s="1"/>
  <c r="C37" i="4"/>
  <c r="C47" s="1"/>
  <c r="E94"/>
  <c r="I8" i="1"/>
  <c r="C8" s="1"/>
  <c r="DH15" i="2"/>
  <c r="CB20"/>
  <c r="C22"/>
  <c r="CB14"/>
  <c r="AG33"/>
  <c r="D28"/>
  <c r="H28"/>
  <c r="CB27"/>
  <c r="F4" i="15"/>
  <c r="CO33" i="2"/>
  <c r="DT34"/>
  <c r="DT35" s="1"/>
  <c r="CB28"/>
  <c r="E89" i="18"/>
  <c r="BZ31" i="2"/>
  <c r="BZ35" s="1"/>
  <c r="DU31"/>
  <c r="DU33" s="1"/>
  <c r="I33"/>
  <c r="D27"/>
  <c r="DO31"/>
  <c r="CQ31"/>
  <c r="CP33"/>
  <c r="DS33"/>
  <c r="CC33"/>
  <c r="I5" i="1"/>
  <c r="C5" s="1"/>
  <c r="L33" i="2"/>
  <c r="N31"/>
  <c r="G4" i="1"/>
  <c r="G26" i="2"/>
  <c r="D26" s="1"/>
  <c r="AF31"/>
  <c r="AE33"/>
  <c r="J10" i="1"/>
  <c r="D10" s="1"/>
  <c r="DR31" i="2"/>
  <c r="DR33" s="1"/>
  <c r="E4" i="15"/>
  <c r="D40"/>
  <c r="D51" s="1"/>
  <c r="DP33" i="2"/>
  <c r="DL25"/>
  <c r="D29"/>
  <c r="EX29" s="1"/>
  <c r="J25" i="1"/>
  <c r="D25" s="1"/>
  <c r="CS33" i="2"/>
  <c r="AM33"/>
  <c r="DH16"/>
  <c r="ED28"/>
  <c r="F25" i="10"/>
  <c r="D25" i="2"/>
  <c r="DN33"/>
  <c r="AP31"/>
  <c r="H34" i="1"/>
  <c r="D34"/>
  <c r="E34" s="1"/>
  <c r="K31" i="2"/>
  <c r="BQ31"/>
  <c r="BQ33" s="1"/>
  <c r="DG18"/>
  <c r="D39" i="11"/>
  <c r="D51" s="1"/>
  <c r="DG23" i="2"/>
  <c r="J5" i="1"/>
  <c r="D5" s="1"/>
  <c r="C37" i="13"/>
  <c r="C49" s="1"/>
  <c r="DM33" i="2"/>
  <c r="E98" i="8"/>
  <c r="F29" i="2"/>
  <c r="C29" s="1"/>
  <c r="D20"/>
  <c r="Q31"/>
  <c r="R33"/>
  <c r="D24"/>
  <c r="I7" i="1"/>
  <c r="E25" i="9"/>
  <c r="EM18" i="2"/>
  <c r="C20"/>
  <c r="CJ33"/>
  <c r="AS33"/>
  <c r="C14"/>
  <c r="J6" i="1"/>
  <c r="D6" s="1"/>
  <c r="CM33" i="2"/>
  <c r="Z19"/>
  <c r="DG22"/>
  <c r="DL16"/>
  <c r="U33"/>
  <c r="DH28"/>
  <c r="EN31"/>
  <c r="BS28"/>
  <c r="C40" i="15"/>
  <c r="DL22" i="2"/>
  <c r="EG19"/>
  <c r="D40" i="5"/>
  <c r="T31" i="2"/>
  <c r="F99" i="12"/>
  <c r="E99"/>
  <c r="CH31" i="2"/>
  <c r="DK31"/>
  <c r="CG33"/>
  <c r="AK34"/>
  <c r="AK35" s="1"/>
  <c r="J13" i="1"/>
  <c r="D13" s="1"/>
  <c r="AK33" i="2"/>
  <c r="AX33"/>
  <c r="AX34"/>
  <c r="AX35" s="1"/>
  <c r="F25" i="5"/>
  <c r="CN31" i="2"/>
  <c r="C40" i="18"/>
  <c r="AC31" i="2"/>
  <c r="J8" i="1"/>
  <c r="W31" i="2"/>
  <c r="CE31"/>
  <c r="AU18"/>
  <c r="DH20"/>
  <c r="DB33"/>
  <c r="DC31"/>
  <c r="DB34"/>
  <c r="DB35" s="1"/>
  <c r="CB15"/>
  <c r="F4" i="18"/>
  <c r="E4"/>
  <c r="DZ33" i="2"/>
  <c r="J30" i="1"/>
  <c r="D30" s="1"/>
  <c r="DL28" i="2"/>
  <c r="E25" i="18"/>
  <c r="E25" i="10"/>
  <c r="C39" i="9"/>
  <c r="BE33" i="2"/>
  <c r="I18" i="1"/>
  <c r="C18" s="1"/>
  <c r="E72" i="10"/>
  <c r="F21" i="2"/>
  <c r="C27"/>
  <c r="H27"/>
  <c r="EE24"/>
  <c r="E72" i="14"/>
  <c r="F72"/>
  <c r="C98"/>
  <c r="G98" s="1"/>
  <c r="EK21" i="2"/>
  <c r="EM21" s="1"/>
  <c r="F81" i="11"/>
  <c r="E81"/>
  <c r="DH14" i="2"/>
  <c r="DL14"/>
  <c r="EE16"/>
  <c r="C101" i="6"/>
  <c r="E73"/>
  <c r="EV16" i="2"/>
  <c r="ET31"/>
  <c r="F73" i="18"/>
  <c r="E73"/>
  <c r="EE28" i="2"/>
  <c r="EG28" s="1"/>
  <c r="F25" i="7"/>
  <c r="E25"/>
  <c r="F72" i="11"/>
  <c r="E72"/>
  <c r="EE21" i="2"/>
  <c r="EG21" s="1"/>
  <c r="C98" i="11"/>
  <c r="CV33" i="2"/>
  <c r="CW31"/>
  <c r="CV34"/>
  <c r="CV35" s="1"/>
  <c r="E4" i="12"/>
  <c r="D40"/>
  <c r="F4"/>
  <c r="F12" i="9"/>
  <c r="E12"/>
  <c r="D4"/>
  <c r="Y31" i="2"/>
  <c r="Y35" s="1"/>
  <c r="G17"/>
  <c r="Z17"/>
  <c r="F4" i="10"/>
  <c r="C39"/>
  <c r="EJ15" i="2"/>
  <c r="C19" i="1"/>
  <c r="F14"/>
  <c r="EG15" i="2"/>
  <c r="DG15"/>
  <c r="E4" i="6"/>
  <c r="D40"/>
  <c r="F4"/>
  <c r="G14" i="2"/>
  <c r="BG14"/>
  <c r="BF31"/>
  <c r="BF35" s="1"/>
  <c r="F57" i="18"/>
  <c r="E57"/>
  <c r="C99"/>
  <c r="G99" s="1"/>
  <c r="EE25" i="2"/>
  <c r="E72" i="15"/>
  <c r="F72"/>
  <c r="ED21" i="2"/>
  <c r="DH21"/>
  <c r="ED19"/>
  <c r="DH19"/>
  <c r="E25" i="11"/>
  <c r="F25"/>
  <c r="EJ20" i="2"/>
  <c r="EI31"/>
  <c r="EI35" s="1"/>
  <c r="EG23"/>
  <c r="EG20"/>
  <c r="F96" i="13"/>
  <c r="EB31" i="2"/>
  <c r="EB35" s="1"/>
  <c r="DG19"/>
  <c r="ED27"/>
  <c r="CI33"/>
  <c r="CK31"/>
  <c r="DH17"/>
  <c r="EG17"/>
  <c r="EF31"/>
  <c r="EF35" s="1"/>
  <c r="EO31"/>
  <c r="EO35" s="1"/>
  <c r="EP18"/>
  <c r="BA18"/>
  <c r="AY31"/>
  <c r="AY35" s="1"/>
  <c r="F18"/>
  <c r="C35" i="1"/>
  <c r="E35" s="1"/>
  <c r="F28"/>
  <c r="H35"/>
  <c r="F4"/>
  <c r="H5"/>
  <c r="ED14" i="2"/>
  <c r="EC31"/>
  <c r="EC35" s="1"/>
  <c r="D19"/>
  <c r="H19"/>
  <c r="D4" i="7"/>
  <c r="F12"/>
  <c r="E12"/>
  <c r="D37" i="17"/>
  <c r="F4"/>
  <c r="E4"/>
  <c r="E4" i="14"/>
  <c r="F4"/>
  <c r="EM19" i="2"/>
  <c r="EL31"/>
  <c r="EL35" s="1"/>
  <c r="F103" i="9"/>
  <c r="E103"/>
  <c r="E76" i="7"/>
  <c r="F76"/>
  <c r="C97"/>
  <c r="EH17" i="2"/>
  <c r="EJ17" s="1"/>
  <c r="ES19"/>
  <c r="EQ31"/>
  <c r="EQ35" s="1"/>
  <c r="F25" i="4"/>
  <c r="E25"/>
  <c r="F74" i="19"/>
  <c r="EH29" i="2"/>
  <c r="E74" i="19"/>
  <c r="F95"/>
  <c r="EE26" i="2"/>
  <c r="F71" i="16"/>
  <c r="C97"/>
  <c r="G97" s="1"/>
  <c r="E71"/>
  <c r="EM14" i="2"/>
  <c r="E25" i="8"/>
  <c r="F25"/>
  <c r="F25" i="17"/>
  <c r="E25"/>
  <c r="G23" i="2"/>
  <c r="BR31"/>
  <c r="BR35" s="1"/>
  <c r="D39" i="8"/>
  <c r="F4"/>
  <c r="E4"/>
  <c r="D39" i="1"/>
  <c r="H39"/>
  <c r="G28"/>
  <c r="E96" i="13"/>
  <c r="F72" i="10"/>
  <c r="C99"/>
  <c r="E99" s="1"/>
  <c r="F25" i="18"/>
  <c r="DL20" i="2"/>
  <c r="C39" i="8"/>
  <c r="C51" s="1"/>
  <c r="G51" s="1"/>
  <c r="D37" i="13"/>
  <c r="F25"/>
  <c r="E25"/>
  <c r="CB21" i="2"/>
  <c r="D21"/>
  <c r="EK27"/>
  <c r="DG27" s="1"/>
  <c r="C99" i="17"/>
  <c r="D16" i="1"/>
  <c r="E16" s="1"/>
  <c r="G14"/>
  <c r="H16"/>
  <c r="E4" i="19"/>
  <c r="C37"/>
  <c r="C48" s="1"/>
  <c r="F4"/>
  <c r="H7" i="1"/>
  <c r="F25" i="14"/>
  <c r="E25"/>
  <c r="I25" i="1"/>
  <c r="CR33" i="2"/>
  <c r="CT31"/>
  <c r="E38" i="4"/>
  <c r="F38"/>
  <c r="EJ26" i="2"/>
  <c r="DH26"/>
  <c r="F25"/>
  <c r="BS25"/>
  <c r="EV20"/>
  <c r="EU31"/>
  <c r="BB34"/>
  <c r="BB35" s="1"/>
  <c r="BB33"/>
  <c r="BD31"/>
  <c r="F73" i="6"/>
  <c r="F82" i="17"/>
  <c r="DH23" i="2"/>
  <c r="DH18"/>
  <c r="DL21"/>
  <c r="CB22"/>
  <c r="CA31"/>
  <c r="CA35" s="1"/>
  <c r="BJ33"/>
  <c r="BJ34"/>
  <c r="BJ35" s="1"/>
  <c r="DX31"/>
  <c r="DW33"/>
  <c r="DH27"/>
  <c r="DL27"/>
  <c r="AH33"/>
  <c r="J12" i="1"/>
  <c r="AI31" i="2"/>
  <c r="DJ31"/>
  <c r="DJ35" s="1"/>
  <c r="C50" i="13" l="1"/>
  <c r="C52" i="12"/>
  <c r="G51"/>
  <c r="D53" i="18"/>
  <c r="F51" i="11"/>
  <c r="E10" i="1"/>
  <c r="C52" i="8"/>
  <c r="DK33" i="2"/>
  <c r="DK35"/>
  <c r="I15" i="1"/>
  <c r="C15" s="1"/>
  <c r="AP35" i="2"/>
  <c r="AO33"/>
  <c r="AO35"/>
  <c r="J17" i="1"/>
  <c r="D17" s="1"/>
  <c r="AZ35" i="2"/>
  <c r="I30" i="1"/>
  <c r="C30" s="1"/>
  <c r="E30" s="1"/>
  <c r="DY35" i="2"/>
  <c r="I20" i="1"/>
  <c r="C20" s="1"/>
  <c r="BN35" i="2"/>
  <c r="EN33"/>
  <c r="EN35"/>
  <c r="D52" i="15"/>
  <c r="D52" i="11"/>
  <c r="D52" i="10"/>
  <c r="C52" i="9"/>
  <c r="C53" s="1"/>
  <c r="W33" i="2"/>
  <c r="C53" i="17"/>
  <c r="EW23" i="2"/>
  <c r="DG28"/>
  <c r="EW28" s="1"/>
  <c r="F25" i="16"/>
  <c r="BN33" i="2"/>
  <c r="E16"/>
  <c r="EX25"/>
  <c r="E28"/>
  <c r="C39" i="16"/>
  <c r="C50" s="1"/>
  <c r="BM34" i="2"/>
  <c r="BM35" s="1"/>
  <c r="EW20"/>
  <c r="J20" i="1"/>
  <c r="D20" s="1"/>
  <c r="BO33" i="2"/>
  <c r="C53" i="6"/>
  <c r="BP31" i="2"/>
  <c r="H16"/>
  <c r="DI14"/>
  <c r="EW19"/>
  <c r="EA31"/>
  <c r="DY33"/>
  <c r="DG21"/>
  <c r="DI21" s="1"/>
  <c r="EW14"/>
  <c r="AZ33"/>
  <c r="EW22"/>
  <c r="C51" i="7"/>
  <c r="F101" i="6"/>
  <c r="H15" i="2"/>
  <c r="EX16"/>
  <c r="E26"/>
  <c r="H26"/>
  <c r="H24"/>
  <c r="E24"/>
  <c r="D22"/>
  <c r="E22" s="1"/>
  <c r="F39" i="11"/>
  <c r="E6" i="1"/>
  <c r="E37" i="4"/>
  <c r="F37"/>
  <c r="I21" i="1"/>
  <c r="C21" s="1"/>
  <c r="I24"/>
  <c r="I4"/>
  <c r="E27" i="2"/>
  <c r="EX20"/>
  <c r="K8" i="1"/>
  <c r="DI23" i="2"/>
  <c r="D8" i="1"/>
  <c r="E8" s="1"/>
  <c r="EX28" i="2"/>
  <c r="BQ34"/>
  <c r="BQ35" s="1"/>
  <c r="F40" i="18"/>
  <c r="K5" i="1"/>
  <c r="BZ33" i="2"/>
  <c r="C7" i="1"/>
  <c r="C4" s="1"/>
  <c r="EW27" i="2"/>
  <c r="J29" i="1"/>
  <c r="D29" s="1"/>
  <c r="D51" i="16"/>
  <c r="K10" i="1"/>
  <c r="H14"/>
  <c r="AP33" i="2"/>
  <c r="AR31"/>
  <c r="H29"/>
  <c r="EX24"/>
  <c r="E29"/>
  <c r="EX18"/>
  <c r="I37" i="1"/>
  <c r="E39" i="11"/>
  <c r="E101" i="6"/>
  <c r="E40" i="18"/>
  <c r="C52"/>
  <c r="C48" i="4"/>
  <c r="E20" i="2"/>
  <c r="K6" i="1"/>
  <c r="DI20" i="2"/>
  <c r="DI22"/>
  <c r="C51" i="15"/>
  <c r="F40"/>
  <c r="E40"/>
  <c r="D52" i="5"/>
  <c r="G52" s="1"/>
  <c r="E40"/>
  <c r="F40"/>
  <c r="E97" i="7"/>
  <c r="EX21" i="2"/>
  <c r="F97" i="7"/>
  <c r="DC34" i="2"/>
  <c r="DC35" s="1"/>
  <c r="DC33"/>
  <c r="AT33"/>
  <c r="J15" i="1"/>
  <c r="AU31" i="2"/>
  <c r="H28" i="1"/>
  <c r="EK31" i="2"/>
  <c r="E95" i="19"/>
  <c r="DG17" i="2"/>
  <c r="EW17" s="1"/>
  <c r="EM27"/>
  <c r="H21"/>
  <c r="C21"/>
  <c r="E21" s="1"/>
  <c r="F37" i="13"/>
  <c r="D49"/>
  <c r="E37"/>
  <c r="H23" i="2"/>
  <c r="D23"/>
  <c r="F97" i="16"/>
  <c r="E97"/>
  <c r="E4" i="7"/>
  <c r="D39"/>
  <c r="F4"/>
  <c r="H4" i="1"/>
  <c r="F23"/>
  <c r="F27" s="1"/>
  <c r="F43" s="1"/>
  <c r="EI33" i="2"/>
  <c r="J33" i="1"/>
  <c r="F98" i="15"/>
  <c r="E98"/>
  <c r="F99" i="18"/>
  <c r="E99"/>
  <c r="D17" i="2"/>
  <c r="H17"/>
  <c r="ET33"/>
  <c r="ET34"/>
  <c r="ET35" s="1"/>
  <c r="I41" i="1"/>
  <c r="DG16" i="2"/>
  <c r="EG16"/>
  <c r="EE31"/>
  <c r="EE35" s="1"/>
  <c r="E98" i="14"/>
  <c r="F98"/>
  <c r="F47" i="4"/>
  <c r="E47"/>
  <c r="D48"/>
  <c r="BD34" i="2"/>
  <c r="BD35" s="1"/>
  <c r="BD33"/>
  <c r="E37" i="19"/>
  <c r="F37"/>
  <c r="E39" i="1"/>
  <c r="J21"/>
  <c r="D21" s="1"/>
  <c r="BR33" i="2"/>
  <c r="BS31"/>
  <c r="EQ33"/>
  <c r="I38" i="1"/>
  <c r="ES31" i="2"/>
  <c r="EC33"/>
  <c r="J31" i="1"/>
  <c r="D31" s="1"/>
  <c r="ED31" i="2"/>
  <c r="BA31"/>
  <c r="AY33"/>
  <c r="I17" i="1"/>
  <c r="J32"/>
  <c r="EF33" i="2"/>
  <c r="I31" i="1"/>
  <c r="C31" s="1"/>
  <c r="EB33" i="2"/>
  <c r="EG25"/>
  <c r="DG25"/>
  <c r="DI25" s="1"/>
  <c r="J18" i="1"/>
  <c r="BF33" i="2"/>
  <c r="BG31"/>
  <c r="BG33" s="1"/>
  <c r="E40" i="6"/>
  <c r="F40"/>
  <c r="D52"/>
  <c r="E15" i="2"/>
  <c r="EX15"/>
  <c r="E98" i="11"/>
  <c r="F98"/>
  <c r="EG24" i="2"/>
  <c r="DG24"/>
  <c r="DI19"/>
  <c r="F99" i="10"/>
  <c r="G23" i="1"/>
  <c r="E5"/>
  <c r="DI18" i="2"/>
  <c r="EH31"/>
  <c r="EH35" s="1"/>
  <c r="C52" i="11"/>
  <c r="E51"/>
  <c r="J41" i="1"/>
  <c r="EU34" i="2"/>
  <c r="EU35" s="1"/>
  <c r="EV31"/>
  <c r="EU33"/>
  <c r="EX26"/>
  <c r="F39" i="8"/>
  <c r="D51"/>
  <c r="E39"/>
  <c r="DG26" i="2"/>
  <c r="EW26" s="1"/>
  <c r="EG26"/>
  <c r="J36" i="1"/>
  <c r="EL33" i="2"/>
  <c r="E19"/>
  <c r="EX19"/>
  <c r="C18"/>
  <c r="H18"/>
  <c r="F31"/>
  <c r="F35" s="1"/>
  <c r="EO33"/>
  <c r="J37" i="1"/>
  <c r="EP31" i="2"/>
  <c r="E4" i="9"/>
  <c r="F4"/>
  <c r="D39"/>
  <c r="F40" i="12"/>
  <c r="D51"/>
  <c r="H51" s="1"/>
  <c r="E40"/>
  <c r="E99" i="17"/>
  <c r="H25" i="2"/>
  <c r="C25"/>
  <c r="K25" i="1"/>
  <c r="C25"/>
  <c r="E25" s="1"/>
  <c r="EJ29" i="2"/>
  <c r="DG29"/>
  <c r="F40" i="14"/>
  <c r="D51"/>
  <c r="H51" s="1"/>
  <c r="E40"/>
  <c r="D52" i="17"/>
  <c r="H52" s="1"/>
  <c r="E37"/>
  <c r="F37"/>
  <c r="H14" i="2"/>
  <c r="G31"/>
  <c r="G35" s="1"/>
  <c r="D14"/>
  <c r="EW15"/>
  <c r="DI15"/>
  <c r="C51" i="10"/>
  <c r="F39"/>
  <c r="E39"/>
  <c r="J7" i="1"/>
  <c r="J4" s="1"/>
  <c r="Y33" i="2"/>
  <c r="Z31"/>
  <c r="CW33"/>
  <c r="F99" i="17"/>
  <c r="C52" i="14"/>
  <c r="I29" i="1"/>
  <c r="C29" s="1"/>
  <c r="DJ33" i="2"/>
  <c r="EX27"/>
  <c r="DI27"/>
  <c r="K12" i="1"/>
  <c r="D12"/>
  <c r="DH31" i="2"/>
  <c r="DH35" s="1"/>
  <c r="DL31"/>
  <c r="CB31"/>
  <c r="J24" i="1"/>
  <c r="CA33" i="2"/>
  <c r="E50" i="16" l="1"/>
  <c r="G50"/>
  <c r="C53" i="18"/>
  <c r="E20" i="1"/>
  <c r="E37"/>
  <c r="K30"/>
  <c r="EM31" i="2"/>
  <c r="EK35"/>
  <c r="C52" i="15"/>
  <c r="E31" i="1"/>
  <c r="E29"/>
  <c r="D28"/>
  <c r="K38"/>
  <c r="C38"/>
  <c r="DI28" i="2"/>
  <c r="EY28"/>
  <c r="F50" i="16"/>
  <c r="C51"/>
  <c r="F39"/>
  <c r="E39"/>
  <c r="EY20" i="2"/>
  <c r="EY19"/>
  <c r="EX22"/>
  <c r="EY22" s="1"/>
  <c r="DI17"/>
  <c r="D31"/>
  <c r="D35" s="1"/>
  <c r="EY27"/>
  <c r="K29" i="1"/>
  <c r="EK33" i="2"/>
  <c r="E52" i="18"/>
  <c r="F52"/>
  <c r="D53" i="6"/>
  <c r="E51" i="15"/>
  <c r="F51"/>
  <c r="D53" i="5"/>
  <c r="E52"/>
  <c r="F52"/>
  <c r="I36" i="1"/>
  <c r="K36" s="1"/>
  <c r="K15"/>
  <c r="D15"/>
  <c r="E15" s="1"/>
  <c r="EY15" i="2"/>
  <c r="DI26"/>
  <c r="EW21"/>
  <c r="EY21" s="1"/>
  <c r="DG31"/>
  <c r="J28" i="1"/>
  <c r="C17"/>
  <c r="K17"/>
  <c r="I14"/>
  <c r="I32"/>
  <c r="K32" s="1"/>
  <c r="EE33" i="2"/>
  <c r="G33"/>
  <c r="H31"/>
  <c r="EW29"/>
  <c r="EY29" s="1"/>
  <c r="DI29"/>
  <c r="F51" i="12"/>
  <c r="E51"/>
  <c r="D52"/>
  <c r="EX14" i="2"/>
  <c r="E14"/>
  <c r="E51" i="14"/>
  <c r="F51"/>
  <c r="D52"/>
  <c r="E39" i="9"/>
  <c r="D52"/>
  <c r="F39"/>
  <c r="E23" i="2"/>
  <c r="EX23"/>
  <c r="EY23" s="1"/>
  <c r="EG31"/>
  <c r="K31" i="1"/>
  <c r="F39" i="7"/>
  <c r="D50"/>
  <c r="E39"/>
  <c r="I33" i="1"/>
  <c r="K33" s="1"/>
  <c r="EH33" i="2"/>
  <c r="EX17"/>
  <c r="EY17" s="1"/>
  <c r="E17"/>
  <c r="D50" i="13"/>
  <c r="E49"/>
  <c r="F49"/>
  <c r="D7" i="1"/>
  <c r="E7" s="1"/>
  <c r="K7"/>
  <c r="F33" i="2"/>
  <c r="F51" i="8"/>
  <c r="D52"/>
  <c r="E51"/>
  <c r="E52" i="6"/>
  <c r="F52"/>
  <c r="C52" i="10"/>
  <c r="E51"/>
  <c r="F51"/>
  <c r="D53" i="17"/>
  <c r="F52"/>
  <c r="E52"/>
  <c r="EW25" i="2"/>
  <c r="EY25" s="1"/>
  <c r="E25"/>
  <c r="EW18"/>
  <c r="EY18" s="1"/>
  <c r="E18"/>
  <c r="C31"/>
  <c r="C35" s="1"/>
  <c r="G27" i="1"/>
  <c r="H23"/>
  <c r="DI24" i="2"/>
  <c r="EW24"/>
  <c r="EY24" s="1"/>
  <c r="J14" i="1"/>
  <c r="J23" s="1"/>
  <c r="J27" s="1"/>
  <c r="K18"/>
  <c r="D18"/>
  <c r="E48" i="19"/>
  <c r="C49"/>
  <c r="F48"/>
  <c r="EW16" i="2"/>
  <c r="EY16" s="1"/>
  <c r="DI16"/>
  <c r="EY26"/>
  <c r="EJ31"/>
  <c r="K4" i="1"/>
  <c r="DH33" i="2"/>
  <c r="E12" i="1"/>
  <c r="K24"/>
  <c r="DI31" i="2" l="1"/>
  <c r="DG35"/>
  <c r="E38" i="1"/>
  <c r="C28"/>
  <c r="E28" s="1"/>
  <c r="E31" i="2"/>
  <c r="D33"/>
  <c r="I28" i="1"/>
  <c r="K28" s="1"/>
  <c r="DG33" i="2"/>
  <c r="EY14"/>
  <c r="EX31"/>
  <c r="EX35" s="1"/>
  <c r="D53" i="9"/>
  <c r="F52"/>
  <c r="E52"/>
  <c r="E18" i="1"/>
  <c r="D14"/>
  <c r="D4"/>
  <c r="E4" s="1"/>
  <c r="K14"/>
  <c r="I23"/>
  <c r="I27" s="1"/>
  <c r="G43"/>
  <c r="H27"/>
  <c r="F50" i="7"/>
  <c r="D51"/>
  <c r="E50"/>
  <c r="EW31" i="2"/>
  <c r="EW35" s="1"/>
  <c r="C33"/>
  <c r="E17" i="1"/>
  <c r="C14"/>
  <c r="C23" s="1"/>
  <c r="C27" s="1"/>
  <c r="J43"/>
  <c r="C43" l="1"/>
  <c r="D23"/>
  <c r="D27" s="1"/>
  <c r="I43"/>
  <c r="F44" s="1"/>
  <c r="F45" s="1"/>
  <c r="E14"/>
  <c r="G44"/>
  <c r="EX33" i="2"/>
  <c r="EY31"/>
  <c r="EW33"/>
  <c r="K27" i="1"/>
  <c r="K23"/>
  <c r="E23" l="1"/>
  <c r="G45"/>
  <c r="C44"/>
  <c r="E27"/>
  <c r="D43"/>
  <c r="D44" s="1"/>
</calcChain>
</file>

<file path=xl/sharedStrings.xml><?xml version="1.0" encoding="utf-8"?>
<sst xmlns="http://schemas.openxmlformats.org/spreadsheetml/2006/main" count="2860" uniqueCount="441">
  <si>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</si>
  <si>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</si>
  <si>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</si>
  <si>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</si>
  <si>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</si>
  <si>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</si>
  <si>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>НАЛОГИ НА СОВОКУПНЫЙ ДОХОД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</si>
  <si>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</si>
  <si>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</si>
  <si>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</si>
  <si>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</si>
  <si>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</si>
  <si>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</si>
  <si>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Доходы от сдачи в аренду имущ.наход.</t>
  </si>
  <si>
    <t xml:space="preserve">  Доходы от оказания платных услуг</t>
  </si>
  <si>
    <t xml:space="preserve">Д. в. за соверш. преступл, и возмещение ущерба имущ. </t>
  </si>
  <si>
    <t>Денежные взыскания  (штрафы) за нарушения законодательства РФ о размещении заказов на поставки товаров, выполнение работ, оказание услуг</t>
  </si>
  <si>
    <t>Невыясненные поступления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</si>
  <si>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</si>
  <si>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</si>
  <si>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</si>
  <si>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</si>
  <si>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</si>
  <si>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</si>
  <si>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</si>
  <si>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</si>
  <si>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</si>
  <si>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</si>
  <si>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</si>
  <si>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</si>
  <si>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</si>
  <si>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</si>
  <si>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</si>
  <si>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</si>
  <si>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</si>
  <si>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</si>
  <si>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</si>
  <si>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</si>
  <si>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</si>
  <si>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</si>
  <si>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</si>
  <si>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</si>
  <si>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</si>
  <si>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</si>
  <si>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</si>
  <si>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</si>
  <si>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</si>
  <si>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</si>
  <si>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</si>
  <si>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</si>
  <si>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</si>
  <si>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</si>
  <si>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</si>
  <si>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</si>
  <si>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</si>
  <si>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</si>
  <si>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</si>
  <si>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</si>
  <si>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</si>
  <si>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</si>
  <si>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</si>
  <si>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</si>
  <si>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</si>
  <si>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</si>
  <si>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</si>
  <si>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</si>
  <si>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</si>
  <si>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</si>
  <si>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</si>
  <si>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</si>
  <si>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</si>
  <si>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</si>
  <si>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</si>
  <si>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</si>
  <si>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</si>
  <si>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</si>
  <si>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</si>
  <si>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</si>
  <si>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</si>
  <si>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</si>
  <si>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</si>
  <si>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</si>
  <si>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</si>
  <si>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</si>
  <si>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</si>
  <si>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</si>
  <si>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</si>
  <si>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</si>
  <si>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</si>
  <si>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</si>
  <si>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</si>
  <si>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</si>
  <si>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</si>
  <si>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</si>
  <si>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</si>
  <si>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</si>
  <si>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</si>
  <si>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</si>
  <si>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</si>
  <si>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</si>
  <si>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</si>
  <si>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</si>
  <si>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</si>
  <si>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</si>
  <si>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</si>
  <si>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</si>
  <si>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</si>
  <si>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</si>
  <si>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</si>
  <si>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</si>
  <si>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</si>
  <si>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</si>
  <si>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</si>
  <si>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</si>
  <si>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</si>
  <si>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</si>
  <si>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</si>
  <si>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</si>
  <si>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</si>
  <si>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</si>
  <si>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</si>
  <si>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</si>
  <si>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</si>
  <si>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</si>
  <si>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</si>
  <si>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</si>
  <si>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</si>
  <si>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</si>
  <si>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</si>
  <si>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</si>
  <si>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</si>
  <si>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</si>
  <si>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</si>
  <si>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</si>
  <si>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</si>
  <si>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</si>
  <si>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</si>
  <si>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</si>
  <si>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</si>
  <si>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</si>
  <si>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</si>
  <si>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</si>
  <si>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</si>
  <si>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</si>
  <si>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</si>
  <si>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</si>
  <si>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</si>
  <si>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</si>
  <si>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</si>
  <si>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</si>
  <si>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</si>
  <si>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</si>
  <si>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</si>
  <si>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</si>
  <si>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</si>
  <si>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</si>
  <si>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</si>
  <si>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</si>
  <si>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Продажа земли                                          000 114 06014100000 420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</si>
  <si>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</si>
  <si>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</si>
  <si>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</si>
  <si>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</si>
  <si>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</si>
  <si>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</si>
  <si>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</si>
  <si>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</si>
  <si>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</si>
  <si>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</si>
  <si>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</si>
  <si>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</si>
  <si>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</si>
  <si>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</si>
  <si>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</si>
  <si>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</si>
  <si>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</si>
  <si>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</si>
  <si>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</si>
  <si>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</si>
  <si>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</si>
  <si>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</si>
  <si>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</si>
  <si>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</si>
  <si>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</si>
  <si>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</si>
  <si>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</si>
  <si>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</si>
  <si>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</si>
  <si>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</si>
  <si>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</si>
  <si>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</si>
  <si>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</si>
  <si>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</si>
  <si>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</si>
  <si>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</si>
  <si>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</si>
  <si>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</si>
  <si>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</si>
  <si>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</si>
  <si>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</si>
  <si>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</si>
  <si>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</si>
  <si>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</si>
  <si>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</si>
  <si>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</si>
  <si>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</si>
  <si>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</si>
  <si>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</si>
  <si>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</si>
  <si>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</si>
  <si>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</si>
  <si>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</si>
  <si>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</si>
  <si>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</si>
  <si>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</si>
  <si>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</si>
  <si>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</si>
  <si>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администрации Моргаушского района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</si>
  <si>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</si>
  <si>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</si>
  <si>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</si>
  <si>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</si>
  <si>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</si>
  <si>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</si>
  <si>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</si>
  <si>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</si>
  <si>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</si>
  <si>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</si>
  <si>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</si>
  <si>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</si>
  <si>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</si>
  <si>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</si>
  <si>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</si>
  <si>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</si>
  <si>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</si>
  <si>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</si>
  <si>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Прочие поступления от денежных взысканий и иных сумм от возмещение ущерба</t>
  </si>
  <si>
    <t>Д. в. за наруш. Зак.в области сан.эпидем.благоп.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</si>
  <si>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</si>
  <si>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</si>
  <si>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</si>
  <si>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</si>
  <si>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</si>
  <si>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</si>
  <si>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Ден.взыс. за наруш. закон. о налогах и сборах</t>
  </si>
  <si>
    <t>Д.в. за административные правонарушения</t>
  </si>
  <si>
    <t>Д. в. за наруш. закон. о применении ККМ</t>
  </si>
  <si>
    <t>Штрафы за адм. правонаруш. в обл. рег. произ-ва спирта</t>
  </si>
  <si>
    <t>Д. в. за наруш. ФЗ "О пожарной безопасности"</t>
  </si>
  <si>
    <t>Другие общегосударственные расходы (0113000000000000)</t>
  </si>
  <si>
    <t>административные платежи и сборы</t>
  </si>
  <si>
    <t>ШТРАФЫ, САНКЦИИ, ВОЗМЕЩЕНИЕ УЩЕРБА</t>
  </si>
  <si>
    <t>Штрафы, санкции, возмещение ущерба (код 000 1 16 00000 00 0000 000)</t>
  </si>
  <si>
    <t>Налог на имущество физ. лиц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</si>
  <si>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</si>
  <si>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</si>
  <si>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</si>
  <si>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</si>
  <si>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</si>
  <si>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</si>
  <si>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</si>
  <si>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Д. в. за взыскания  (штрафы) за нарушения законодательства РФ о об адм. Правонар., предусмотренные ст. 20.25 КоАП</t>
  </si>
  <si>
    <t>Возврат остатков субсидий и субвенций</t>
  </si>
  <si>
    <t>0505</t>
  </si>
  <si>
    <t>Другие вопросы в области ЖКХ</t>
  </si>
  <si>
    <t>Налог, взимаемый в связи с применением патентной системы налогообложения</t>
  </si>
  <si>
    <t>Р.И. Ананьева</t>
  </si>
  <si>
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</si>
  <si>
    <t>Д. в. за наруш. Земельного законодательства</t>
  </si>
  <si>
    <t>Д. в. за правонаруш. В области дорожного движения</t>
  </si>
  <si>
    <t>Прочие безвозмездные поступления в бюджеты поселений</t>
  </si>
  <si>
    <t>Государственная пошлина за соверш. нотар. действ.</t>
  </si>
  <si>
    <t>0804</t>
  </si>
  <si>
    <t>Другие вопросы в области культуры, кинематографии</t>
  </si>
  <si>
    <t>\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</si>
  <si>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</si>
  <si>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муниципального районов ( за исключением земельных участков муниципальных бюджетных и автономных учреждений)</t>
  </si>
  <si>
    <t>Другие вопросы в области жилищно-коммунального хозяйства</t>
  </si>
  <si>
    <t xml:space="preserve">Акцизы </t>
  </si>
  <si>
    <t>Транспортный налог</t>
  </si>
  <si>
    <t>Налоги на товары (работы и услуги) реализуемые на территории РФ</t>
  </si>
  <si>
    <t>Акцизы на автомобильный бензин</t>
  </si>
  <si>
    <t>Акцизы на диз. топливо</t>
  </si>
  <si>
    <t>налоги на товары (работы и услуги), реализуемые на территории РФ</t>
  </si>
  <si>
    <t>транспортный налог</t>
  </si>
  <si>
    <t>Денежные взыскания (штрафы) за нарушение законодательства о налогах и сборах                                                   (116 00000 00 0000 000)</t>
  </si>
  <si>
    <t>Акциз на моторные масла</t>
  </si>
  <si>
    <t>Акциза на прямогонный бензин</t>
  </si>
  <si>
    <t>Акцизы на моторные масла</t>
  </si>
  <si>
    <t xml:space="preserve">Акцизы на прямогонный бензин </t>
  </si>
  <si>
    <t>Акцизы на прямогонный бензин</t>
  </si>
  <si>
    <t>Акцизы на прямогонный  бензин</t>
  </si>
  <si>
    <t>доходы от уплаты акцизов на дизельное топливо 00010302230010000110</t>
  </si>
  <si>
    <t>доходы от уплаты акцизов на автомобильный бензин 00010302250010000110</t>
  </si>
  <si>
    <t>доходы от уплаты акцизов на прямогонный бензин 00010302260010000110</t>
  </si>
  <si>
    <t xml:space="preserve">доходы от уплаты акцизов на моторные масла 00010302240010000110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</si>
  <si>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 (код расхода 00008000000000000000)</t>
  </si>
  <si>
    <t xml:space="preserve">Прочие безвозмездные поступления </t>
  </si>
  <si>
    <t>Межбюджетные трансферты   (140000000000)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</si>
  <si>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</si>
  <si>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</si>
  <si>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</si>
  <si>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</si>
  <si>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Александровское </t>
  </si>
  <si>
    <t xml:space="preserve">Большесундырское </t>
  </si>
  <si>
    <t xml:space="preserve">Ильинское </t>
  </si>
  <si>
    <t xml:space="preserve">Кадикасинское </t>
  </si>
  <si>
    <t xml:space="preserve">Моргаушское </t>
  </si>
  <si>
    <t xml:space="preserve">Москакасинское </t>
  </si>
  <si>
    <t xml:space="preserve">Орининское </t>
  </si>
  <si>
    <t xml:space="preserve">Сятракасинское </t>
  </si>
  <si>
    <t xml:space="preserve">Тораевское </t>
  </si>
  <si>
    <t xml:space="preserve">Хорнойское </t>
  </si>
  <si>
    <t xml:space="preserve">Чуманкасинское </t>
  </si>
  <si>
    <t xml:space="preserve">Шатьмапосинское </t>
  </si>
  <si>
    <t xml:space="preserve">Юнгинское </t>
  </si>
  <si>
    <t xml:space="preserve">Юськасинское </t>
  </si>
  <si>
    <t xml:space="preserve">Ярабайкасинское </t>
  </si>
  <si>
    <t xml:space="preserve">Ярославское </t>
  </si>
  <si>
    <t>Доходы в виде прибыли, приходящейся на доли в уставных капиталах</t>
  </si>
  <si>
    <t xml:space="preserve">(Дефицит -) профицит </t>
  </si>
  <si>
    <t>(Дефицит -) профицит</t>
  </si>
  <si>
    <t>Прочие поступления от денежных взысканий (штрафов) и иных сумм в возмещение ущерба, зачисляемые в бюджеты поселений</t>
  </si>
  <si>
    <t>Сельское хозяйство и рыболовство</t>
  </si>
  <si>
    <t>Доходы от возврата остатка субсидий</t>
  </si>
  <si>
    <t>Возврат остатков субсидий</t>
  </si>
  <si>
    <t>Органы юстиции</t>
  </si>
  <si>
    <t>Арендная плата за землю после разграничения</t>
  </si>
  <si>
    <t>Физическая культура и спорт    (1101000000000000000)</t>
  </si>
  <si>
    <t>Прочие доходы от компенсации затрат государства</t>
  </si>
  <si>
    <t>Сумма по искам о возмещении вреда</t>
  </si>
  <si>
    <t>% исполнения к плану</t>
  </si>
  <si>
    <t>Д. в. за наруш. закон. Об охране животного мира</t>
  </si>
  <si>
    <t>Прочие поступления от использования имущества</t>
  </si>
  <si>
    <t>0703</t>
  </si>
  <si>
    <t>Дополнительное образование детей</t>
  </si>
  <si>
    <t xml:space="preserve"> </t>
  </si>
  <si>
    <t xml:space="preserve">  Доходы от возмещения расходов</t>
  </si>
  <si>
    <t xml:space="preserve">  </t>
  </si>
  <si>
    <t>ШТРАФЫ</t>
  </si>
  <si>
    <t>Прочие поступления от возмещения ущерба</t>
  </si>
  <si>
    <t>Штрафы за нарушение оборота табачной продукции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</si>
  <si>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</si>
  <si>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Прочик поступления от денежных взысканий (штрафов) и иных сумм в возмещение ущерба, зачисляемые в бюджеты сельских поселений</t>
  </si>
  <si>
    <t xml:space="preserve">Д. в. за наруш.  Земельн закон. 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</si>
  <si>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00011105025100000120)</t>
  </si>
  <si>
    <t>дотации  бюджетам поселений на выравнивание уровня бюджетной обеспеченности (код доходов 00020215001100000151)</t>
  </si>
  <si>
    <t>дотации бюджетам  поселений на поддержку мер по обеспечению сбалансированности бюджетов (код доходов 00020215002000000151)</t>
  </si>
  <si>
    <t>Возврат остатков субсидий, субвенций и иных межбюджетных трансфертов, имеющих целевое назначение, прошлых лет</t>
  </si>
  <si>
    <t>Прочие субсидии</t>
  </si>
  <si>
    <t>Прочие безбозмездные поступления</t>
  </si>
  <si>
    <t xml:space="preserve">Прочие безвозмездные поступления  </t>
  </si>
  <si>
    <t xml:space="preserve">Прочие безвозмездные поступления   </t>
  </si>
  <si>
    <t>Прочие налоги и сборы (по отм. местн. нал. и сборам)</t>
  </si>
  <si>
    <t>Прочие доходы от компенсации затрат</t>
  </si>
  <si>
    <t>Доходы от реализации имущества, находящегося в собственности сельских поселений                                  000 11402050100000 410</t>
  </si>
  <si>
    <t>Поступления от денежных пожертвований</t>
  </si>
  <si>
    <t>0314</t>
  </si>
  <si>
    <t>Другие вопросы в области национальной безопасности</t>
  </si>
  <si>
    <t>Доходы от платы об установлении сервитута</t>
  </si>
  <si>
    <t>Другие вопросы в области национльной безопасности</t>
  </si>
  <si>
    <t>Компенсационная выплата</t>
  </si>
  <si>
    <t>Материальная помощь</t>
  </si>
  <si>
    <t>Всего, руб.</t>
  </si>
  <si>
    <t>Примечание</t>
  </si>
  <si>
    <t xml:space="preserve"> стало без ФО адм (10ед)</t>
  </si>
  <si>
    <t>было без ФО и адм (10 ед.)</t>
  </si>
  <si>
    <t>премирование</t>
  </si>
  <si>
    <t>за расширение зоны обслуживания</t>
  </si>
  <si>
    <t>сумма</t>
  </si>
  <si>
    <t>%</t>
  </si>
  <si>
    <t>Начисление за месяц</t>
  </si>
  <si>
    <t>ФИО</t>
  </si>
  <si>
    <t>Образование</t>
  </si>
  <si>
    <t>Степанова Ю.С.</t>
  </si>
  <si>
    <t>высшее</t>
  </si>
  <si>
    <t>16 лет (декрет)</t>
  </si>
  <si>
    <t>Котельникова Н.Р.</t>
  </si>
  <si>
    <t>10 лет</t>
  </si>
  <si>
    <t>Семенова В.В.</t>
  </si>
  <si>
    <t>Бабушкина О.Н.</t>
  </si>
  <si>
    <t>11 лет</t>
  </si>
  <si>
    <t>Максимова Е.П./ Еропанова</t>
  </si>
  <si>
    <t>24 лет</t>
  </si>
  <si>
    <t>Попугаева Н.В.</t>
  </si>
  <si>
    <t>13 лет</t>
  </si>
  <si>
    <t>5 учреждений</t>
  </si>
  <si>
    <t>Рыбникова А.М.</t>
  </si>
  <si>
    <t>20 лет</t>
  </si>
  <si>
    <t>Колбасова И.Ю.</t>
  </si>
  <si>
    <t>7 лет</t>
  </si>
  <si>
    <t>Максимова Н.М.</t>
  </si>
  <si>
    <t>8 лет (декрет)</t>
  </si>
  <si>
    <t>Егорова И.Вячеславовна</t>
  </si>
  <si>
    <t>2 года (декрет)</t>
  </si>
  <si>
    <t>Карпова А.А.</t>
  </si>
  <si>
    <t>Егорова И.Валерьевна</t>
  </si>
  <si>
    <t>15 лет</t>
  </si>
  <si>
    <t>4 учреждения</t>
  </si>
  <si>
    <t>Соловьева А.И.</t>
  </si>
  <si>
    <t xml:space="preserve">спр монит, пенс спр , архив ком </t>
  </si>
  <si>
    <t>Васильева Р.Н.</t>
  </si>
  <si>
    <t>12 лет</t>
  </si>
  <si>
    <t>Ильина М.А.</t>
  </si>
  <si>
    <t>Романова В.В.</t>
  </si>
  <si>
    <t>средне-специальное</t>
  </si>
  <si>
    <t>308,6 стало</t>
  </si>
  <si>
    <t>329,4 было</t>
  </si>
  <si>
    <t xml:space="preserve">Другие вопросы </t>
  </si>
  <si>
    <t>Доходы от эксплуатации имущества</t>
  </si>
  <si>
    <t>план на 2019 г.</t>
  </si>
  <si>
    <t>назначено на 2019 г.</t>
  </si>
  <si>
    <t>Водное хозяйство</t>
  </si>
  <si>
    <t>Другие вопросы в облости национальной безопасности</t>
  </si>
  <si>
    <t>Другие вопросы</t>
  </si>
  <si>
    <t>Другие вопросы в области национальной безоапсности</t>
  </si>
  <si>
    <t>об исполнении бюджетов поселений  Моргаушского района  на 1апреля 2019 г.</t>
  </si>
  <si>
    <t xml:space="preserve">                     Анализ исполнения бюджета Александровского сельского поселения на 01.05.2019 г.</t>
  </si>
  <si>
    <t>исполнен на 01.05.2019 г.</t>
  </si>
  <si>
    <t>исполнено на 01.05.2019 г.</t>
  </si>
  <si>
    <t xml:space="preserve">                     Анализ исполнения бюджета Большесундырского сельского поселения на 01.05.2019 г.</t>
  </si>
  <si>
    <t>исполнено на 01.05.2019 г</t>
  </si>
  <si>
    <t xml:space="preserve">                     Анализ исполнения бюджета Москакасинского сельского поселения на 01.05.2019 г.</t>
  </si>
  <si>
    <t xml:space="preserve">                     Анализ исполнения бюджета Ярославского сельского поселения на 01.05.2019 г.</t>
  </si>
  <si>
    <t xml:space="preserve">                     Анализ исполнения бюджета Ярабайкасинского сельского поселения на 01.05.2019 г.</t>
  </si>
  <si>
    <t xml:space="preserve">                     Анализ исполнения бюджета Ильинского сельского поселения на 01.05.2019 г.</t>
  </si>
  <si>
    <t>исполнено на 01.05.2019г.</t>
  </si>
  <si>
    <t xml:space="preserve">                     Анализ исполнения бюджета Юськасинского сельского поселения на 01.05.2019 г.</t>
  </si>
  <si>
    <t xml:space="preserve">                     Анализ исполнения бюджета Юнгинского сельского поселения на 01.05.2019 г.</t>
  </si>
  <si>
    <t xml:space="preserve">                     Анализ исполнения бюджета Шатьмапосинского сельского поселения на 01.05.2019 г.</t>
  </si>
  <si>
    <t xml:space="preserve">                     Анализ исполнения бюджета Кадикасинского сельского поселения на 01.05.2019 г.</t>
  </si>
  <si>
    <t xml:space="preserve">                     Анализ исполнения бюджета Чуманкасинского сельского поселения на 01.05.2019 г.</t>
  </si>
  <si>
    <t xml:space="preserve">                     Анализ исполнения бюджета Моргаушского сельского поселения на 01.05.2019 г.</t>
  </si>
  <si>
    <t xml:space="preserve">                     Анализ исполнения бюджета Орининского сельского поселения на 01.05.2019 г.</t>
  </si>
  <si>
    <t xml:space="preserve">                     Анализ исполнения бюджета Сятракасинского сельского поселения на 01.05.2019 г.</t>
  </si>
  <si>
    <t xml:space="preserve">                     Анализ исполнения бюджета Тораевского сельского поселения на 01.05.2019 г.</t>
  </si>
  <si>
    <t xml:space="preserve">                     Анализ исполнения бюджета Хорнойского сельского поселения на 01.05.2019 г.</t>
  </si>
  <si>
    <t xml:space="preserve">                          Моргаушского района на 01.05.2019 г. </t>
  </si>
  <si>
    <t xml:space="preserve">исполнено на 01.05.2019 г. </t>
  </si>
  <si>
    <t xml:space="preserve">                           Анализ исполнения райбюджета</t>
  </si>
  <si>
    <t>Анализ исполнения консолидированного бюджета Моргаушского районана 01.05.2019 г.</t>
  </si>
</sst>
</file>

<file path=xl/styles.xml><?xml version="1.0" encoding="utf-8"?>
<styleSheet xmlns="http://schemas.openxmlformats.org/spreadsheetml/2006/main">
  <numFmts count="2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#,##0.0"/>
    <numFmt numFmtId="168" formatCode="0.00000"/>
    <numFmt numFmtId="169" formatCode="_(* #,##0.0_);_(* \(#,##0.0\);_(* &quot;-&quot;??_);_(@_)"/>
    <numFmt numFmtId="170" formatCode="_-* #,##0.0_р_._-;\-* #,##0.0_р_._-;_-* &quot;-&quot;?_р_._-;_-@_-"/>
    <numFmt numFmtId="171" formatCode="_-* #,##0.00000_р_._-;\-* #,##0.00000_р_._-;_-* &quot;-&quot;?????_р_._-;_-@_-"/>
    <numFmt numFmtId="172" formatCode="#,##0.00000"/>
    <numFmt numFmtId="173" formatCode="#,##0.000"/>
    <numFmt numFmtId="174" formatCode="0.000000"/>
    <numFmt numFmtId="175" formatCode="0.0000"/>
    <numFmt numFmtId="176" formatCode="_(* #,##0.0000_);_(* \(#,##0.0000\);_(* &quot;-&quot;??_);_(@_)"/>
    <numFmt numFmtId="177" formatCode="_(* #,##0.00000_);_(* \(#,##0.00000\);_(* &quot;-&quot;??_);_(@_)"/>
    <numFmt numFmtId="178" formatCode="0.0000000"/>
    <numFmt numFmtId="179" formatCode="_(* #,##0_);_(* \(#,##0\);_(* &quot;-&quot;??_);_(@_)"/>
    <numFmt numFmtId="180" formatCode="#,##0.000000"/>
    <numFmt numFmtId="181" formatCode="_-* #,##0.0000000_р_._-;\-* #,##0.0000000_р_._-;_-* &quot;-&quot;?????_р_._-;_-@_-"/>
    <numFmt numFmtId="182" formatCode="#,##0.00000000"/>
    <numFmt numFmtId="183" formatCode="#,##0.0000"/>
    <numFmt numFmtId="184" formatCode="#,##0.0000000"/>
    <numFmt numFmtId="185" formatCode="_(* #,##0.000000_);_(* \(#,##0.000000\);_(* &quot;-&quot;??_);_(@_)"/>
    <numFmt numFmtId="186" formatCode="0.000"/>
    <numFmt numFmtId="187" formatCode="_(* #,##0.00000000_);_(* \(#,##0.00000000\);_(* &quot;-&quot;??_);_(@_)"/>
    <numFmt numFmtId="188" formatCode="_(* #,##0.000_);_(* \(#,##0.000\);_(* &quot;-&quot;??_);_(@_)"/>
    <numFmt numFmtId="189" formatCode="_-* #,##0.00000\ _₽_-;\-* #,##0.00000\ _₽_-;_-* &quot;-&quot;?????\ _₽_-;_-@_-"/>
  </numFmts>
  <fonts count="39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44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2"/>
      <name val="TimesET"/>
    </font>
    <font>
      <sz val="12"/>
      <name val="TimesET"/>
      <charset val="204"/>
    </font>
    <font>
      <sz val="12"/>
      <color indexed="8"/>
      <name val="Arial Cyr"/>
      <charset val="204"/>
    </font>
    <font>
      <sz val="12"/>
      <color indexed="8"/>
      <name val="TimesET"/>
    </font>
    <font>
      <b/>
      <sz val="12"/>
      <name val="TimesET"/>
    </font>
    <font>
      <b/>
      <sz val="12"/>
      <color indexed="8"/>
      <name val="Arial Cyr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2"/>
      <color indexed="8"/>
      <name val="Arial Cyr"/>
      <family val="2"/>
      <charset val="204"/>
    </font>
    <font>
      <sz val="12"/>
      <color indexed="8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532">
    <xf numFmtId="0" fontId="0" fillId="0" borderId="0" xfId="0"/>
    <xf numFmtId="0" fontId="5" fillId="0" borderId="0" xfId="9" applyFont="1"/>
    <xf numFmtId="0" fontId="3" fillId="0" borderId="1" xfId="1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/>
    </xf>
    <xf numFmtId="0" fontId="3" fillId="0" borderId="1" xfId="11" applyFont="1" applyBorder="1"/>
    <xf numFmtId="166" fontId="3" fillId="0" borderId="1" xfId="11" applyNumberFormat="1" applyFont="1" applyBorder="1" applyAlignment="1">
      <alignment horizontal="right" vertical="center"/>
    </xf>
    <xf numFmtId="0" fontId="3" fillId="0" borderId="0" xfId="9" applyFont="1"/>
    <xf numFmtId="0" fontId="5" fillId="0" borderId="1" xfId="11" applyFont="1" applyBorder="1" applyAlignment="1">
      <alignment horizontal="center"/>
    </xf>
    <xf numFmtId="0" fontId="5" fillId="0" borderId="1" xfId="11" applyFont="1" applyBorder="1" applyAlignment="1">
      <alignment wrapText="1"/>
    </xf>
    <xf numFmtId="166" fontId="5" fillId="0" borderId="1" xfId="11" applyNumberFormat="1" applyFont="1" applyBorder="1" applyAlignment="1">
      <alignment horizontal="right" vertical="center"/>
    </xf>
    <xf numFmtId="166" fontId="5" fillId="0" borderId="1" xfId="11" applyNumberFormat="1" applyFont="1" applyFill="1" applyBorder="1" applyAlignment="1">
      <alignment horizontal="right" vertical="center"/>
    </xf>
    <xf numFmtId="0" fontId="5" fillId="0" borderId="1" xfId="11" applyFont="1" applyBorder="1"/>
    <xf numFmtId="166" fontId="5" fillId="0" borderId="1" xfId="0" applyNumberFormat="1" applyFont="1" applyBorder="1" applyAlignment="1">
      <alignment horizontal="right" vertical="center"/>
    </xf>
    <xf numFmtId="0" fontId="3" fillId="0" borderId="1" xfId="11" applyFont="1" applyBorder="1" applyAlignment="1">
      <alignment wrapText="1"/>
    </xf>
    <xf numFmtId="166" fontId="3" fillId="0" borderId="1" xfId="11" applyNumberFormat="1" applyFont="1" applyFill="1" applyBorder="1" applyAlignment="1">
      <alignment horizontal="right" vertical="center"/>
    </xf>
    <xf numFmtId="0" fontId="5" fillId="0" borderId="0" xfId="9" applyFont="1" applyFill="1"/>
    <xf numFmtId="0" fontId="5" fillId="0" borderId="1" xfId="11" applyFont="1" applyFill="1" applyBorder="1" applyAlignment="1">
      <alignment horizontal="center"/>
    </xf>
    <xf numFmtId="0" fontId="5" fillId="0" borderId="1" xfId="11" applyFont="1" applyFill="1" applyBorder="1"/>
    <xf numFmtId="0" fontId="5" fillId="0" borderId="1" xfId="11" applyFont="1" applyFill="1" applyBorder="1" applyAlignment="1">
      <alignment wrapText="1"/>
    </xf>
    <xf numFmtId="166" fontId="3" fillId="0" borderId="0" xfId="9" applyNumberFormat="1" applyFont="1"/>
    <xf numFmtId="166" fontId="5" fillId="2" borderId="1" xfId="2" applyNumberFormat="1" applyFont="1" applyFill="1" applyBorder="1" applyAlignment="1">
      <alignment horizontal="right" vertical="center" shrinkToFit="1"/>
    </xf>
    <xf numFmtId="0" fontId="3" fillId="0" borderId="1" xfId="11" applyFont="1" applyFill="1" applyBorder="1"/>
    <xf numFmtId="166" fontId="3" fillId="0" borderId="1" xfId="9" applyNumberFormat="1" applyFont="1" applyBorder="1" applyAlignment="1">
      <alignment horizontal="right" vertical="center"/>
    </xf>
    <xf numFmtId="0" fontId="3" fillId="0" borderId="2" xfId="11" applyFont="1" applyBorder="1" applyAlignment="1">
      <alignment horizontal="center"/>
    </xf>
    <xf numFmtId="0" fontId="3" fillId="0" borderId="2" xfId="11" applyFont="1" applyFill="1" applyBorder="1"/>
    <xf numFmtId="166" fontId="3" fillId="0" borderId="2" xfId="11" applyNumberFormat="1" applyFont="1" applyBorder="1" applyAlignment="1">
      <alignment horizontal="right" vertical="center"/>
    </xf>
    <xf numFmtId="168" fontId="5" fillId="0" borderId="0" xfId="9" applyNumberFormat="1" applyFont="1" applyAlignment="1">
      <alignment horizontal="right" vertical="center"/>
    </xf>
    <xf numFmtId="166" fontId="5" fillId="0" borderId="0" xfId="9" applyNumberFormat="1" applyFont="1" applyAlignment="1">
      <alignment horizontal="right" vertical="center"/>
    </xf>
    <xf numFmtId="0" fontId="3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/>
    </xf>
    <xf numFmtId="49" fontId="3" fillId="0" borderId="1" xfId="9" applyNumberFormat="1" applyFont="1" applyBorder="1" applyAlignment="1">
      <alignment horizontal="center"/>
    </xf>
    <xf numFmtId="0" fontId="3" fillId="3" borderId="1" xfId="9" applyFont="1" applyFill="1" applyBorder="1" applyAlignment="1">
      <alignment wrapText="1"/>
    </xf>
    <xf numFmtId="169" fontId="3" fillId="0" borderId="1" xfId="9" applyNumberFormat="1" applyFont="1" applyBorder="1" applyAlignment="1">
      <alignment horizontal="right" vertical="center"/>
    </xf>
    <xf numFmtId="169" fontId="3" fillId="0" borderId="1" xfId="12" applyNumberFormat="1" applyFont="1" applyBorder="1" applyAlignment="1">
      <alignment horizontal="right" vertical="center"/>
    </xf>
    <xf numFmtId="166" fontId="3" fillId="0" borderId="1" xfId="6" applyNumberFormat="1" applyFont="1" applyBorder="1" applyAlignment="1">
      <alignment horizontal="right"/>
    </xf>
    <xf numFmtId="49" fontId="5" fillId="0" borderId="1" xfId="9" applyNumberFormat="1" applyFont="1" applyBorder="1" applyAlignment="1">
      <alignment horizontal="center"/>
    </xf>
    <xf numFmtId="0" fontId="5" fillId="3" borderId="1" xfId="9" applyFont="1" applyFill="1" applyBorder="1" applyAlignment="1">
      <alignment wrapText="1"/>
    </xf>
    <xf numFmtId="169" fontId="5" fillId="0" borderId="1" xfId="9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/>
    </xf>
    <xf numFmtId="0" fontId="5" fillId="0" borderId="1" xfId="9" applyFont="1" applyBorder="1" applyAlignment="1">
      <alignment wrapText="1"/>
    </xf>
    <xf numFmtId="169" fontId="5" fillId="0" borderId="1" xfId="9" applyNumberFormat="1" applyFont="1" applyBorder="1" applyAlignment="1">
      <alignment horizontal="right"/>
    </xf>
    <xf numFmtId="49" fontId="3" fillId="0" borderId="3" xfId="8" applyNumberFormat="1" applyFont="1" applyBorder="1" applyAlignment="1">
      <alignment horizontal="center"/>
    </xf>
    <xf numFmtId="0" fontId="3" fillId="3" borderId="1" xfId="8" applyFont="1" applyFill="1" applyBorder="1" applyAlignment="1">
      <alignment wrapText="1"/>
    </xf>
    <xf numFmtId="49" fontId="5" fillId="0" borderId="1" xfId="8" applyNumberFormat="1" applyFont="1" applyBorder="1" applyAlignment="1">
      <alignment horizontal="center"/>
    </xf>
    <xf numFmtId="0" fontId="5" fillId="0" borderId="1" xfId="8" applyFont="1" applyBorder="1" applyAlignment="1">
      <alignment wrapText="1"/>
    </xf>
    <xf numFmtId="49" fontId="5" fillId="0" borderId="3" xfId="9" applyNumberFormat="1" applyFont="1" applyBorder="1" applyAlignment="1">
      <alignment horizontal="center"/>
    </xf>
    <xf numFmtId="49" fontId="5" fillId="0" borderId="3" xfId="7" applyNumberFormat="1" applyFont="1" applyBorder="1" applyAlignment="1">
      <alignment horizontal="center"/>
    </xf>
    <xf numFmtId="0" fontId="6" fillId="0" borderId="1" xfId="7" applyFont="1" applyBorder="1" applyAlignment="1">
      <alignment wrapText="1"/>
    </xf>
    <xf numFmtId="169" fontId="3" fillId="0" borderId="1" xfId="6" applyNumberFormat="1" applyFont="1" applyBorder="1" applyAlignment="1">
      <alignment horizontal="right" vertical="center"/>
    </xf>
    <xf numFmtId="169" fontId="5" fillId="0" borderId="1" xfId="6" applyNumberFormat="1" applyFont="1" applyBorder="1" applyAlignment="1">
      <alignment horizontal="right" vertical="center"/>
    </xf>
    <xf numFmtId="170" fontId="3" fillId="0" borderId="0" xfId="9" applyNumberFormat="1" applyFont="1"/>
    <xf numFmtId="0" fontId="5" fillId="0" borderId="1" xfId="9" applyFont="1" applyBorder="1" applyAlignment="1">
      <alignment horizontal="left" wrapText="1"/>
    </xf>
    <xf numFmtId="0" fontId="3" fillId="0" borderId="1" xfId="9" applyFont="1" applyBorder="1" applyAlignment="1">
      <alignment horizontal="center"/>
    </xf>
    <xf numFmtId="0" fontId="5" fillId="0" borderId="1" xfId="9" applyFont="1" applyBorder="1" applyAlignment="1">
      <alignment horizontal="center"/>
    </xf>
    <xf numFmtId="0" fontId="5" fillId="0" borderId="1" xfId="9" applyFont="1" applyFill="1" applyBorder="1" applyAlignment="1">
      <alignment wrapText="1"/>
    </xf>
    <xf numFmtId="169" fontId="5" fillId="2" borderId="1" xfId="5" applyNumberFormat="1" applyFont="1" applyFill="1" applyBorder="1" applyAlignment="1">
      <alignment horizontal="right" vertical="top" shrinkToFit="1"/>
    </xf>
    <xf numFmtId="0" fontId="3" fillId="0" borderId="1" xfId="9" applyFont="1" applyFill="1" applyBorder="1" applyAlignment="1">
      <alignment wrapText="1"/>
    </xf>
    <xf numFmtId="0" fontId="3" fillId="0" borderId="1" xfId="9" applyFont="1" applyFill="1" applyBorder="1" applyAlignment="1">
      <alignment horizontal="center" wrapText="1"/>
    </xf>
    <xf numFmtId="0" fontId="5" fillId="0" borderId="0" xfId="9" applyFont="1" applyAlignment="1">
      <alignment horizontal="left"/>
    </xf>
    <xf numFmtId="0" fontId="5" fillId="0" borderId="0" xfId="9" applyFont="1" applyAlignment="1">
      <alignment wrapText="1"/>
    </xf>
    <xf numFmtId="168" fontId="5" fillId="0" borderId="0" xfId="9" applyNumberFormat="1" applyFont="1" applyAlignment="1">
      <alignment horizontal="center"/>
    </xf>
    <xf numFmtId="168" fontId="5" fillId="0" borderId="0" xfId="9" applyNumberFormat="1" applyFont="1" applyAlignment="1">
      <alignment horizontal="right"/>
    </xf>
    <xf numFmtId="166" fontId="5" fillId="0" borderId="0" xfId="9" applyNumberFormat="1" applyFont="1" applyAlignment="1">
      <alignment horizontal="center"/>
    </xf>
    <xf numFmtId="0" fontId="7" fillId="0" borderId="0" xfId="8" applyFont="1" applyAlignment="1">
      <alignment horizontal="left"/>
    </xf>
    <xf numFmtId="171" fontId="7" fillId="0" borderId="0" xfId="8" applyNumberFormat="1" applyFont="1"/>
    <xf numFmtId="0" fontId="7" fillId="0" borderId="0" xfId="8" applyFont="1"/>
    <xf numFmtId="0" fontId="7" fillId="0" borderId="0" xfId="8" applyFont="1" applyAlignment="1"/>
    <xf numFmtId="0" fontId="9" fillId="0" borderId="1" xfId="11" applyFont="1" applyBorder="1"/>
    <xf numFmtId="0" fontId="9" fillId="0" borderId="1" xfId="11" applyFont="1" applyBorder="1" applyAlignment="1">
      <alignment horizontal="center"/>
    </xf>
    <xf numFmtId="0" fontId="9" fillId="0" borderId="1" xfId="11" applyFont="1" applyBorder="1" applyAlignment="1">
      <alignment wrapText="1"/>
    </xf>
    <xf numFmtId="0" fontId="9" fillId="0" borderId="1" xfId="11" applyFont="1" applyBorder="1" applyAlignment="1">
      <alignment horizontal="center" vertical="top"/>
    </xf>
    <xf numFmtId="0" fontId="9" fillId="0" borderId="1" xfId="11" applyFont="1" applyBorder="1" applyAlignment="1">
      <alignment vertical="top" wrapText="1"/>
    </xf>
    <xf numFmtId="166" fontId="3" fillId="0" borderId="1" xfId="11" applyNumberFormat="1" applyFont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 wrapText="1"/>
    </xf>
    <xf numFmtId="166" fontId="3" fillId="0" borderId="1" xfId="1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" fontId="3" fillId="0" borderId="1" xfId="9" applyNumberFormat="1" applyFont="1" applyBorder="1" applyAlignment="1">
      <alignment horizontal="center" vertical="center" wrapText="1"/>
    </xf>
    <xf numFmtId="1" fontId="5" fillId="0" borderId="1" xfId="9" applyNumberFormat="1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6" fontId="5" fillId="3" borderId="1" xfId="11" applyNumberFormat="1" applyFont="1" applyFill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 vertical="center"/>
    </xf>
    <xf numFmtId="167" fontId="3" fillId="0" borderId="1" xfId="11" applyNumberFormat="1" applyFont="1" applyBorder="1" applyAlignment="1">
      <alignment horizontal="right" vertical="center"/>
    </xf>
    <xf numFmtId="168" fontId="3" fillId="0" borderId="0" xfId="9" applyNumberFormat="1" applyFont="1"/>
    <xf numFmtId="168" fontId="11" fillId="0" borderId="0" xfId="0" applyNumberFormat="1" applyFont="1" applyAlignment="1">
      <alignment horizontal="center" vertical="center" wrapText="1"/>
    </xf>
    <xf numFmtId="169" fontId="5" fillId="0" borderId="1" xfId="9" applyNumberFormat="1" applyFont="1" applyFill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 vertical="center"/>
    </xf>
    <xf numFmtId="178" fontId="7" fillId="0" borderId="0" xfId="0" applyNumberFormat="1" applyFont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right" vertical="center"/>
    </xf>
    <xf numFmtId="0" fontId="9" fillId="0" borderId="1" xfId="11" applyFont="1" applyBorder="1" applyAlignment="1">
      <alignment horizontal="center" vertical="center"/>
    </xf>
    <xf numFmtId="169" fontId="5" fillId="0" borderId="0" xfId="9" applyNumberFormat="1" applyFont="1" applyAlignment="1">
      <alignment horizontal="right"/>
    </xf>
    <xf numFmtId="166" fontId="3" fillId="0" borderId="1" xfId="12" applyNumberFormat="1" applyFont="1" applyBorder="1" applyAlignment="1">
      <alignment horizontal="right" vertical="center"/>
    </xf>
    <xf numFmtId="166" fontId="3" fillId="0" borderId="1" xfId="11" applyNumberFormat="1" applyFont="1" applyFill="1" applyBorder="1" applyAlignment="1">
      <alignment horizontal="center" vertical="center" wrapText="1"/>
    </xf>
    <xf numFmtId="166" fontId="5" fillId="0" borderId="1" xfId="9" applyNumberFormat="1" applyFont="1" applyBorder="1" applyAlignment="1">
      <alignment horizontal="right"/>
    </xf>
    <xf numFmtId="166" fontId="3" fillId="0" borderId="1" xfId="6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 vertical="center"/>
    </xf>
    <xf numFmtId="0" fontId="13" fillId="0" borderId="0" xfId="9" applyFont="1"/>
    <xf numFmtId="0" fontId="14" fillId="0" borderId="0" xfId="9" applyFont="1"/>
    <xf numFmtId="0" fontId="3" fillId="0" borderId="1" xfId="11" applyFont="1" applyBorder="1" applyAlignment="1">
      <alignment horizontal="center" vertical="top"/>
    </xf>
    <xf numFmtId="0" fontId="3" fillId="0" borderId="1" xfId="11" applyFont="1" applyBorder="1" applyAlignment="1">
      <alignment vertical="top" wrapText="1"/>
    </xf>
    <xf numFmtId="0" fontId="5" fillId="0" borderId="0" xfId="8" applyFont="1" applyAlignment="1">
      <alignment horizontal="left"/>
    </xf>
    <xf numFmtId="171" fontId="5" fillId="0" borderId="0" xfId="8" applyNumberFormat="1" applyFont="1"/>
    <xf numFmtId="0" fontId="5" fillId="0" borderId="0" xfId="8" applyFont="1"/>
    <xf numFmtId="0" fontId="5" fillId="0" borderId="0" xfId="8" applyFont="1" applyAlignment="1"/>
    <xf numFmtId="168" fontId="3" fillId="0" borderId="2" xfId="11" applyNumberFormat="1" applyFont="1" applyBorder="1" applyAlignment="1">
      <alignment horizontal="right" vertical="center"/>
    </xf>
    <xf numFmtId="176" fontId="7" fillId="0" borderId="0" xfId="8" applyNumberFormat="1" applyFont="1"/>
    <xf numFmtId="176" fontId="5" fillId="0" borderId="0" xfId="9" applyNumberFormat="1" applyFont="1" applyAlignment="1">
      <alignment horizontal="center"/>
    </xf>
    <xf numFmtId="177" fontId="5" fillId="0" borderId="0" xfId="8" applyNumberFormat="1" applyFont="1"/>
    <xf numFmtId="177" fontId="7" fillId="0" borderId="0" xfId="8" applyNumberFormat="1" applyFont="1"/>
    <xf numFmtId="177" fontId="5" fillId="0" borderId="0" xfId="9" applyNumberFormat="1" applyFont="1" applyAlignment="1">
      <alignment horizontal="center"/>
    </xf>
    <xf numFmtId="167" fontId="3" fillId="0" borderId="1" xfId="11" applyNumberFormat="1" applyFont="1" applyFill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3" fillId="0" borderId="1" xfId="11" applyFont="1" applyFill="1" applyBorder="1" applyAlignment="1">
      <alignment horizontal="center"/>
    </xf>
    <xf numFmtId="0" fontId="3" fillId="0" borderId="1" xfId="11" applyFont="1" applyFill="1" applyBorder="1" applyAlignment="1">
      <alignment wrapText="1"/>
    </xf>
    <xf numFmtId="169" fontId="5" fillId="0" borderId="0" xfId="9" applyNumberFormat="1" applyFont="1" applyAlignment="1">
      <alignment horizontal="center"/>
    </xf>
    <xf numFmtId="166" fontId="3" fillId="0" borderId="1" xfId="1" applyNumberFormat="1" applyFont="1" applyBorder="1" applyAlignment="1">
      <alignment horizontal="right" vertical="center"/>
    </xf>
    <xf numFmtId="169" fontId="3" fillId="0" borderId="1" xfId="6" applyNumberFormat="1" applyFont="1" applyBorder="1" applyAlignment="1">
      <alignment horizontal="right"/>
    </xf>
    <xf numFmtId="181" fontId="5" fillId="0" borderId="0" xfId="8" applyNumberFormat="1" applyFont="1"/>
    <xf numFmtId="175" fontId="3" fillId="0" borderId="0" xfId="9" applyNumberFormat="1" applyFont="1"/>
    <xf numFmtId="176" fontId="8" fillId="0" borderId="0" xfId="8" applyNumberFormat="1" applyFont="1"/>
    <xf numFmtId="168" fontId="5" fillId="0" borderId="1" xfId="9" applyNumberFormat="1" applyFont="1" applyBorder="1" applyAlignment="1">
      <alignment horizontal="right" vertical="center"/>
    </xf>
    <xf numFmtId="168" fontId="7" fillId="0" borderId="0" xfId="8" applyNumberFormat="1" applyFont="1"/>
    <xf numFmtId="166" fontId="7" fillId="0" borderId="0" xfId="8" applyNumberFormat="1" applyFont="1"/>
    <xf numFmtId="168" fontId="3" fillId="0" borderId="1" xfId="11" applyNumberFormat="1" applyFont="1" applyBorder="1" applyAlignment="1">
      <alignment horizontal="center" vertical="center" wrapText="1"/>
    </xf>
    <xf numFmtId="177" fontId="5" fillId="0" borderId="1" xfId="9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2" fontId="3" fillId="0" borderId="1" xfId="11" applyNumberFormat="1" applyFont="1" applyBorder="1" applyAlignment="1">
      <alignment horizontal="center" vertical="center" wrapText="1"/>
    </xf>
    <xf numFmtId="2" fontId="3" fillId="0" borderId="1" xfId="11" applyNumberFormat="1" applyFont="1" applyFill="1" applyBorder="1" applyAlignment="1">
      <alignment horizontal="center" vertical="center" wrapText="1"/>
    </xf>
    <xf numFmtId="166" fontId="5" fillId="0" borderId="1" xfId="12" applyNumberFormat="1" applyFont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/>
    </xf>
    <xf numFmtId="169" fontId="3" fillId="3" borderId="1" xfId="9" applyNumberFormat="1" applyFont="1" applyFill="1" applyBorder="1" applyAlignment="1">
      <alignment horizontal="right" vertical="center"/>
    </xf>
    <xf numFmtId="171" fontId="3" fillId="0" borderId="0" xfId="9" applyNumberFormat="1" applyFont="1"/>
    <xf numFmtId="178" fontId="5" fillId="0" borderId="0" xfId="9" applyNumberFormat="1" applyFont="1"/>
    <xf numFmtId="0" fontId="16" fillId="3" borderId="0" xfId="0" applyFont="1" applyFill="1"/>
    <xf numFmtId="0" fontId="16" fillId="0" borderId="0" xfId="0" applyFont="1" applyFill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/>
    <xf numFmtId="0" fontId="16" fillId="3" borderId="0" xfId="0" applyFont="1" applyFill="1" applyAlignment="1">
      <alignment horizontal="left"/>
    </xf>
    <xf numFmtId="0" fontId="16" fillId="3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vertical="center" wrapText="1"/>
    </xf>
    <xf numFmtId="0" fontId="17" fillId="3" borderId="0" xfId="0" applyFont="1" applyFill="1" applyAlignment="1" applyProtection="1">
      <alignment vertical="center" wrapText="1"/>
      <protection locked="0"/>
    </xf>
    <xf numFmtId="0" fontId="18" fillId="3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vertical="center" wrapText="1"/>
    </xf>
    <xf numFmtId="0" fontId="18" fillId="3" borderId="4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0" fontId="18" fillId="3" borderId="0" xfId="0" applyFont="1" applyFill="1"/>
    <xf numFmtId="0" fontId="18" fillId="3" borderId="0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9" fillId="3" borderId="1" xfId="10" applyFont="1" applyFill="1" applyBorder="1" applyAlignment="1">
      <alignment vertical="center" wrapText="1"/>
    </xf>
    <xf numFmtId="0" fontId="20" fillId="3" borderId="1" xfId="10" applyFont="1" applyFill="1" applyBorder="1" applyAlignment="1" applyProtection="1">
      <alignment vertical="center" wrapText="1"/>
      <protection locked="0"/>
    </xf>
    <xf numFmtId="167" fontId="18" fillId="3" borderId="1" xfId="0" applyNumberFormat="1" applyFont="1" applyFill="1" applyBorder="1"/>
    <xf numFmtId="167" fontId="18" fillId="3" borderId="1" xfId="0" applyNumberFormat="1" applyFont="1" applyFill="1" applyBorder="1" applyAlignment="1">
      <alignment vertical="center" wrapText="1"/>
    </xf>
    <xf numFmtId="167" fontId="16" fillId="3" borderId="1" xfId="0" applyNumberFormat="1" applyFont="1" applyFill="1" applyBorder="1"/>
    <xf numFmtId="167" fontId="18" fillId="3" borderId="1" xfId="0" applyNumberFormat="1" applyFont="1" applyFill="1" applyBorder="1" applyAlignment="1" applyProtection="1">
      <alignment vertical="center" wrapText="1"/>
      <protection locked="0"/>
    </xf>
    <xf numFmtId="167" fontId="18" fillId="0" borderId="1" xfId="0" applyNumberFormat="1" applyFont="1" applyFill="1" applyBorder="1" applyAlignment="1">
      <alignment vertical="center" wrapText="1"/>
    </xf>
    <xf numFmtId="167" fontId="18" fillId="5" borderId="1" xfId="0" applyNumberFormat="1" applyFont="1" applyFill="1" applyBorder="1" applyAlignment="1" applyProtection="1">
      <alignment vertical="center" wrapText="1"/>
      <protection locked="0"/>
    </xf>
    <xf numFmtId="167" fontId="18" fillId="3" borderId="1" xfId="0" applyNumberFormat="1" applyFont="1" applyFill="1" applyBorder="1" applyAlignment="1">
      <alignment horizontal="right" vertical="center" wrapText="1"/>
    </xf>
    <xf numFmtId="167" fontId="21" fillId="3" borderId="1" xfId="0" applyNumberFormat="1" applyFont="1" applyFill="1" applyBorder="1" applyAlignment="1" applyProtection="1">
      <alignment vertical="center" wrapText="1"/>
      <protection locked="0"/>
    </xf>
    <xf numFmtId="167" fontId="17" fillId="3" borderId="1" xfId="0" applyNumberFormat="1" applyFont="1" applyFill="1" applyBorder="1" applyAlignment="1">
      <alignment vertical="center" wrapText="1"/>
    </xf>
    <xf numFmtId="168" fontId="18" fillId="3" borderId="0" xfId="0" applyNumberFormat="1" applyFont="1" applyFill="1" applyBorder="1"/>
    <xf numFmtId="172" fontId="18" fillId="3" borderId="0" xfId="0" applyNumberFormat="1" applyFont="1" applyFill="1"/>
    <xf numFmtId="0" fontId="20" fillId="0" borderId="1" xfId="10" applyFont="1" applyFill="1" applyBorder="1" applyAlignment="1" applyProtection="1">
      <alignment vertical="center" wrapText="1"/>
      <protection locked="0"/>
    </xf>
    <xf numFmtId="167" fontId="18" fillId="0" borderId="1" xfId="0" applyNumberFormat="1" applyFont="1" applyFill="1" applyBorder="1" applyAlignment="1" applyProtection="1">
      <alignment vertical="center" wrapText="1"/>
      <protection locked="0"/>
    </xf>
    <xf numFmtId="167" fontId="18" fillId="0" borderId="1" xfId="0" applyNumberFormat="1" applyFont="1" applyFill="1" applyBorder="1" applyAlignment="1">
      <alignment horizontal="right" vertical="center" wrapText="1"/>
    </xf>
    <xf numFmtId="167" fontId="21" fillId="0" borderId="1" xfId="0" applyNumberFormat="1" applyFont="1" applyFill="1" applyBorder="1" applyAlignment="1" applyProtection="1">
      <alignment vertical="center" wrapText="1"/>
      <protection locked="0"/>
    </xf>
    <xf numFmtId="167" fontId="16" fillId="0" borderId="1" xfId="0" applyNumberFormat="1" applyFont="1" applyFill="1" applyBorder="1"/>
    <xf numFmtId="0" fontId="18" fillId="4" borderId="0" xfId="0" applyFont="1" applyFill="1"/>
    <xf numFmtId="0" fontId="18" fillId="3" borderId="0" xfId="0" applyFont="1" applyFill="1" applyAlignment="1"/>
    <xf numFmtId="0" fontId="19" fillId="3" borderId="3" xfId="10" applyFont="1" applyFill="1" applyBorder="1" applyAlignment="1">
      <alignment vertical="center" wrapText="1"/>
    </xf>
    <xf numFmtId="0" fontId="20" fillId="3" borderId="5" xfId="10" applyFont="1" applyFill="1" applyBorder="1" applyAlignment="1" applyProtection="1">
      <alignment vertical="center" wrapText="1"/>
      <protection locked="0"/>
    </xf>
    <xf numFmtId="180" fontId="18" fillId="3" borderId="1" xfId="0" applyNumberFormat="1" applyFont="1" applyFill="1" applyBorder="1" applyAlignment="1" applyProtection="1">
      <alignment vertical="center" wrapText="1"/>
      <protection locked="0"/>
    </xf>
    <xf numFmtId="4" fontId="25" fillId="3" borderId="1" xfId="0" applyNumberFormat="1" applyFont="1" applyFill="1" applyBorder="1" applyAlignment="1">
      <alignment vertical="center" wrapText="1"/>
    </xf>
    <xf numFmtId="4" fontId="18" fillId="3" borderId="0" xfId="0" applyNumberFormat="1" applyFont="1" applyFill="1"/>
    <xf numFmtId="4" fontId="28" fillId="0" borderId="0" xfId="0" applyNumberFormat="1" applyFont="1" applyFill="1"/>
    <xf numFmtId="177" fontId="28" fillId="0" borderId="0" xfId="12" applyNumberFormat="1" applyFont="1" applyFill="1"/>
    <xf numFmtId="167" fontId="16" fillId="0" borderId="0" xfId="0" applyNumberFormat="1" applyFont="1" applyFill="1"/>
    <xf numFmtId="172" fontId="16" fillId="3" borderId="0" xfId="0" applyNumberFormat="1" applyFont="1" applyFill="1"/>
    <xf numFmtId="175" fontId="16" fillId="3" borderId="0" xfId="0" applyNumberFormat="1" applyFont="1" applyFill="1"/>
    <xf numFmtId="168" fontId="16" fillId="3" borderId="0" xfId="0" applyNumberFormat="1" applyFont="1" applyFill="1"/>
    <xf numFmtId="166" fontId="16" fillId="3" borderId="0" xfId="0" applyNumberFormat="1" applyFont="1" applyFill="1"/>
    <xf numFmtId="172" fontId="28" fillId="3" borderId="0" xfId="0" applyNumberFormat="1" applyFont="1" applyFill="1"/>
    <xf numFmtId="167" fontId="16" fillId="3" borderId="0" xfId="0" applyNumberFormat="1" applyFont="1" applyFill="1"/>
    <xf numFmtId="2" fontId="16" fillId="3" borderId="0" xfId="0" applyNumberFormat="1" applyFont="1" applyFill="1"/>
    <xf numFmtId="173" fontId="16" fillId="3" borderId="0" xfId="0" applyNumberFormat="1" applyFont="1" applyFill="1"/>
    <xf numFmtId="166" fontId="16" fillId="3" borderId="0" xfId="1" applyNumberFormat="1" applyFont="1" applyFill="1"/>
    <xf numFmtId="172" fontId="16" fillId="0" borderId="0" xfId="0" applyNumberFormat="1" applyFont="1" applyFill="1"/>
    <xf numFmtId="172" fontId="28" fillId="0" borderId="0" xfId="0" applyNumberFormat="1" applyFont="1" applyFill="1"/>
    <xf numFmtId="182" fontId="16" fillId="3" borderId="0" xfId="0" applyNumberFormat="1" applyFont="1" applyFill="1"/>
    <xf numFmtId="180" fontId="16" fillId="3" borderId="0" xfId="0" applyNumberFormat="1" applyFont="1" applyFill="1"/>
    <xf numFmtId="172" fontId="18" fillId="3" borderId="1" xfId="0" applyNumberFormat="1" applyFont="1" applyFill="1" applyBorder="1" applyAlignment="1">
      <alignment vertical="center" wrapText="1"/>
    </xf>
    <xf numFmtId="0" fontId="19" fillId="5" borderId="1" xfId="10" applyFont="1" applyFill="1" applyBorder="1" applyAlignment="1">
      <alignment vertical="center" wrapText="1"/>
    </xf>
    <xf numFmtId="0" fontId="20" fillId="5" borderId="1" xfId="10" applyFont="1" applyFill="1" applyBorder="1" applyAlignment="1" applyProtection="1">
      <alignment vertical="center" wrapText="1"/>
      <protection locked="0"/>
    </xf>
    <xf numFmtId="167" fontId="18" fillId="5" borderId="1" xfId="0" applyNumberFormat="1" applyFont="1" applyFill="1" applyBorder="1" applyAlignment="1">
      <alignment vertical="center" wrapText="1"/>
    </xf>
    <xf numFmtId="167" fontId="16" fillId="5" borderId="1" xfId="0" applyNumberFormat="1" applyFont="1" applyFill="1" applyBorder="1"/>
    <xf numFmtId="167" fontId="18" fillId="5" borderId="1" xfId="0" applyNumberFormat="1" applyFont="1" applyFill="1" applyBorder="1" applyAlignment="1">
      <alignment horizontal="right" vertical="center" wrapText="1"/>
    </xf>
    <xf numFmtId="167" fontId="21" fillId="5" borderId="1" xfId="0" applyNumberFormat="1" applyFont="1" applyFill="1" applyBorder="1" applyAlignment="1" applyProtection="1">
      <alignment vertical="center" wrapText="1"/>
      <protection locked="0"/>
    </xf>
    <xf numFmtId="167" fontId="17" fillId="5" borderId="1" xfId="0" applyNumberFormat="1" applyFont="1" applyFill="1" applyBorder="1" applyAlignment="1">
      <alignment vertical="center" wrapText="1"/>
    </xf>
    <xf numFmtId="168" fontId="18" fillId="5" borderId="0" xfId="0" applyNumberFormat="1" applyFont="1" applyFill="1" applyBorder="1"/>
    <xf numFmtId="172" fontId="18" fillId="5" borderId="0" xfId="0" applyNumberFormat="1" applyFont="1" applyFill="1"/>
    <xf numFmtId="0" fontId="18" fillId="5" borderId="0" xfId="0" applyFont="1" applyFill="1"/>
    <xf numFmtId="167" fontId="26" fillId="3" borderId="1" xfId="0" applyNumberFormat="1" applyFont="1" applyFill="1" applyBorder="1" applyAlignment="1">
      <alignment vertical="center" wrapText="1"/>
    </xf>
    <xf numFmtId="167" fontId="26" fillId="0" borderId="1" xfId="0" applyNumberFormat="1" applyFont="1" applyFill="1" applyBorder="1" applyAlignment="1">
      <alignment vertical="center" wrapText="1"/>
    </xf>
    <xf numFmtId="167" fontId="21" fillId="3" borderId="1" xfId="0" applyNumberFormat="1" applyFont="1" applyFill="1" applyBorder="1" applyAlignment="1">
      <alignment vertical="center" wrapText="1"/>
    </xf>
    <xf numFmtId="167" fontId="25" fillId="3" borderId="1" xfId="0" applyNumberFormat="1" applyFont="1" applyFill="1" applyBorder="1" applyAlignment="1">
      <alignment vertical="center" wrapText="1"/>
    </xf>
    <xf numFmtId="179" fontId="5" fillId="0" borderId="1" xfId="6" applyNumberFormat="1" applyFont="1" applyBorder="1" applyAlignment="1">
      <alignment horizontal="right" vertical="center"/>
    </xf>
    <xf numFmtId="179" fontId="5" fillId="0" borderId="1" xfId="9" applyNumberFormat="1" applyFont="1" applyBorder="1" applyAlignment="1">
      <alignment horizontal="right" vertical="center"/>
    </xf>
    <xf numFmtId="179" fontId="3" fillId="0" borderId="1" xfId="6" applyNumberFormat="1" applyFont="1" applyBorder="1" applyAlignment="1">
      <alignment horizontal="right" vertical="center"/>
    </xf>
    <xf numFmtId="1" fontId="3" fillId="0" borderId="2" xfId="11" applyNumberFormat="1" applyFont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 vertical="center" wrapText="1"/>
    </xf>
    <xf numFmtId="1" fontId="3" fillId="0" borderId="1" xfId="11" applyNumberFormat="1" applyFont="1" applyFill="1" applyBorder="1" applyAlignment="1">
      <alignment horizontal="center" vertical="center" wrapText="1"/>
    </xf>
    <xf numFmtId="166" fontId="5" fillId="0" borderId="0" xfId="9" applyNumberFormat="1" applyFont="1" applyAlignment="1">
      <alignment horizontal="right"/>
    </xf>
    <xf numFmtId="165" fontId="3" fillId="0" borderId="1" xfId="9" applyNumberFormat="1" applyFont="1" applyBorder="1" applyAlignment="1">
      <alignment horizontal="right" vertical="center"/>
    </xf>
    <xf numFmtId="165" fontId="3" fillId="0" borderId="2" xfId="11" applyNumberFormat="1" applyFont="1" applyBorder="1" applyAlignment="1">
      <alignment horizontal="right" vertical="center"/>
    </xf>
    <xf numFmtId="165" fontId="3" fillId="0" borderId="1" xfId="11" applyNumberFormat="1" applyFont="1" applyBorder="1" applyAlignment="1">
      <alignment horizontal="center" vertical="center" wrapText="1"/>
    </xf>
    <xf numFmtId="169" fontId="7" fillId="0" borderId="0" xfId="8" applyNumberFormat="1" applyFont="1"/>
    <xf numFmtId="167" fontId="3" fillId="0" borderId="2" xfId="11" applyNumberFormat="1" applyFont="1" applyBorder="1" applyAlignment="1">
      <alignment horizontal="right" vertical="center"/>
    </xf>
    <xf numFmtId="166" fontId="5" fillId="2" borderId="1" xfId="3" applyNumberFormat="1" applyFont="1" applyFill="1" applyBorder="1" applyAlignment="1">
      <alignment horizontal="right" vertical="center" shrinkToFit="1"/>
    </xf>
    <xf numFmtId="166" fontId="5" fillId="2" borderId="1" xfId="4" applyNumberFormat="1" applyFont="1" applyFill="1" applyBorder="1" applyAlignment="1">
      <alignment horizontal="right" vertical="center" shrinkToFit="1"/>
    </xf>
    <xf numFmtId="167" fontId="25" fillId="0" borderId="1" xfId="0" applyNumberFormat="1" applyFont="1" applyFill="1" applyBorder="1" applyAlignment="1">
      <alignment vertical="center" wrapText="1"/>
    </xf>
    <xf numFmtId="166" fontId="5" fillId="0" borderId="0" xfId="9" applyNumberFormat="1" applyFont="1" applyFill="1"/>
    <xf numFmtId="0" fontId="11" fillId="0" borderId="1" xfId="11" applyFont="1" applyBorder="1"/>
    <xf numFmtId="0" fontId="12" fillId="0" borderId="1" xfId="11" applyFont="1" applyBorder="1" applyAlignment="1">
      <alignment wrapText="1"/>
    </xf>
    <xf numFmtId="0" fontId="11" fillId="0" borderId="1" xfId="11" applyFont="1" applyBorder="1" applyAlignment="1">
      <alignment wrapText="1"/>
    </xf>
    <xf numFmtId="0" fontId="12" fillId="0" borderId="1" xfId="11" applyFont="1" applyBorder="1"/>
    <xf numFmtId="0" fontId="12" fillId="0" borderId="1" xfId="11" applyFont="1" applyFill="1" applyBorder="1"/>
    <xf numFmtId="166" fontId="11" fillId="0" borderId="1" xfId="11" applyNumberFormat="1" applyFont="1" applyBorder="1" applyAlignment="1">
      <alignment wrapText="1"/>
    </xf>
    <xf numFmtId="0" fontId="11" fillId="0" borderId="1" xfId="11" applyFont="1" applyBorder="1" applyAlignment="1">
      <alignment vertical="top" wrapText="1"/>
    </xf>
    <xf numFmtId="0" fontId="12" fillId="0" borderId="1" xfId="11" applyFont="1" applyFill="1" applyBorder="1" applyAlignment="1">
      <alignment wrapText="1"/>
    </xf>
    <xf numFmtId="0" fontId="12" fillId="0" borderId="1" xfId="11" applyFont="1" applyBorder="1" applyAlignment="1">
      <alignment horizontal="left" wrapText="1"/>
    </xf>
    <xf numFmtId="0" fontId="11" fillId="0" borderId="1" xfId="11" applyFont="1" applyFill="1" applyBorder="1"/>
    <xf numFmtId="0" fontId="11" fillId="3" borderId="1" xfId="9" applyFont="1" applyFill="1" applyBorder="1" applyAlignment="1">
      <alignment wrapText="1"/>
    </xf>
    <xf numFmtId="0" fontId="12" fillId="3" borderId="1" xfId="9" applyFont="1" applyFill="1" applyBorder="1" applyAlignment="1">
      <alignment wrapText="1"/>
    </xf>
    <xf numFmtId="0" fontId="12" fillId="0" borderId="1" xfId="9" applyFont="1" applyBorder="1" applyAlignment="1">
      <alignment wrapText="1"/>
    </xf>
    <xf numFmtId="0" fontId="11" fillId="3" borderId="1" xfId="8" applyFont="1" applyFill="1" applyBorder="1" applyAlignment="1">
      <alignment wrapText="1"/>
    </xf>
    <xf numFmtId="0" fontId="12" fillId="0" borderId="1" xfId="8" applyFont="1" applyBorder="1" applyAlignment="1">
      <alignment wrapText="1"/>
    </xf>
    <xf numFmtId="0" fontId="31" fillId="0" borderId="1" xfId="7" applyFont="1" applyBorder="1" applyAlignment="1">
      <alignment wrapText="1"/>
    </xf>
    <xf numFmtId="0" fontId="12" fillId="0" borderId="1" xfId="9" applyFont="1" applyBorder="1" applyAlignment="1">
      <alignment horizontal="left" wrapText="1"/>
    </xf>
    <xf numFmtId="0" fontId="11" fillId="3" borderId="1" xfId="9" applyFont="1" applyFill="1" applyBorder="1" applyAlignment="1">
      <alignment horizontal="left" wrapText="1"/>
    </xf>
    <xf numFmtId="0" fontId="12" fillId="0" borderId="1" xfId="9" applyFont="1" applyFill="1" applyBorder="1" applyAlignment="1">
      <alignment wrapText="1"/>
    </xf>
    <xf numFmtId="0" fontId="11" fillId="0" borderId="1" xfId="9" applyFont="1" applyFill="1" applyBorder="1" applyAlignment="1">
      <alignment wrapText="1"/>
    </xf>
    <xf numFmtId="0" fontId="11" fillId="0" borderId="1" xfId="9" applyFont="1" applyFill="1" applyBorder="1" applyAlignment="1">
      <alignment horizontal="center" wrapText="1"/>
    </xf>
    <xf numFmtId="166" fontId="5" fillId="2" borderId="1" xfId="5" applyNumberFormat="1" applyFont="1" applyFill="1" applyBorder="1" applyAlignment="1">
      <alignment horizontal="right" vertical="top" shrinkToFit="1"/>
    </xf>
    <xf numFmtId="166" fontId="3" fillId="0" borderId="1" xfId="0" applyNumberFormat="1" applyFont="1" applyBorder="1" applyAlignment="1">
      <alignment horizontal="right" vertical="center"/>
    </xf>
    <xf numFmtId="166" fontId="5" fillId="0" borderId="0" xfId="9" applyNumberFormat="1" applyFont="1"/>
    <xf numFmtId="166" fontId="5" fillId="0" borderId="1" xfId="0" applyNumberFormat="1" applyFont="1" applyFill="1" applyBorder="1" applyAlignment="1">
      <alignment horizontal="right" vertical="center"/>
    </xf>
    <xf numFmtId="169" fontId="3" fillId="0" borderId="1" xfId="11" applyNumberFormat="1" applyFont="1" applyBorder="1" applyAlignment="1">
      <alignment horizontal="right" vertical="center"/>
    </xf>
    <xf numFmtId="167" fontId="3" fillId="0" borderId="1" xfId="9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/>
    </xf>
    <xf numFmtId="169" fontId="5" fillId="0" borderId="1" xfId="12" applyNumberFormat="1" applyFont="1" applyFill="1" applyBorder="1" applyAlignment="1">
      <alignment horizontal="right" vertical="center"/>
    </xf>
    <xf numFmtId="169" fontId="5" fillId="2" borderId="1" xfId="12" applyNumberFormat="1" applyFont="1" applyFill="1" applyBorder="1" applyAlignment="1">
      <alignment horizontal="right" vertical="top" shrinkToFit="1"/>
    </xf>
    <xf numFmtId="167" fontId="16" fillId="0" borderId="1" xfId="0" applyNumberFormat="1" applyFont="1" applyFill="1" applyBorder="1" applyAlignment="1">
      <alignment vertical="center" wrapText="1"/>
    </xf>
    <xf numFmtId="167" fontId="24" fillId="0" borderId="1" xfId="0" applyNumberFormat="1" applyFont="1" applyFill="1" applyBorder="1" applyAlignment="1">
      <alignment vertical="center" wrapText="1"/>
    </xf>
    <xf numFmtId="167" fontId="27" fillId="0" borderId="1" xfId="0" applyNumberFormat="1" applyFont="1" applyFill="1" applyBorder="1" applyAlignment="1">
      <alignment vertical="center" wrapText="1"/>
    </xf>
    <xf numFmtId="167" fontId="25" fillId="3" borderId="1" xfId="0" applyNumberFormat="1" applyFont="1" applyFill="1" applyBorder="1" applyAlignment="1">
      <alignment horizontal="right" vertical="center" wrapText="1"/>
    </xf>
    <xf numFmtId="167" fontId="18" fillId="3" borderId="1" xfId="0" applyNumberFormat="1" applyFont="1" applyFill="1" applyBorder="1" applyAlignment="1" applyProtection="1">
      <alignment vertical="center" wrapText="1"/>
    </xf>
    <xf numFmtId="167" fontId="18" fillId="0" borderId="1" xfId="0" applyNumberFormat="1" applyFont="1" applyFill="1" applyBorder="1" applyAlignment="1" applyProtection="1">
      <alignment vertical="center" wrapText="1"/>
    </xf>
    <xf numFmtId="167" fontId="18" fillId="5" borderId="1" xfId="0" applyNumberFormat="1" applyFont="1" applyFill="1" applyBorder="1" applyAlignment="1" applyProtection="1">
      <alignment vertical="center" wrapText="1"/>
    </xf>
    <xf numFmtId="172" fontId="3" fillId="0" borderId="0" xfId="9" applyNumberFormat="1" applyFont="1"/>
    <xf numFmtId="166" fontId="32" fillId="0" borderId="1" xfId="11" applyNumberFormat="1" applyFont="1" applyBorder="1" applyAlignment="1">
      <alignment horizontal="right" vertical="center"/>
    </xf>
    <xf numFmtId="166" fontId="33" fillId="0" borderId="1" xfId="11" applyNumberFormat="1" applyFont="1" applyBorder="1" applyAlignment="1">
      <alignment horizontal="right" vertical="center"/>
    </xf>
    <xf numFmtId="166" fontId="32" fillId="0" borderId="1" xfId="9" applyNumberFormat="1" applyFont="1" applyBorder="1" applyAlignment="1">
      <alignment horizontal="right" vertical="center"/>
    </xf>
    <xf numFmtId="166" fontId="33" fillId="0" borderId="0" xfId="9" applyNumberFormat="1" applyFont="1" applyAlignment="1">
      <alignment horizontal="right" vertical="center"/>
    </xf>
    <xf numFmtId="166" fontId="32" fillId="0" borderId="1" xfId="11" applyNumberFormat="1" applyFont="1" applyBorder="1" applyAlignment="1">
      <alignment horizontal="center" vertical="center" wrapText="1"/>
    </xf>
    <xf numFmtId="166" fontId="32" fillId="0" borderId="1" xfId="11" applyNumberFormat="1" applyFont="1" applyBorder="1" applyAlignment="1">
      <alignment horizontal="center" vertical="center"/>
    </xf>
    <xf numFmtId="1" fontId="32" fillId="0" borderId="1" xfId="9" applyNumberFormat="1" applyFont="1" applyBorder="1" applyAlignment="1">
      <alignment horizontal="center" vertical="center" wrapText="1"/>
    </xf>
    <xf numFmtId="166" fontId="32" fillId="0" borderId="1" xfId="6" applyNumberFormat="1" applyFont="1" applyBorder="1" applyAlignment="1">
      <alignment horizontal="right"/>
    </xf>
    <xf numFmtId="166" fontId="33" fillId="0" borderId="1" xfId="6" applyNumberFormat="1" applyFont="1" applyBorder="1" applyAlignment="1">
      <alignment horizontal="right"/>
    </xf>
    <xf numFmtId="166" fontId="29" fillId="0" borderId="1" xfId="0" applyNumberFormat="1" applyFont="1" applyBorder="1" applyAlignment="1">
      <alignment horizontal="center" vertical="center" wrapText="1"/>
    </xf>
    <xf numFmtId="166" fontId="30" fillId="3" borderId="1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Border="1" applyAlignment="1">
      <alignment horizontal="center" vertical="center" wrapText="1"/>
    </xf>
    <xf numFmtId="166" fontId="29" fillId="3" borderId="1" xfId="0" applyNumberFormat="1" applyFont="1" applyFill="1" applyBorder="1" applyAlignment="1">
      <alignment horizontal="center" vertical="center" wrapText="1"/>
    </xf>
    <xf numFmtId="166" fontId="29" fillId="6" borderId="1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 wrapText="1"/>
    </xf>
    <xf numFmtId="166" fontId="29" fillId="5" borderId="1" xfId="0" applyNumberFormat="1" applyFont="1" applyFill="1" applyBorder="1" applyAlignment="1">
      <alignment horizontal="center" vertical="center" wrapText="1"/>
    </xf>
    <xf numFmtId="166" fontId="30" fillId="6" borderId="1" xfId="0" applyNumberFormat="1" applyFont="1" applyFill="1" applyBorder="1" applyAlignment="1">
      <alignment horizontal="center" vertical="center" wrapText="1"/>
    </xf>
    <xf numFmtId="167" fontId="30" fillId="3" borderId="1" xfId="0" applyNumberFormat="1" applyFont="1" applyFill="1" applyBorder="1" applyAlignment="1">
      <alignment horizontal="center" vertical="center" wrapText="1"/>
    </xf>
    <xf numFmtId="167" fontId="30" fillId="0" borderId="1" xfId="0" applyNumberFormat="1" applyFont="1" applyBorder="1" applyAlignment="1">
      <alignment horizontal="center" vertical="center" wrapText="1"/>
    </xf>
    <xf numFmtId="2" fontId="30" fillId="3" borderId="1" xfId="0" applyNumberFormat="1" applyFont="1" applyFill="1" applyBorder="1" applyAlignment="1">
      <alignment horizontal="center" vertical="center" wrapText="1"/>
    </xf>
    <xf numFmtId="167" fontId="30" fillId="0" borderId="3" xfId="0" applyNumberFormat="1" applyFont="1" applyBorder="1" applyAlignment="1">
      <alignment horizontal="center" vertical="center" wrapText="1"/>
    </xf>
    <xf numFmtId="49" fontId="18" fillId="3" borderId="9" xfId="0" applyNumberFormat="1" applyFont="1" applyFill="1" applyBorder="1" applyAlignment="1">
      <alignment horizontal="center" vertical="center" wrapText="1"/>
    </xf>
    <xf numFmtId="49" fontId="18" fillId="3" borderId="6" xfId="0" applyNumberFormat="1" applyFont="1" applyFill="1" applyBorder="1" applyAlignment="1">
      <alignment horizontal="center" vertical="center" wrapText="1"/>
    </xf>
    <xf numFmtId="49" fontId="18" fillId="3" borderId="7" xfId="0" applyNumberFormat="1" applyFont="1" applyFill="1" applyBorder="1" applyAlignment="1">
      <alignment horizontal="center" vertical="center" wrapText="1"/>
    </xf>
    <xf numFmtId="49" fontId="18" fillId="3" borderId="4" xfId="0" applyNumberFormat="1" applyFont="1" applyFill="1" applyBorder="1" applyAlignment="1">
      <alignment horizontal="center" vertical="center" wrapText="1"/>
    </xf>
    <xf numFmtId="166" fontId="5" fillId="5" borderId="1" xfId="11" applyNumberFormat="1" applyFont="1" applyFill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/>
    </xf>
    <xf numFmtId="2" fontId="3" fillId="0" borderId="0" xfId="9" applyNumberFormat="1" applyFont="1"/>
    <xf numFmtId="2" fontId="5" fillId="0" borderId="0" xfId="0" applyNumberFormat="1" applyFont="1" applyBorder="1" applyAlignment="1">
      <alignment horizontal="center" vertical="center" wrapText="1"/>
    </xf>
    <xf numFmtId="0" fontId="18" fillId="5" borderId="0" xfId="0" applyFont="1" applyFill="1" applyAlignment="1"/>
    <xf numFmtId="169" fontId="3" fillId="0" borderId="2" xfId="11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67" fontId="5" fillId="0" borderId="1" xfId="11" applyNumberFormat="1" applyFont="1" applyFill="1" applyBorder="1" applyAlignment="1">
      <alignment horizontal="right" vertical="center"/>
    </xf>
    <xf numFmtId="169" fontId="5" fillId="0" borderId="1" xfId="11" applyNumberFormat="1" applyFont="1" applyBorder="1" applyAlignment="1">
      <alignment horizontal="right" vertical="center"/>
    </xf>
    <xf numFmtId="169" fontId="5" fillId="0" borderId="1" xfId="11" applyNumberFormat="1" applyFont="1" applyFill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69" fontId="3" fillId="0" borderId="1" xfId="11" applyNumberFormat="1" applyFont="1" applyFill="1" applyBorder="1" applyAlignment="1">
      <alignment horizontal="right" vertical="center"/>
    </xf>
    <xf numFmtId="169" fontId="3" fillId="0" borderId="1" xfId="1" applyNumberFormat="1" applyFont="1" applyBorder="1" applyAlignment="1">
      <alignment horizontal="right" vertical="center"/>
    </xf>
    <xf numFmtId="169" fontId="5" fillId="3" borderId="1" xfId="0" applyNumberFormat="1" applyFont="1" applyFill="1" applyBorder="1" applyAlignment="1">
      <alignment horizontal="right" vertical="center"/>
    </xf>
    <xf numFmtId="169" fontId="5" fillId="2" borderId="1" xfId="2" applyNumberFormat="1" applyFont="1" applyFill="1" applyBorder="1" applyAlignment="1">
      <alignment horizontal="right" vertical="center" shrinkToFit="1"/>
    </xf>
    <xf numFmtId="169" fontId="5" fillId="2" borderId="1" xfId="3" applyNumberFormat="1" applyFont="1" applyFill="1" applyBorder="1" applyAlignment="1">
      <alignment horizontal="right" vertical="center" shrinkToFit="1"/>
    </xf>
    <xf numFmtId="169" fontId="5" fillId="2" borderId="1" xfId="4" applyNumberFormat="1" applyFont="1" applyFill="1" applyBorder="1" applyAlignment="1">
      <alignment horizontal="right" vertical="center" shrinkToFit="1"/>
    </xf>
    <xf numFmtId="169" fontId="3" fillId="0" borderId="1" xfId="0" applyNumberFormat="1" applyFont="1" applyBorder="1" applyAlignment="1">
      <alignment horizontal="right" vertical="center"/>
    </xf>
    <xf numFmtId="167" fontId="5" fillId="0" borderId="1" xfId="11" applyNumberFormat="1" applyFont="1" applyBorder="1" applyAlignment="1">
      <alignment horizontal="right" vertical="center"/>
    </xf>
    <xf numFmtId="177" fontId="5" fillId="0" borderId="1" xfId="11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" xfId="11" applyNumberFormat="1" applyFont="1" applyFill="1" applyBorder="1" applyAlignment="1">
      <alignment horizontal="right" vertical="center"/>
    </xf>
    <xf numFmtId="168" fontId="3" fillId="0" borderId="1" xfId="11" applyNumberFormat="1" applyFont="1" applyBorder="1" applyAlignment="1">
      <alignment horizontal="right" vertical="center"/>
    </xf>
    <xf numFmtId="172" fontId="5" fillId="0" borderId="0" xfId="9" applyNumberFormat="1" applyFont="1" applyAlignment="1">
      <alignment horizontal="center"/>
    </xf>
    <xf numFmtId="172" fontId="5" fillId="0" borderId="0" xfId="9" applyNumberFormat="1" applyFont="1" applyAlignment="1">
      <alignment horizontal="right"/>
    </xf>
    <xf numFmtId="169" fontId="5" fillId="5" borderId="1" xfId="9" applyNumberFormat="1" applyFont="1" applyFill="1" applyBorder="1" applyAlignment="1">
      <alignment horizontal="right" vertical="center"/>
    </xf>
    <xf numFmtId="169" fontId="3" fillId="5" borderId="1" xfId="6" applyNumberFormat="1" applyFont="1" applyFill="1" applyBorder="1" applyAlignment="1">
      <alignment horizontal="right" vertical="center"/>
    </xf>
    <xf numFmtId="169" fontId="5" fillId="5" borderId="1" xfId="6" applyNumberFormat="1" applyFont="1" applyFill="1" applyBorder="1" applyAlignment="1">
      <alignment horizontal="right" vertical="center"/>
    </xf>
    <xf numFmtId="179" fontId="5" fillId="5" borderId="1" xfId="6" applyNumberFormat="1" applyFont="1" applyFill="1" applyBorder="1" applyAlignment="1">
      <alignment horizontal="right" vertical="center"/>
    </xf>
    <xf numFmtId="179" fontId="5" fillId="5" borderId="1" xfId="9" applyNumberFormat="1" applyFont="1" applyFill="1" applyBorder="1" applyAlignment="1">
      <alignment horizontal="right" vertical="center"/>
    </xf>
    <xf numFmtId="172" fontId="3" fillId="0" borderId="2" xfId="11" applyNumberFormat="1" applyFont="1" applyBorder="1" applyAlignment="1">
      <alignment horizontal="right" vertical="center"/>
    </xf>
    <xf numFmtId="166" fontId="3" fillId="2" borderId="1" xfId="4" applyNumberFormat="1" applyFont="1" applyFill="1" applyBorder="1" applyAlignment="1">
      <alignment horizontal="right" vertical="center" shrinkToFit="1"/>
    </xf>
    <xf numFmtId="166" fontId="36" fillId="0" borderId="1" xfId="6" applyNumberFormat="1" applyFont="1" applyBorder="1" applyAlignment="1">
      <alignment horizontal="right"/>
    </xf>
    <xf numFmtId="0" fontId="37" fillId="0" borderId="1" xfId="11" applyFont="1" applyBorder="1" applyAlignment="1">
      <alignment horizontal="center"/>
    </xf>
    <xf numFmtId="0" fontId="37" fillId="0" borderId="1" xfId="11" applyFont="1" applyBorder="1" applyAlignment="1"/>
    <xf numFmtId="172" fontId="26" fillId="3" borderId="1" xfId="0" applyNumberFormat="1" applyFont="1" applyFill="1" applyBorder="1" applyAlignment="1">
      <alignment vertical="center" wrapText="1"/>
    </xf>
    <xf numFmtId="172" fontId="5" fillId="0" borderId="0" xfId="9" applyNumberFormat="1" applyFont="1"/>
    <xf numFmtId="172" fontId="18" fillId="0" borderId="1" xfId="0" applyNumberFormat="1" applyFont="1" applyFill="1" applyBorder="1" applyAlignment="1">
      <alignment vertical="center" wrapText="1"/>
    </xf>
    <xf numFmtId="172" fontId="18" fillId="5" borderId="1" xfId="0" applyNumberFormat="1" applyFont="1" applyFill="1" applyBorder="1" applyAlignment="1">
      <alignment vertical="center" wrapText="1"/>
    </xf>
    <xf numFmtId="173" fontId="27" fillId="0" borderId="1" xfId="0" applyNumberFormat="1" applyFont="1" applyFill="1" applyBorder="1" applyAlignment="1">
      <alignment vertical="center" wrapText="1"/>
    </xf>
    <xf numFmtId="183" fontId="25" fillId="3" borderId="1" xfId="0" applyNumberFormat="1" applyFont="1" applyFill="1" applyBorder="1" applyAlignment="1">
      <alignment vertical="center" wrapText="1"/>
    </xf>
    <xf numFmtId="166" fontId="33" fillId="0" borderId="1" xfId="11" applyNumberFormat="1" applyFont="1" applyFill="1" applyBorder="1" applyAlignment="1">
      <alignment horizontal="right" vertical="center"/>
    </xf>
    <xf numFmtId="166" fontId="33" fillId="0" borderId="1" xfId="0" applyNumberFormat="1" applyFont="1" applyBorder="1" applyAlignment="1">
      <alignment horizontal="right" vertical="center"/>
    </xf>
    <xf numFmtId="166" fontId="33" fillId="3" borderId="1" xfId="0" applyNumberFormat="1" applyFont="1" applyFill="1" applyBorder="1" applyAlignment="1">
      <alignment horizontal="right" vertical="center"/>
    </xf>
    <xf numFmtId="166" fontId="32" fillId="0" borderId="1" xfId="0" applyNumberFormat="1" applyFont="1" applyBorder="1" applyAlignment="1">
      <alignment horizontal="right" vertical="center"/>
    </xf>
    <xf numFmtId="166" fontId="32" fillId="0" borderId="2" xfId="11" applyNumberFormat="1" applyFont="1" applyBorder="1" applyAlignment="1">
      <alignment horizontal="right" vertical="center"/>
    </xf>
    <xf numFmtId="166" fontId="3" fillId="0" borderId="0" xfId="9" applyNumberFormat="1" applyFont="1" applyAlignment="1">
      <alignment horizontal="right"/>
    </xf>
    <xf numFmtId="180" fontId="26" fillId="3" borderId="1" xfId="0" applyNumberFormat="1" applyFont="1" applyFill="1" applyBorder="1" applyAlignment="1">
      <alignment vertical="center" wrapText="1"/>
    </xf>
    <xf numFmtId="172" fontId="7" fillId="0" borderId="0" xfId="8" applyNumberFormat="1" applyFont="1"/>
    <xf numFmtId="177" fontId="3" fillId="0" borderId="0" xfId="9" applyNumberFormat="1" applyFont="1"/>
    <xf numFmtId="172" fontId="3" fillId="0" borderId="1" xfId="11" applyNumberFormat="1" applyFont="1" applyBorder="1" applyAlignment="1">
      <alignment horizontal="right" vertical="center"/>
    </xf>
    <xf numFmtId="172" fontId="3" fillId="3" borderId="1" xfId="12" applyNumberFormat="1" applyFont="1" applyFill="1" applyBorder="1" applyAlignment="1">
      <alignment horizontal="right" vertical="center"/>
    </xf>
    <xf numFmtId="2" fontId="3" fillId="0" borderId="1" xfId="11" applyNumberFormat="1" applyFont="1" applyBorder="1" applyAlignment="1">
      <alignment horizontal="right" vertical="center"/>
    </xf>
    <xf numFmtId="172" fontId="3" fillId="0" borderId="1" xfId="12" applyNumberFormat="1" applyFont="1" applyBorder="1" applyAlignment="1">
      <alignment horizontal="right" vertical="center"/>
    </xf>
    <xf numFmtId="177" fontId="3" fillId="0" borderId="1" xfId="11" applyNumberFormat="1" applyFont="1" applyBorder="1" applyAlignment="1">
      <alignment horizontal="right" vertical="center"/>
    </xf>
    <xf numFmtId="177" fontId="3" fillId="3" borderId="1" xfId="12" applyNumberFormat="1" applyFont="1" applyFill="1" applyBorder="1" applyAlignment="1">
      <alignment horizontal="right" vertical="center"/>
    </xf>
    <xf numFmtId="177" fontId="3" fillId="0" borderId="1" xfId="12" applyNumberFormat="1" applyFont="1" applyBorder="1" applyAlignment="1">
      <alignment horizontal="right" vertical="center"/>
    </xf>
    <xf numFmtId="174" fontId="3" fillId="0" borderId="1" xfId="11" applyNumberFormat="1" applyFont="1" applyBorder="1" applyAlignment="1">
      <alignment horizontal="right" vertical="center"/>
    </xf>
    <xf numFmtId="180" fontId="3" fillId="0" borderId="1" xfId="11" applyNumberFormat="1" applyFont="1" applyBorder="1" applyAlignment="1">
      <alignment horizontal="right" vertical="center"/>
    </xf>
    <xf numFmtId="180" fontId="3" fillId="3" borderId="1" xfId="12" applyNumberFormat="1" applyFont="1" applyFill="1" applyBorder="1" applyAlignment="1">
      <alignment horizontal="right" vertical="center"/>
    </xf>
    <xf numFmtId="184" fontId="3" fillId="0" borderId="1" xfId="11" applyNumberFormat="1" applyFont="1" applyBorder="1" applyAlignment="1">
      <alignment horizontal="right" vertical="center"/>
    </xf>
    <xf numFmtId="184" fontId="3" fillId="3" borderId="1" xfId="12" applyNumberFormat="1" applyFont="1" applyFill="1" applyBorder="1" applyAlignment="1">
      <alignment horizontal="right" vertical="center"/>
    </xf>
    <xf numFmtId="180" fontId="3" fillId="0" borderId="1" xfId="12" applyNumberFormat="1" applyFont="1" applyBorder="1" applyAlignment="1">
      <alignment horizontal="right" vertical="center"/>
    </xf>
    <xf numFmtId="186" fontId="3" fillId="0" borderId="1" xfId="11" applyNumberFormat="1" applyFont="1" applyBorder="1" applyAlignment="1">
      <alignment horizontal="right" vertical="center"/>
    </xf>
    <xf numFmtId="168" fontId="3" fillId="0" borderId="1" xfId="12" applyNumberFormat="1" applyFont="1" applyBorder="1" applyAlignment="1">
      <alignment horizontal="right" vertical="center"/>
    </xf>
    <xf numFmtId="185" fontId="3" fillId="0" borderId="1" xfId="11" applyNumberFormat="1" applyFont="1" applyBorder="1" applyAlignment="1">
      <alignment horizontal="right" vertical="center"/>
    </xf>
    <xf numFmtId="180" fontId="18" fillId="0" borderId="1" xfId="0" applyNumberFormat="1" applyFont="1" applyFill="1" applyBorder="1" applyAlignment="1" applyProtection="1">
      <alignment vertical="center" wrapText="1"/>
      <protection locked="0"/>
    </xf>
    <xf numFmtId="180" fontId="18" fillId="5" borderId="1" xfId="0" applyNumberFormat="1" applyFont="1" applyFill="1" applyBorder="1" applyAlignment="1" applyProtection="1">
      <alignment vertical="center" wrapText="1"/>
      <protection locked="0"/>
    </xf>
    <xf numFmtId="180" fontId="18" fillId="3" borderId="1" xfId="0" applyNumberFormat="1" applyFont="1" applyFill="1" applyBorder="1" applyAlignment="1">
      <alignment vertical="center" wrapText="1"/>
    </xf>
    <xf numFmtId="180" fontId="18" fillId="5" borderId="1" xfId="0" applyNumberFormat="1" applyFont="1" applyFill="1" applyBorder="1" applyAlignment="1">
      <alignment vertical="center" wrapText="1"/>
    </xf>
    <xf numFmtId="180" fontId="25" fillId="3" borderId="1" xfId="0" applyNumberFormat="1" applyFont="1" applyFill="1" applyBorder="1" applyAlignment="1">
      <alignment vertical="center" wrapText="1"/>
    </xf>
    <xf numFmtId="172" fontId="26" fillId="0" borderId="1" xfId="0" applyNumberFormat="1" applyFont="1" applyFill="1" applyBorder="1" applyAlignment="1">
      <alignment vertical="center" wrapText="1"/>
    </xf>
    <xf numFmtId="0" fontId="19" fillId="0" borderId="1" xfId="10" applyFont="1" applyFill="1" applyBorder="1" applyAlignment="1">
      <alignment vertical="center" wrapText="1"/>
    </xf>
    <xf numFmtId="180" fontId="18" fillId="0" borderId="1" xfId="0" applyNumberFormat="1" applyFont="1" applyFill="1" applyBorder="1" applyAlignment="1">
      <alignment vertical="center" wrapText="1"/>
    </xf>
    <xf numFmtId="167" fontId="17" fillId="0" borderId="1" xfId="0" applyNumberFormat="1" applyFont="1" applyFill="1" applyBorder="1" applyAlignment="1">
      <alignment vertical="center" wrapText="1"/>
    </xf>
    <xf numFmtId="168" fontId="18" fillId="0" borderId="0" xfId="0" applyNumberFormat="1" applyFont="1" applyFill="1" applyBorder="1"/>
    <xf numFmtId="172" fontId="18" fillId="0" borderId="0" xfId="0" applyNumberFormat="1" applyFont="1" applyFill="1"/>
    <xf numFmtId="0" fontId="18" fillId="0" borderId="0" xfId="0" applyFont="1" applyFill="1"/>
    <xf numFmtId="0" fontId="22" fillId="0" borderId="1" xfId="10" applyFont="1" applyFill="1" applyBorder="1" applyAlignment="1">
      <alignment vertical="center" wrapText="1"/>
    </xf>
    <xf numFmtId="176" fontId="5" fillId="0" borderId="1" xfId="9" applyNumberFormat="1" applyFont="1" applyBorder="1" applyAlignment="1">
      <alignment horizontal="right" vertical="center"/>
    </xf>
    <xf numFmtId="174" fontId="5" fillId="0" borderId="1" xfId="11" applyNumberFormat="1" applyFont="1" applyFill="1" applyBorder="1" applyAlignment="1">
      <alignment horizontal="right" vertical="center"/>
    </xf>
    <xf numFmtId="174" fontId="5" fillId="0" borderId="1" xfId="0" applyNumberFormat="1" applyFont="1" applyBorder="1" applyAlignment="1">
      <alignment horizontal="right" vertical="center"/>
    </xf>
    <xf numFmtId="166" fontId="33" fillId="5" borderId="1" xfId="11" applyNumberFormat="1" applyFont="1" applyFill="1" applyBorder="1" applyAlignment="1">
      <alignment horizontal="right" vertical="center"/>
    </xf>
    <xf numFmtId="174" fontId="5" fillId="3" borderId="1" xfId="0" applyNumberFormat="1" applyFont="1" applyFill="1" applyBorder="1" applyAlignment="1">
      <alignment horizontal="right" vertical="center"/>
    </xf>
    <xf numFmtId="174" fontId="3" fillId="0" borderId="1" xfId="0" applyNumberFormat="1" applyFont="1" applyBorder="1" applyAlignment="1">
      <alignment horizontal="right" vertical="center"/>
    </xf>
    <xf numFmtId="177" fontId="3" fillId="0" borderId="1" xfId="9" applyNumberFormat="1" applyFont="1" applyBorder="1" applyAlignment="1">
      <alignment horizontal="right" vertical="center"/>
    </xf>
    <xf numFmtId="187" fontId="5" fillId="0" borderId="1" xfId="9" applyNumberFormat="1" applyFont="1" applyBorder="1" applyAlignment="1">
      <alignment horizontal="right" vertical="center"/>
    </xf>
    <xf numFmtId="172" fontId="18" fillId="3" borderId="1" xfId="0" applyNumberFormat="1" applyFont="1" applyFill="1" applyBorder="1" applyAlignment="1" applyProtection="1">
      <alignment vertical="center" wrapText="1"/>
      <protection locked="0"/>
    </xf>
    <xf numFmtId="172" fontId="18" fillId="0" borderId="1" xfId="0" applyNumberFormat="1" applyFont="1" applyFill="1" applyBorder="1" applyAlignment="1" applyProtection="1">
      <alignment vertical="center" wrapText="1"/>
      <protection locked="0"/>
    </xf>
    <xf numFmtId="172" fontId="18" fillId="5" borderId="1" xfId="0" applyNumberFormat="1" applyFont="1" applyFill="1" applyBorder="1" applyAlignment="1" applyProtection="1">
      <alignment vertical="center" wrapText="1"/>
      <protection locked="0"/>
    </xf>
    <xf numFmtId="182" fontId="26" fillId="3" borderId="1" xfId="0" applyNumberFormat="1" applyFont="1" applyFill="1" applyBorder="1" applyAlignment="1">
      <alignment vertical="center" wrapText="1"/>
    </xf>
    <xf numFmtId="175" fontId="3" fillId="0" borderId="1" xfId="1" applyNumberFormat="1" applyFont="1" applyBorder="1" applyAlignment="1">
      <alignment horizontal="right" vertical="center"/>
    </xf>
    <xf numFmtId="168" fontId="3" fillId="0" borderId="1" xfId="9" applyNumberFormat="1" applyFont="1" applyBorder="1" applyAlignment="1">
      <alignment horizontal="right" vertical="center"/>
    </xf>
    <xf numFmtId="2" fontId="3" fillId="0" borderId="1" xfId="6" applyNumberFormat="1" applyFont="1" applyBorder="1" applyAlignment="1">
      <alignment horizontal="right" vertical="center"/>
    </xf>
    <xf numFmtId="166" fontId="5" fillId="0" borderId="1" xfId="2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 shrinkToFit="1"/>
    </xf>
    <xf numFmtId="186" fontId="5" fillId="0" borderId="1" xfId="11" applyNumberFormat="1" applyFont="1" applyFill="1" applyBorder="1" applyAlignment="1">
      <alignment horizontal="right" vertical="center"/>
    </xf>
    <xf numFmtId="173" fontId="26" fillId="3" borderId="1" xfId="0" applyNumberFormat="1" applyFont="1" applyFill="1" applyBorder="1" applyAlignment="1">
      <alignment vertical="center" wrapText="1"/>
    </xf>
    <xf numFmtId="4" fontId="26" fillId="0" borderId="1" xfId="0" applyNumberFormat="1" applyFont="1" applyFill="1" applyBorder="1" applyAlignment="1">
      <alignment vertical="center" wrapText="1"/>
    </xf>
    <xf numFmtId="167" fontId="18" fillId="0" borderId="1" xfId="0" applyNumberFormat="1" applyFont="1" applyFill="1" applyBorder="1"/>
    <xf numFmtId="167" fontId="18" fillId="5" borderId="1" xfId="0" applyNumberFormat="1" applyFont="1" applyFill="1" applyBorder="1"/>
    <xf numFmtId="186" fontId="32" fillId="3" borderId="1" xfId="1" applyNumberFormat="1" applyFont="1" applyFill="1" applyBorder="1" applyAlignment="1">
      <alignment horizontal="right" vertical="center"/>
    </xf>
    <xf numFmtId="166" fontId="33" fillId="2" borderId="1" xfId="2" applyNumberFormat="1" applyFont="1" applyFill="1" applyBorder="1" applyAlignment="1">
      <alignment horizontal="right" vertical="center" shrinkToFit="1"/>
    </xf>
    <xf numFmtId="166" fontId="33" fillId="2" borderId="1" xfId="3" applyNumberFormat="1" applyFont="1" applyFill="1" applyBorder="1" applyAlignment="1">
      <alignment horizontal="right" vertical="center" shrinkToFit="1"/>
    </xf>
    <xf numFmtId="166" fontId="33" fillId="2" borderId="1" xfId="4" applyNumberFormat="1" applyFont="1" applyFill="1" applyBorder="1" applyAlignment="1">
      <alignment horizontal="right" vertical="center" shrinkToFit="1"/>
    </xf>
    <xf numFmtId="166" fontId="32" fillId="0" borderId="1" xfId="11" applyNumberFormat="1" applyFont="1" applyFill="1" applyBorder="1" applyAlignment="1">
      <alignment horizontal="right" vertical="center"/>
    </xf>
    <xf numFmtId="166" fontId="32" fillId="0" borderId="1" xfId="11" applyNumberFormat="1" applyFont="1" applyFill="1" applyBorder="1" applyAlignment="1">
      <alignment horizontal="center" vertical="center" wrapText="1"/>
    </xf>
    <xf numFmtId="166" fontId="32" fillId="0" borderId="1" xfId="9" applyNumberFormat="1" applyFont="1" applyBorder="1" applyAlignment="1">
      <alignment horizontal="center" vertical="center" wrapText="1"/>
    </xf>
    <xf numFmtId="166" fontId="3" fillId="0" borderId="0" xfId="9" applyNumberFormat="1" applyFont="1" applyAlignment="1">
      <alignment horizontal="right" vertical="center"/>
    </xf>
    <xf numFmtId="166" fontId="32" fillId="5" borderId="1" xfId="11" applyNumberFormat="1" applyFont="1" applyFill="1" applyBorder="1" applyAlignment="1">
      <alignment horizontal="right" vertical="center"/>
    </xf>
    <xf numFmtId="188" fontId="3" fillId="0" borderId="1" xfId="11" applyNumberFormat="1" applyFont="1" applyBorder="1" applyAlignment="1">
      <alignment horizontal="right" vertical="center"/>
    </xf>
    <xf numFmtId="183" fontId="18" fillId="3" borderId="1" xfId="0" applyNumberFormat="1" applyFont="1" applyFill="1" applyBorder="1"/>
    <xf numFmtId="183" fontId="18" fillId="0" borderId="1" xfId="0" applyNumberFormat="1" applyFont="1" applyFill="1" applyBorder="1"/>
    <xf numFmtId="183" fontId="18" fillId="5" borderId="1" xfId="0" applyNumberFormat="1" applyFont="1" applyFill="1" applyBorder="1"/>
    <xf numFmtId="166" fontId="30" fillId="5" borderId="1" xfId="0" applyNumberFormat="1" applyFont="1" applyFill="1" applyBorder="1" applyAlignment="1">
      <alignment horizontal="center" vertical="center" wrapText="1"/>
    </xf>
    <xf numFmtId="175" fontId="29" fillId="5" borderId="1" xfId="0" applyNumberFormat="1" applyFont="1" applyFill="1" applyBorder="1" applyAlignment="1">
      <alignment horizontal="center" vertical="center" wrapText="1"/>
    </xf>
    <xf numFmtId="168" fontId="29" fillId="5" borderId="1" xfId="0" applyNumberFormat="1" applyFont="1" applyFill="1" applyBorder="1" applyAlignment="1">
      <alignment horizontal="center" vertical="center" wrapText="1"/>
    </xf>
    <xf numFmtId="166" fontId="38" fillId="0" borderId="1" xfId="6" applyNumberFormat="1" applyFont="1" applyBorder="1" applyAlignment="1">
      <alignment horizontal="right"/>
    </xf>
    <xf numFmtId="49" fontId="38" fillId="0" borderId="1" xfId="9" applyNumberFormat="1" applyFont="1" applyFill="1" applyBorder="1" applyAlignment="1" applyProtection="1">
      <alignment horizontal="center"/>
    </xf>
    <xf numFmtId="172" fontId="25" fillId="3" borderId="1" xfId="0" applyNumberFormat="1" applyFont="1" applyFill="1" applyBorder="1" applyAlignment="1">
      <alignment vertical="center" wrapText="1"/>
    </xf>
    <xf numFmtId="173" fontId="18" fillId="5" borderId="1" xfId="0" applyNumberFormat="1" applyFont="1" applyFill="1" applyBorder="1" applyAlignment="1">
      <alignment vertical="center" wrapText="1"/>
    </xf>
    <xf numFmtId="174" fontId="32" fillId="5" borderId="1" xfId="12" applyNumberFormat="1" applyFont="1" applyFill="1" applyBorder="1" applyAlignment="1">
      <alignment horizontal="right" vertical="center"/>
    </xf>
    <xf numFmtId="186" fontId="29" fillId="3" borderId="1" xfId="0" applyNumberFormat="1" applyFont="1" applyFill="1" applyBorder="1" applyAlignment="1">
      <alignment horizontal="center" vertical="center" wrapText="1"/>
    </xf>
    <xf numFmtId="168" fontId="29" fillId="3" borderId="1" xfId="0" applyNumberFormat="1" applyFont="1" applyFill="1" applyBorder="1" applyAlignment="1">
      <alignment horizontal="center" vertical="center" wrapText="1"/>
    </xf>
    <xf numFmtId="167" fontId="3" fillId="3" borderId="1" xfId="12" applyNumberFormat="1" applyFont="1" applyFill="1" applyBorder="1" applyAlignment="1">
      <alignment horizontal="right" vertical="center"/>
    </xf>
    <xf numFmtId="167" fontId="3" fillId="0" borderId="0" xfId="9" applyNumberFormat="1" applyFont="1"/>
    <xf numFmtId="189" fontId="3" fillId="0" borderId="0" xfId="9" applyNumberFormat="1" applyFont="1"/>
    <xf numFmtId="167" fontId="3" fillId="0" borderId="1" xfId="12" applyNumberFormat="1" applyFont="1" applyBorder="1" applyAlignment="1">
      <alignment horizontal="right" vertical="center"/>
    </xf>
    <xf numFmtId="166" fontId="33" fillId="0" borderId="1" xfId="9" applyNumberFormat="1" applyFont="1" applyBorder="1" applyAlignment="1">
      <alignment horizontal="right" vertical="center"/>
    </xf>
    <xf numFmtId="166" fontId="33" fillId="0" borderId="1" xfId="9" applyNumberFormat="1" applyFont="1" applyBorder="1" applyAlignment="1">
      <alignment horizontal="right"/>
    </xf>
    <xf numFmtId="166" fontId="33" fillId="0" borderId="1" xfId="9" applyNumberFormat="1" applyFont="1" applyBorder="1" applyAlignment="1">
      <alignment horizontal="right" vertical="center" wrapText="1"/>
    </xf>
    <xf numFmtId="166" fontId="32" fillId="0" borderId="1" xfId="6" applyNumberFormat="1" applyFont="1" applyBorder="1" applyAlignment="1">
      <alignment horizontal="right" vertical="center"/>
    </xf>
    <xf numFmtId="166" fontId="33" fillId="0" borderId="1" xfId="6" applyNumberFormat="1" applyFont="1" applyBorder="1" applyAlignment="1">
      <alignment horizontal="right" vertical="center"/>
    </xf>
    <xf numFmtId="166" fontId="32" fillId="5" borderId="1" xfId="9" applyNumberFormat="1" applyFont="1" applyFill="1" applyBorder="1" applyAlignment="1">
      <alignment horizontal="right" vertical="center"/>
    </xf>
    <xf numFmtId="166" fontId="33" fillId="2" borderId="1" xfId="5" applyNumberFormat="1" applyFont="1" applyFill="1" applyBorder="1" applyAlignment="1">
      <alignment horizontal="right" vertical="top" shrinkToFit="1"/>
    </xf>
    <xf numFmtId="166" fontId="32" fillId="0" borderId="1" xfId="12" applyNumberFormat="1" applyFont="1" applyBorder="1" applyAlignment="1">
      <alignment horizontal="right" vertical="center"/>
    </xf>
    <xf numFmtId="166" fontId="32" fillId="0" borderId="1" xfId="9" applyNumberFormat="1" applyFont="1" applyBorder="1" applyAlignment="1">
      <alignment horizontal="right"/>
    </xf>
    <xf numFmtId="166" fontId="32" fillId="5" borderId="1" xfId="12" applyNumberFormat="1" applyFont="1" applyFill="1" applyBorder="1" applyAlignment="1">
      <alignment horizontal="right" vertical="center"/>
    </xf>
    <xf numFmtId="166" fontId="33" fillId="3" borderId="1" xfId="12" applyNumberFormat="1" applyFont="1" applyFill="1" applyBorder="1" applyAlignment="1">
      <alignment horizontal="right" vertical="center"/>
    </xf>
    <xf numFmtId="166" fontId="33" fillId="3" borderId="1" xfId="11" applyNumberFormat="1" applyFont="1" applyFill="1" applyBorder="1" applyAlignment="1">
      <alignment horizontal="right" vertical="center"/>
    </xf>
    <xf numFmtId="166" fontId="32" fillId="3" borderId="1" xfId="1" applyNumberFormat="1" applyFont="1" applyFill="1" applyBorder="1" applyAlignment="1">
      <alignment horizontal="right" vertical="center"/>
    </xf>
    <xf numFmtId="2" fontId="5" fillId="0" borderId="1" xfId="9" applyNumberFormat="1" applyFont="1" applyBorder="1" applyAlignment="1">
      <alignment horizontal="right" vertical="center"/>
    </xf>
    <xf numFmtId="2" fontId="3" fillId="0" borderId="1" xfId="9" applyNumberFormat="1" applyFont="1" applyBorder="1" applyAlignment="1">
      <alignment horizontal="right" vertical="center"/>
    </xf>
    <xf numFmtId="2" fontId="5" fillId="0" borderId="1" xfId="9" applyNumberFormat="1" applyFont="1" applyBorder="1" applyAlignment="1">
      <alignment horizontal="right"/>
    </xf>
    <xf numFmtId="2" fontId="5" fillId="0" borderId="1" xfId="6" applyNumberFormat="1" applyFont="1" applyBorder="1" applyAlignment="1">
      <alignment horizontal="right" vertical="center"/>
    </xf>
    <xf numFmtId="2" fontId="5" fillId="2" borderId="1" xfId="5" applyNumberFormat="1" applyFont="1" applyFill="1" applyBorder="1" applyAlignment="1">
      <alignment horizontal="right" vertical="top" shrinkToFit="1"/>
    </xf>
    <xf numFmtId="2" fontId="3" fillId="0" borderId="1" xfId="12" applyNumberFormat="1" applyFont="1" applyBorder="1" applyAlignment="1">
      <alignment horizontal="right" vertical="center"/>
    </xf>
    <xf numFmtId="0" fontId="3" fillId="0" borderId="0" xfId="11" applyFont="1" applyAlignment="1">
      <alignment horizontal="center"/>
    </xf>
    <xf numFmtId="2" fontId="3" fillId="0" borderId="1" xfId="1" applyNumberFormat="1" applyFont="1" applyBorder="1" applyAlignment="1">
      <alignment horizontal="right" vertical="center"/>
    </xf>
    <xf numFmtId="1" fontId="3" fillId="0" borderId="1" xfId="1" applyNumberFormat="1" applyFont="1" applyBorder="1" applyAlignment="1">
      <alignment horizontal="right" vertical="center"/>
    </xf>
    <xf numFmtId="1" fontId="3" fillId="0" borderId="1" xfId="11" applyNumberFormat="1" applyFont="1" applyBorder="1" applyAlignment="1">
      <alignment horizontal="right" vertical="center"/>
    </xf>
    <xf numFmtId="167" fontId="3" fillId="5" borderId="1" xfId="11" applyNumberFormat="1" applyFont="1" applyFill="1" applyBorder="1" applyAlignment="1">
      <alignment horizontal="right" vertical="center"/>
    </xf>
    <xf numFmtId="167" fontId="3" fillId="5" borderId="1" xfId="12" applyNumberFormat="1" applyFont="1" applyFill="1" applyBorder="1" applyAlignment="1">
      <alignment horizontal="right" vertical="center"/>
    </xf>
    <xf numFmtId="2" fontId="5" fillId="0" borderId="1" xfId="11" applyNumberFormat="1" applyFont="1" applyFill="1" applyBorder="1" applyAlignment="1">
      <alignment horizontal="right" vertical="center"/>
    </xf>
    <xf numFmtId="2" fontId="3" fillId="0" borderId="1" xfId="11" applyNumberFormat="1" applyFont="1" applyFill="1" applyBorder="1" applyAlignment="1">
      <alignment horizontal="right" vertical="center"/>
    </xf>
    <xf numFmtId="2" fontId="5" fillId="0" borderId="1" xfId="11" applyNumberFormat="1" applyFont="1" applyBorder="1" applyAlignment="1">
      <alignment horizontal="right" vertical="center"/>
    </xf>
    <xf numFmtId="2" fontId="3" fillId="5" borderId="1" xfId="11" applyNumberFormat="1" applyFont="1" applyFill="1" applyBorder="1" applyAlignment="1">
      <alignment horizontal="right" vertical="center"/>
    </xf>
    <xf numFmtId="2" fontId="5" fillId="5" borderId="1" xfId="2" applyNumberFormat="1" applyFont="1" applyFill="1" applyBorder="1" applyAlignment="1">
      <alignment horizontal="right" vertical="center" shrinkToFit="1"/>
    </xf>
    <xf numFmtId="2" fontId="5" fillId="2" borderId="1" xfId="2" applyNumberFormat="1" applyFont="1" applyFill="1" applyBorder="1" applyAlignment="1">
      <alignment horizontal="right" vertical="center" shrinkToFit="1"/>
    </xf>
    <xf numFmtId="2" fontId="5" fillId="2" borderId="1" xfId="3" applyNumberFormat="1" applyFont="1" applyFill="1" applyBorder="1" applyAlignment="1">
      <alignment horizontal="right" vertical="center" shrinkToFit="1"/>
    </xf>
    <xf numFmtId="2" fontId="5" fillId="2" borderId="1" xfId="4" applyNumberFormat="1" applyFont="1" applyFill="1" applyBorder="1" applyAlignment="1">
      <alignment horizontal="right" vertical="center" shrinkToFit="1"/>
    </xf>
    <xf numFmtId="2" fontId="3" fillId="5" borderId="1" xfId="12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2" fontId="5" fillId="5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167" fontId="35" fillId="0" borderId="1" xfId="11" applyNumberFormat="1" applyFont="1" applyBorder="1" applyAlignment="1">
      <alignment horizontal="right" vertical="center"/>
    </xf>
    <xf numFmtId="2" fontId="3" fillId="3" borderId="1" xfId="12" applyNumberFormat="1" applyFont="1" applyFill="1" applyBorder="1" applyAlignment="1">
      <alignment horizontal="right" vertical="center"/>
    </xf>
    <xf numFmtId="49" fontId="3" fillId="0" borderId="1" xfId="12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9" fontId="18" fillId="3" borderId="10" xfId="0" applyNumberFormat="1" applyFont="1" applyFill="1" applyBorder="1" applyAlignment="1">
      <alignment horizontal="center" vertical="center" wrapText="1"/>
    </xf>
    <xf numFmtId="49" fontId="18" fillId="3" borderId="11" xfId="0" applyNumberFormat="1" applyFont="1" applyFill="1" applyBorder="1" applyAlignment="1">
      <alignment horizontal="center" vertical="center" wrapText="1"/>
    </xf>
    <xf numFmtId="49" fontId="18" fillId="3" borderId="12" xfId="0" applyNumberFormat="1" applyFont="1" applyFill="1" applyBorder="1" applyAlignment="1">
      <alignment horizontal="center" vertical="center" wrapText="1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0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9" xfId="0" applyNumberFormat="1" applyFont="1" applyFill="1" applyBorder="1" applyAlignment="1">
      <alignment horizontal="center" vertical="center" wrapText="1"/>
    </xf>
    <xf numFmtId="49" fontId="18" fillId="3" borderId="6" xfId="0" applyNumberFormat="1" applyFont="1" applyFill="1" applyBorder="1" applyAlignment="1">
      <alignment horizontal="center" vertical="center" wrapText="1"/>
    </xf>
    <xf numFmtId="49" fontId="18" fillId="3" borderId="7" xfId="0" applyNumberFormat="1" applyFont="1" applyFill="1" applyBorder="1" applyAlignment="1">
      <alignment horizontal="center" vertical="center" wrapText="1"/>
    </xf>
    <xf numFmtId="49" fontId="18" fillId="3" borderId="3" xfId="0" applyNumberFormat="1" applyFont="1" applyFill="1" applyBorder="1" applyAlignment="1">
      <alignment horizontal="center" vertical="center" wrapText="1"/>
    </xf>
    <xf numFmtId="49" fontId="18" fillId="3" borderId="4" xfId="0" applyNumberFormat="1" applyFont="1" applyFill="1" applyBorder="1" applyAlignment="1">
      <alignment horizontal="center" vertical="center" wrapText="1"/>
    </xf>
    <xf numFmtId="49" fontId="18" fillId="3" borderId="5" xfId="0" applyNumberFormat="1" applyFont="1" applyFill="1" applyBorder="1" applyAlignment="1">
      <alignment horizontal="center" vertical="center" wrapText="1"/>
    </xf>
    <xf numFmtId="4" fontId="23" fillId="3" borderId="3" xfId="10" applyNumberFormat="1" applyFont="1" applyFill="1" applyBorder="1" applyAlignment="1">
      <alignment horizontal="center" vertical="center" wrapText="1"/>
    </xf>
    <xf numFmtId="4" fontId="23" fillId="3" borderId="5" xfId="1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/>
    </xf>
    <xf numFmtId="0" fontId="18" fillId="3" borderId="9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center"/>
    </xf>
    <xf numFmtId="0" fontId="17" fillId="3" borderId="0" xfId="0" applyFont="1" applyFill="1" applyAlignment="1" applyProtection="1">
      <alignment horizontal="center" vertical="center" wrapText="1"/>
      <protection locked="0"/>
    </xf>
    <xf numFmtId="0" fontId="16" fillId="3" borderId="6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3" fillId="0" borderId="0" xfId="11" applyFont="1" applyAlignment="1">
      <alignment horizontal="center"/>
    </xf>
    <xf numFmtId="0" fontId="3" fillId="0" borderId="0" xfId="11" applyFont="1" applyFill="1" applyAlignment="1">
      <alignment horizontal="center"/>
    </xf>
  </cellXfs>
  <cellStyles count="13">
    <cellStyle name="Денежный" xfId="1" builtinId="4"/>
    <cellStyle name="Обычный" xfId="0" builtinId="0"/>
    <cellStyle name="Обычный 4" xfId="2"/>
    <cellStyle name="Обычный 5" xfId="3"/>
    <cellStyle name="Обычный 6" xfId="4"/>
    <cellStyle name="Обычный 7" xfId="5"/>
    <cellStyle name="Обычный_Алек 2" xfId="6"/>
    <cellStyle name="Обычный_Анализ Кадикас. на 1.03.08" xfId="7"/>
    <cellStyle name="Обычный_Анализ Моргаш. на 1.03.08" xfId="8"/>
    <cellStyle name="Обычный_Анализ район на 1.03.08" xfId="9"/>
    <cellStyle name="Обычный_Лист1 2" xfId="10"/>
    <cellStyle name="Обычный_Лист3 2" xfId="11"/>
    <cellStyle name="Финансовый" xfId="1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934" Type="http://schemas.openxmlformats.org/officeDocument/2006/relationships/revisionLog" Target="revisionLog12.xml"/><Relationship Id="rId913" Type="http://schemas.openxmlformats.org/officeDocument/2006/relationships/revisionLog" Target="revisionLog11.xml"/><Relationship Id="rId955" Type="http://schemas.openxmlformats.org/officeDocument/2006/relationships/revisionLog" Target="revisionLog14.xml"/><Relationship Id="rId976" Type="http://schemas.openxmlformats.org/officeDocument/2006/relationships/revisionLog" Target="revisionLog15.xml"/><Relationship Id="rId997" Type="http://schemas.openxmlformats.org/officeDocument/2006/relationships/revisionLog" Target="revisionLog16.xml"/><Relationship Id="rId1000" Type="http://schemas.openxmlformats.org/officeDocument/2006/relationships/revisionLog" Target="revisionLog131.xml"/><Relationship Id="rId1021" Type="http://schemas.openxmlformats.org/officeDocument/2006/relationships/revisionLog" Target="revisionLog17.xml"/><Relationship Id="rId1042" Type="http://schemas.openxmlformats.org/officeDocument/2006/relationships/revisionLog" Target="revisionLog18.xml"/><Relationship Id="rId1063" Type="http://schemas.openxmlformats.org/officeDocument/2006/relationships/revisionLog" Target="revisionLog110.xml"/><Relationship Id="rId1084" Type="http://schemas.openxmlformats.org/officeDocument/2006/relationships/revisionLog" Target="revisionLog112.xml"/><Relationship Id="rId924" Type="http://schemas.openxmlformats.org/officeDocument/2006/relationships/revisionLog" Target="revisionLog1511.xml"/><Relationship Id="rId929" Type="http://schemas.openxmlformats.org/officeDocument/2006/relationships/revisionLog" Target="revisionLog13021.xml"/><Relationship Id="rId945" Type="http://schemas.openxmlformats.org/officeDocument/2006/relationships/revisionLog" Target="revisionLog161.xml"/><Relationship Id="rId966" Type="http://schemas.openxmlformats.org/officeDocument/2006/relationships/revisionLog" Target="revisionLog181.xml"/><Relationship Id="rId1114" Type="http://schemas.openxmlformats.org/officeDocument/2006/relationships/revisionLog" Target="revisionLog13.xml"/><Relationship Id="rId987" Type="http://schemas.openxmlformats.org/officeDocument/2006/relationships/revisionLog" Target="revisionLog1121.xml"/><Relationship Id="rId940" Type="http://schemas.openxmlformats.org/officeDocument/2006/relationships/revisionLog" Target="revisionLog1611.xml"/><Relationship Id="rId961" Type="http://schemas.openxmlformats.org/officeDocument/2006/relationships/revisionLog" Target="revisionLog1811.xml"/><Relationship Id="rId982" Type="http://schemas.openxmlformats.org/officeDocument/2006/relationships/revisionLog" Target="revisionLog1101.xml"/><Relationship Id="rId1016" Type="http://schemas.openxmlformats.org/officeDocument/2006/relationships/revisionLog" Target="revisionLog171.xml"/><Relationship Id="rId1011" Type="http://schemas.openxmlformats.org/officeDocument/2006/relationships/revisionLog" Target="revisionLog1131.xml"/><Relationship Id="rId1032" Type="http://schemas.openxmlformats.org/officeDocument/2006/relationships/revisionLog" Target="revisionLog191.xml"/><Relationship Id="rId1037" Type="http://schemas.openxmlformats.org/officeDocument/2006/relationships/revisionLog" Target="revisionLog1111.xml"/><Relationship Id="rId1053" Type="http://schemas.openxmlformats.org/officeDocument/2006/relationships/revisionLog" Target="revisionLog114.xml"/><Relationship Id="rId1058" Type="http://schemas.openxmlformats.org/officeDocument/2006/relationships/revisionLog" Target="revisionLog115.xml"/><Relationship Id="rId1074" Type="http://schemas.openxmlformats.org/officeDocument/2006/relationships/revisionLog" Target="revisionLog116.xml"/><Relationship Id="rId1079" Type="http://schemas.openxmlformats.org/officeDocument/2006/relationships/revisionLog" Target="revisionLog117.xml"/><Relationship Id="rId1109" Type="http://schemas.openxmlformats.org/officeDocument/2006/relationships/revisionLog" Target="revisionLog132.xml"/><Relationship Id="rId935" Type="http://schemas.openxmlformats.org/officeDocument/2006/relationships/revisionLog" Target="revisionLog182.xml"/><Relationship Id="rId914" Type="http://schemas.openxmlformats.org/officeDocument/2006/relationships/revisionLog" Target="revisionLog162.xml"/><Relationship Id="rId919" Type="http://schemas.openxmlformats.org/officeDocument/2006/relationships/revisionLog" Target="revisionLog1301.xml"/><Relationship Id="rId1090" Type="http://schemas.openxmlformats.org/officeDocument/2006/relationships/revisionLog" Target="revisionLog118.xml"/><Relationship Id="rId1095" Type="http://schemas.openxmlformats.org/officeDocument/2006/relationships/revisionLog" Target="revisionLog119.xml"/><Relationship Id="rId1104" Type="http://schemas.openxmlformats.org/officeDocument/2006/relationships/revisionLog" Target="revisionLog120.xml"/><Relationship Id="rId930" Type="http://schemas.openxmlformats.org/officeDocument/2006/relationships/revisionLog" Target="revisionLog133.xml"/><Relationship Id="rId951" Type="http://schemas.openxmlformats.org/officeDocument/2006/relationships/revisionLog" Target="revisionLog11211.xml"/><Relationship Id="rId956" Type="http://schemas.openxmlformats.org/officeDocument/2006/relationships/revisionLog" Target="revisionLog11311.xml"/><Relationship Id="rId972" Type="http://schemas.openxmlformats.org/officeDocument/2006/relationships/revisionLog" Target="revisionLog1141.xml"/><Relationship Id="rId977" Type="http://schemas.openxmlformats.org/officeDocument/2006/relationships/revisionLog" Target="revisionLog1151.xml"/><Relationship Id="rId993" Type="http://schemas.openxmlformats.org/officeDocument/2006/relationships/revisionLog" Target="revisionLog1161.xml"/><Relationship Id="rId998" Type="http://schemas.openxmlformats.org/officeDocument/2006/relationships/revisionLog" Target="revisionLog1321.xml"/><Relationship Id="rId1006" Type="http://schemas.openxmlformats.org/officeDocument/2006/relationships/revisionLog" Target="revisionLog1171.xml"/><Relationship Id="rId1001" Type="http://schemas.openxmlformats.org/officeDocument/2006/relationships/revisionLog" Target="revisionLog11711.xml"/><Relationship Id="rId1022" Type="http://schemas.openxmlformats.org/officeDocument/2006/relationships/revisionLog" Target="revisionLog11111.xml"/><Relationship Id="rId1027" Type="http://schemas.openxmlformats.org/officeDocument/2006/relationships/revisionLog" Target="revisionLog1181.xml"/><Relationship Id="rId1043" Type="http://schemas.openxmlformats.org/officeDocument/2006/relationships/revisionLog" Target="revisionLog1201.xml"/><Relationship Id="rId1048" Type="http://schemas.openxmlformats.org/officeDocument/2006/relationships/revisionLog" Target="revisionLog121.xml"/><Relationship Id="rId1069" Type="http://schemas.openxmlformats.org/officeDocument/2006/relationships/revisionLog" Target="revisionLog1191.xml"/><Relationship Id="rId925" Type="http://schemas.openxmlformats.org/officeDocument/2006/relationships/revisionLog" Target="revisionLog11511.xml"/><Relationship Id="rId1064" Type="http://schemas.openxmlformats.org/officeDocument/2006/relationships/revisionLog" Target="revisionLog11911.xml"/><Relationship Id="rId1080" Type="http://schemas.openxmlformats.org/officeDocument/2006/relationships/revisionLog" Target="revisionLog122.xml"/><Relationship Id="rId1085" Type="http://schemas.openxmlformats.org/officeDocument/2006/relationships/revisionLog" Target="revisionLog123.xml"/><Relationship Id="rId1115" Type="http://schemas.openxmlformats.org/officeDocument/2006/relationships/revisionLog" Target="revisionLog19.xml"/><Relationship Id="rId920" Type="http://schemas.openxmlformats.org/officeDocument/2006/relationships/revisionLog" Target="revisionLog115111.xml"/><Relationship Id="rId941" Type="http://schemas.openxmlformats.org/officeDocument/2006/relationships/revisionLog" Target="revisionLog113111.xml"/><Relationship Id="rId946" Type="http://schemas.openxmlformats.org/officeDocument/2006/relationships/revisionLog" Target="revisionLog11611.xml"/><Relationship Id="rId962" Type="http://schemas.openxmlformats.org/officeDocument/2006/relationships/revisionLog" Target="revisionLog117111.xml"/><Relationship Id="rId967" Type="http://schemas.openxmlformats.org/officeDocument/2006/relationships/revisionLog" Target="revisionLog11811.xml"/><Relationship Id="rId983" Type="http://schemas.openxmlformats.org/officeDocument/2006/relationships/revisionLog" Target="revisionLog119111.xml"/><Relationship Id="rId988" Type="http://schemas.openxmlformats.org/officeDocument/2006/relationships/revisionLog" Target="revisionLog12011.xml"/><Relationship Id="rId1110" Type="http://schemas.openxmlformats.org/officeDocument/2006/relationships/revisionLog" Target="revisionLog124.xml"/><Relationship Id="rId1012" Type="http://schemas.openxmlformats.org/officeDocument/2006/relationships/revisionLog" Target="revisionLog1221.xml"/><Relationship Id="rId1017" Type="http://schemas.openxmlformats.org/officeDocument/2006/relationships/revisionLog" Target="revisionLog19111.xml"/><Relationship Id="rId1033" Type="http://schemas.openxmlformats.org/officeDocument/2006/relationships/revisionLog" Target="revisionLog1231.xml"/><Relationship Id="rId1038" Type="http://schemas.openxmlformats.org/officeDocument/2006/relationships/revisionLog" Target="revisionLog1241.xml"/><Relationship Id="rId1059" Type="http://schemas.openxmlformats.org/officeDocument/2006/relationships/revisionLog" Target="revisionLog1192.xml"/><Relationship Id="rId915" Type="http://schemas.openxmlformats.org/officeDocument/2006/relationships/revisionLog" Target="revisionLog120111.xml"/><Relationship Id="rId1054" Type="http://schemas.openxmlformats.org/officeDocument/2006/relationships/revisionLog" Target="revisionLog11921.xml"/><Relationship Id="rId1070" Type="http://schemas.openxmlformats.org/officeDocument/2006/relationships/revisionLog" Target="revisionLog126.xml"/><Relationship Id="rId1075" Type="http://schemas.openxmlformats.org/officeDocument/2006/relationships/revisionLog" Target="revisionLog1222.xml"/><Relationship Id="rId1091" Type="http://schemas.openxmlformats.org/officeDocument/2006/relationships/revisionLog" Target="revisionLog125.xml"/><Relationship Id="rId1096" Type="http://schemas.openxmlformats.org/officeDocument/2006/relationships/revisionLog" Target="revisionLog127.xml"/><Relationship Id="rId1105" Type="http://schemas.openxmlformats.org/officeDocument/2006/relationships/revisionLog" Target="revisionLog128.xml"/><Relationship Id="rId936" Type="http://schemas.openxmlformats.org/officeDocument/2006/relationships/revisionLog" Target="revisionLog1133.xml"/><Relationship Id="rId931" Type="http://schemas.openxmlformats.org/officeDocument/2006/relationships/revisionLog" Target="revisionLog12111.xml"/><Relationship Id="rId910" Type="http://schemas.openxmlformats.org/officeDocument/2006/relationships/revisionLog" Target="revisionLog1111111.xml"/><Relationship Id="rId952" Type="http://schemas.openxmlformats.org/officeDocument/2006/relationships/revisionLog" Target="revisionLog12411.xml"/><Relationship Id="rId957" Type="http://schemas.openxmlformats.org/officeDocument/2006/relationships/revisionLog" Target="revisionLog1172.xml"/><Relationship Id="rId978" Type="http://schemas.openxmlformats.org/officeDocument/2006/relationships/revisionLog" Target="revisionLog12211.xml"/><Relationship Id="rId999" Type="http://schemas.openxmlformats.org/officeDocument/2006/relationships/revisionLog" Target="revisionLog12311.xml"/><Relationship Id="rId1100" Type="http://schemas.openxmlformats.org/officeDocument/2006/relationships/revisionLog" Target="revisionLog1281.xml"/><Relationship Id="rId994" Type="http://schemas.openxmlformats.org/officeDocument/2006/relationships/revisionLog" Target="revisionLog123111.xml"/><Relationship Id="rId1007" Type="http://schemas.openxmlformats.org/officeDocument/2006/relationships/revisionLog" Target="revisionLog1271.xml"/><Relationship Id="rId1002" Type="http://schemas.openxmlformats.org/officeDocument/2006/relationships/revisionLog" Target="revisionLog12511.xml"/><Relationship Id="rId973" Type="http://schemas.openxmlformats.org/officeDocument/2006/relationships/revisionLog" Target="revisionLog1261.xml"/><Relationship Id="rId1023" Type="http://schemas.openxmlformats.org/officeDocument/2006/relationships/revisionLog" Target="revisionLog1212.xml"/><Relationship Id="rId1028" Type="http://schemas.openxmlformats.org/officeDocument/2006/relationships/revisionLog" Target="revisionLog12811.xml"/><Relationship Id="rId1049" Type="http://schemas.openxmlformats.org/officeDocument/2006/relationships/revisionLog" Target="revisionLog134.xml"/><Relationship Id="rId1044" Type="http://schemas.openxmlformats.org/officeDocument/2006/relationships/revisionLog" Target="revisionLog1341.xml"/><Relationship Id="rId1060" Type="http://schemas.openxmlformats.org/officeDocument/2006/relationships/revisionLog" Target="revisionLog12221.xml"/><Relationship Id="rId1065" Type="http://schemas.openxmlformats.org/officeDocument/2006/relationships/revisionLog" Target="revisionLog135.xml"/><Relationship Id="rId1081" Type="http://schemas.openxmlformats.org/officeDocument/2006/relationships/revisionLog" Target="revisionLog136.xml"/><Relationship Id="rId1086" Type="http://schemas.openxmlformats.org/officeDocument/2006/relationships/revisionLog" Target="revisionLog137.xml"/><Relationship Id="rId1116" Type="http://schemas.openxmlformats.org/officeDocument/2006/relationships/revisionLog" Target="revisionLog111.xml"/><Relationship Id="rId926" Type="http://schemas.openxmlformats.org/officeDocument/2006/relationships/revisionLog" Target="revisionLog124111.xml"/><Relationship Id="rId921" Type="http://schemas.openxmlformats.org/officeDocument/2006/relationships/revisionLog" Target="revisionLog121111.xml"/><Relationship Id="rId947" Type="http://schemas.openxmlformats.org/officeDocument/2006/relationships/revisionLog" Target="revisionLog12611.xml"/><Relationship Id="rId968" Type="http://schemas.openxmlformats.org/officeDocument/2006/relationships/revisionLog" Target="revisionLog12711.xml"/><Relationship Id="rId989" Type="http://schemas.openxmlformats.org/officeDocument/2006/relationships/revisionLog" Target="revisionLog1232.xml"/><Relationship Id="rId942" Type="http://schemas.openxmlformats.org/officeDocument/2006/relationships/revisionLog" Target="revisionLog125111.xml"/><Relationship Id="rId1111" Type="http://schemas.openxmlformats.org/officeDocument/2006/relationships/revisionLog" Target="revisionLog129.xml"/><Relationship Id="rId963" Type="http://schemas.openxmlformats.org/officeDocument/2006/relationships/revisionLog" Target="revisionLog1272.xml"/><Relationship Id="rId984" Type="http://schemas.openxmlformats.org/officeDocument/2006/relationships/revisionLog" Target="revisionLog12321.xml"/><Relationship Id="rId1013" Type="http://schemas.openxmlformats.org/officeDocument/2006/relationships/revisionLog" Target="revisionLog1283.xml"/><Relationship Id="rId1018" Type="http://schemas.openxmlformats.org/officeDocument/2006/relationships/revisionLog" Target="revisionLog1112.xml"/><Relationship Id="rId1039" Type="http://schemas.openxmlformats.org/officeDocument/2006/relationships/revisionLog" Target="revisionLog13411.xml"/><Relationship Id="rId1034" Type="http://schemas.openxmlformats.org/officeDocument/2006/relationships/revisionLog" Target="revisionLog1421.xml"/><Relationship Id="rId1050" Type="http://schemas.openxmlformats.org/officeDocument/2006/relationships/revisionLog" Target="revisionLog143.xml"/><Relationship Id="rId1055" Type="http://schemas.openxmlformats.org/officeDocument/2006/relationships/revisionLog" Target="revisionLog1303.xml"/><Relationship Id="rId1076" Type="http://schemas.openxmlformats.org/officeDocument/2006/relationships/revisionLog" Target="revisionLog12512.xml"/><Relationship Id="rId1097" Type="http://schemas.openxmlformats.org/officeDocument/2006/relationships/revisionLog" Target="revisionLog1291.xml"/><Relationship Id="rId937" Type="http://schemas.openxmlformats.org/officeDocument/2006/relationships/revisionLog" Target="revisionLog126111.xml"/><Relationship Id="rId932" Type="http://schemas.openxmlformats.org/officeDocument/2006/relationships/revisionLog" Target="revisionLog125112.xml"/><Relationship Id="rId916" Type="http://schemas.openxmlformats.org/officeDocument/2006/relationships/revisionLog" Target="revisionLog1241111.xml"/><Relationship Id="rId911" Type="http://schemas.openxmlformats.org/officeDocument/2006/relationships/revisionLog" Target="revisionLog1211111.xml"/><Relationship Id="rId958" Type="http://schemas.openxmlformats.org/officeDocument/2006/relationships/revisionLog" Target="revisionLog12721.xml"/><Relationship Id="rId979" Type="http://schemas.openxmlformats.org/officeDocument/2006/relationships/revisionLog" Target="revisionLog123211.xml"/><Relationship Id="rId1071" Type="http://schemas.openxmlformats.org/officeDocument/2006/relationships/revisionLog" Target="revisionLog1361.xml"/><Relationship Id="rId1092" Type="http://schemas.openxmlformats.org/officeDocument/2006/relationships/revisionLog" Target="revisionLog1292.xml"/><Relationship Id="rId1101" Type="http://schemas.openxmlformats.org/officeDocument/2006/relationships/revisionLog" Target="revisionLog130.xml"/><Relationship Id="rId1106" Type="http://schemas.openxmlformats.org/officeDocument/2006/relationships/revisionLog" Target="revisionLog138.xml"/><Relationship Id="rId995" Type="http://schemas.openxmlformats.org/officeDocument/2006/relationships/revisionLog" Target="revisionLog128111.xml"/><Relationship Id="rId1008" Type="http://schemas.openxmlformats.org/officeDocument/2006/relationships/revisionLog" Target="revisionLog12911.xml"/><Relationship Id="rId953" Type="http://schemas.openxmlformats.org/officeDocument/2006/relationships/revisionLog" Target="revisionLog127211.xml"/><Relationship Id="rId974" Type="http://schemas.openxmlformats.org/officeDocument/2006/relationships/revisionLog" Target="revisionLog122211.xml"/><Relationship Id="rId990" Type="http://schemas.openxmlformats.org/officeDocument/2006/relationships/revisionLog" Target="revisionLog125121.xml"/><Relationship Id="rId1029" Type="http://schemas.openxmlformats.org/officeDocument/2006/relationships/revisionLog" Target="revisionLog1921.xml"/><Relationship Id="rId1003" Type="http://schemas.openxmlformats.org/officeDocument/2006/relationships/revisionLog" Target="revisionLog1342.xml"/><Relationship Id="rId1024" Type="http://schemas.openxmlformats.org/officeDocument/2006/relationships/revisionLog" Target="revisionLog1912.xml"/><Relationship Id="rId1040" Type="http://schemas.openxmlformats.org/officeDocument/2006/relationships/revisionLog" Target="revisionLog1431.xml"/><Relationship Id="rId1045" Type="http://schemas.openxmlformats.org/officeDocument/2006/relationships/revisionLog" Target="revisionLog144.xml"/><Relationship Id="rId1066" Type="http://schemas.openxmlformats.org/officeDocument/2006/relationships/revisionLog" Target="revisionLog1362.xml"/><Relationship Id="rId1087" Type="http://schemas.openxmlformats.org/officeDocument/2006/relationships/revisionLog" Target="revisionLog145.xml"/><Relationship Id="rId927" Type="http://schemas.openxmlformats.org/officeDocument/2006/relationships/revisionLog" Target="revisionLog1272111.xml"/><Relationship Id="rId922" Type="http://schemas.openxmlformats.org/officeDocument/2006/relationships/revisionLog" Target="revisionLog12612.xml"/><Relationship Id="rId969" Type="http://schemas.openxmlformats.org/officeDocument/2006/relationships/revisionLog" Target="revisionLog1281111.xml"/><Relationship Id="rId948" Type="http://schemas.openxmlformats.org/officeDocument/2006/relationships/revisionLog" Target="revisionLog13412.xml"/><Relationship Id="rId1061" Type="http://schemas.openxmlformats.org/officeDocument/2006/relationships/revisionLog" Target="revisionLog1351.xml"/><Relationship Id="rId1082" Type="http://schemas.openxmlformats.org/officeDocument/2006/relationships/revisionLog" Target="revisionLog1371.xml"/><Relationship Id="rId1112" Type="http://schemas.openxmlformats.org/officeDocument/2006/relationships/revisionLog" Target="revisionLog139.xml"/><Relationship Id="rId1117" Type="http://schemas.openxmlformats.org/officeDocument/2006/relationships/revisionLog" Target="revisionLog1.xml"/><Relationship Id="rId985" Type="http://schemas.openxmlformats.org/officeDocument/2006/relationships/revisionLog" Target="revisionLog12513.xml"/><Relationship Id="rId943" Type="http://schemas.openxmlformats.org/officeDocument/2006/relationships/revisionLog" Target="revisionLog134111.xml"/><Relationship Id="rId964" Type="http://schemas.openxmlformats.org/officeDocument/2006/relationships/revisionLog" Target="revisionLog12811111.xml"/><Relationship Id="rId1019" Type="http://schemas.openxmlformats.org/officeDocument/2006/relationships/revisionLog" Target="revisionLog1911.xml"/><Relationship Id="rId1014" Type="http://schemas.openxmlformats.org/officeDocument/2006/relationships/revisionLog" Target="revisionLog13031.xml"/><Relationship Id="rId980" Type="http://schemas.openxmlformats.org/officeDocument/2006/relationships/revisionLog" Target="revisionLog125131.xml"/><Relationship Id="rId1030" Type="http://schemas.openxmlformats.org/officeDocument/2006/relationships/revisionLog" Target="revisionLog192.xml"/><Relationship Id="rId1035" Type="http://schemas.openxmlformats.org/officeDocument/2006/relationships/revisionLog" Target="revisionLog119211.xml"/><Relationship Id="rId1056" Type="http://schemas.openxmlformats.org/officeDocument/2006/relationships/revisionLog" Target="revisionLog1451.xml"/><Relationship Id="rId1077" Type="http://schemas.openxmlformats.org/officeDocument/2006/relationships/revisionLog" Target="revisionLog13711.xml"/><Relationship Id="rId938" Type="http://schemas.openxmlformats.org/officeDocument/2006/relationships/revisionLog" Target="revisionLog1282.xml"/><Relationship Id="rId959" Type="http://schemas.openxmlformats.org/officeDocument/2006/relationships/revisionLog" Target="revisionLog13511.xml"/><Relationship Id="rId917" Type="http://schemas.openxmlformats.org/officeDocument/2006/relationships/revisionLog" Target="revisionLog1261111.xml"/><Relationship Id="rId1051" Type="http://schemas.openxmlformats.org/officeDocument/2006/relationships/revisionLog" Target="revisionLog12241.xml"/><Relationship Id="rId1072" Type="http://schemas.openxmlformats.org/officeDocument/2006/relationships/revisionLog" Target="revisionLog1225.xml"/><Relationship Id="rId1093" Type="http://schemas.openxmlformats.org/officeDocument/2006/relationships/revisionLog" Target="revisionLog1302.xml"/><Relationship Id="rId1098" Type="http://schemas.openxmlformats.org/officeDocument/2006/relationships/revisionLog" Target="revisionLog1381.xml"/><Relationship Id="rId1102" Type="http://schemas.openxmlformats.org/officeDocument/2006/relationships/revisionLog" Target="revisionLog142.xml"/><Relationship Id="rId1107" Type="http://schemas.openxmlformats.org/officeDocument/2006/relationships/revisionLog" Target="revisionLog146.xml"/><Relationship Id="rId912" Type="http://schemas.openxmlformats.org/officeDocument/2006/relationships/revisionLog" Target="revisionLog12611111.xml"/><Relationship Id="rId933" Type="http://schemas.openxmlformats.org/officeDocument/2006/relationships/revisionLog" Target="revisionLog183.xml"/><Relationship Id="rId954" Type="http://schemas.openxmlformats.org/officeDocument/2006/relationships/revisionLog" Target="revisionLog11721.xml"/><Relationship Id="rId975" Type="http://schemas.openxmlformats.org/officeDocument/2006/relationships/revisionLog" Target="revisionLog1232111.xml"/><Relationship Id="rId996" Type="http://schemas.openxmlformats.org/officeDocument/2006/relationships/revisionLog" Target="revisionLog13621.xml"/><Relationship Id="rId1009" Type="http://schemas.openxmlformats.org/officeDocument/2006/relationships/revisionLog" Target="revisionLog13712.xml"/><Relationship Id="rId1004" Type="http://schemas.openxmlformats.org/officeDocument/2006/relationships/revisionLog" Target="revisionLog12921.xml"/><Relationship Id="rId970" Type="http://schemas.openxmlformats.org/officeDocument/2006/relationships/revisionLog" Target="revisionLog13611.xml"/><Relationship Id="rId991" Type="http://schemas.openxmlformats.org/officeDocument/2006/relationships/revisionLog" Target="revisionLog137121.xml"/><Relationship Id="rId1025" Type="http://schemas.openxmlformats.org/officeDocument/2006/relationships/revisionLog" Target="revisionLog1211.xml"/><Relationship Id="rId1046" Type="http://schemas.openxmlformats.org/officeDocument/2006/relationships/revisionLog" Target="revisionLog1252.xml"/><Relationship Id="rId1067" Type="http://schemas.openxmlformats.org/officeDocument/2006/relationships/revisionLog" Target="revisionLog12251.xml"/><Relationship Id="rId928" Type="http://schemas.openxmlformats.org/officeDocument/2006/relationships/revisionLog" Target="revisionLog12812.xml"/><Relationship Id="rId1020" Type="http://schemas.openxmlformats.org/officeDocument/2006/relationships/revisionLog" Target="revisionLog111111.xml"/><Relationship Id="rId1041" Type="http://schemas.openxmlformats.org/officeDocument/2006/relationships/revisionLog" Target="revisionLog12514.xml"/><Relationship Id="rId1062" Type="http://schemas.openxmlformats.org/officeDocument/2006/relationships/revisionLog" Target="revisionLog12222.xml"/><Relationship Id="rId1083" Type="http://schemas.openxmlformats.org/officeDocument/2006/relationships/revisionLog" Target="revisionLog1461.xml"/><Relationship Id="rId1088" Type="http://schemas.openxmlformats.org/officeDocument/2006/relationships/revisionLog" Target="revisionLog147.xml"/><Relationship Id="rId923" Type="http://schemas.openxmlformats.org/officeDocument/2006/relationships/revisionLog" Target="revisionLog127111.xml"/><Relationship Id="rId986" Type="http://schemas.openxmlformats.org/officeDocument/2006/relationships/revisionLog" Target="revisionLog137112.xml"/><Relationship Id="rId944" Type="http://schemas.openxmlformats.org/officeDocument/2006/relationships/revisionLog" Target="revisionLog1223.xml"/><Relationship Id="rId949" Type="http://schemas.openxmlformats.org/officeDocument/2006/relationships/revisionLog" Target="revisionLog12321111.xml"/><Relationship Id="rId965" Type="http://schemas.openxmlformats.org/officeDocument/2006/relationships/revisionLog" Target="revisionLog1251311.xml"/><Relationship Id="rId1113" Type="http://schemas.openxmlformats.org/officeDocument/2006/relationships/revisionLog" Target="revisionLog140.xml"/><Relationship Id="rId960" Type="http://schemas.openxmlformats.org/officeDocument/2006/relationships/revisionLog" Target="revisionLog12513111.xml"/><Relationship Id="rId981" Type="http://schemas.openxmlformats.org/officeDocument/2006/relationships/revisionLog" Target="revisionLog137111.xml"/><Relationship Id="rId1015" Type="http://schemas.openxmlformats.org/officeDocument/2006/relationships/revisionLog" Target="revisionLog1382.xml"/><Relationship Id="rId1036" Type="http://schemas.openxmlformats.org/officeDocument/2006/relationships/revisionLog" Target="revisionLog1293.xml"/><Relationship Id="rId1057" Type="http://schemas.openxmlformats.org/officeDocument/2006/relationships/revisionLog" Target="revisionLog1304.xml"/><Relationship Id="rId918" Type="http://schemas.openxmlformats.org/officeDocument/2006/relationships/revisionLog" Target="revisionLog128112.xml"/><Relationship Id="rId1010" Type="http://schemas.openxmlformats.org/officeDocument/2006/relationships/revisionLog" Target="revisionLog13022.xml"/><Relationship Id="rId1031" Type="http://schemas.openxmlformats.org/officeDocument/2006/relationships/revisionLog" Target="revisionLog12912.xml"/><Relationship Id="rId1052" Type="http://schemas.openxmlformats.org/officeDocument/2006/relationships/revisionLog" Target="revisionLog1422.xml"/><Relationship Id="rId1073" Type="http://schemas.openxmlformats.org/officeDocument/2006/relationships/revisionLog" Target="revisionLog1224.xml"/><Relationship Id="rId1078" Type="http://schemas.openxmlformats.org/officeDocument/2006/relationships/revisionLog" Target="revisionLog1251.xml"/><Relationship Id="rId1094" Type="http://schemas.openxmlformats.org/officeDocument/2006/relationships/revisionLog" Target="revisionLog1294.xml"/><Relationship Id="rId1099" Type="http://schemas.openxmlformats.org/officeDocument/2006/relationships/revisionLog" Target="revisionLog148.xml"/><Relationship Id="rId1108" Type="http://schemas.openxmlformats.org/officeDocument/2006/relationships/revisionLog" Target="revisionLog1391.xml"/><Relationship Id="rId939" Type="http://schemas.openxmlformats.org/officeDocument/2006/relationships/revisionLog" Target="revisionLog13811.xml"/><Relationship Id="rId1103" Type="http://schemas.openxmlformats.org/officeDocument/2006/relationships/revisionLog" Target="revisionLog149.xml"/><Relationship Id="rId950" Type="http://schemas.openxmlformats.org/officeDocument/2006/relationships/revisionLog" Target="revisionLog141.xml"/><Relationship Id="rId971" Type="http://schemas.openxmlformats.org/officeDocument/2006/relationships/revisionLog" Target="revisionLog151.xml"/><Relationship Id="rId992" Type="http://schemas.openxmlformats.org/officeDocument/2006/relationships/revisionLog" Target="revisionLog13911.xml"/><Relationship Id="rId1005" Type="http://schemas.openxmlformats.org/officeDocument/2006/relationships/revisionLog" Target="revisionLog1401.xml"/><Relationship Id="rId1026" Type="http://schemas.openxmlformats.org/officeDocument/2006/relationships/revisionLog" Target="revisionLog1310.xml"/><Relationship Id="rId1047" Type="http://schemas.openxmlformats.org/officeDocument/2006/relationships/revisionLog" Target="revisionLog193.xml"/><Relationship Id="rId1068" Type="http://schemas.openxmlformats.org/officeDocument/2006/relationships/revisionLog" Target="revisionLog1113.xml"/><Relationship Id="rId1089" Type="http://schemas.openxmlformats.org/officeDocument/2006/relationships/revisionLog" Target="revisionLog113.xml"/></Relationships>
</file>

<file path=xl/revisions/revisionHeaders.xml><?xml version="1.0" encoding="utf-8"?>
<headers xmlns="http://schemas.openxmlformats.org/spreadsheetml/2006/main" xmlns:r="http://schemas.openxmlformats.org/officeDocument/2006/relationships" guid="{1BCECA1E-74B5-48B1-9097-0F0863A205C5}" diskRevisions="1" revisionId="39675" version="224">
  <header guid="{7FB450A6-41BD-4658-82C2-3A5E530C8D58}" dateTime="2019-02-08T11:58:48" maxSheetId="22" userName="morgau_fin7" r:id="rId91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32D2206E-F03A-4EFF-A03C-620633D93FF9}" dateTime="2019-03-05T11:13:43" maxSheetId="22" userName="morgau_fin2" r:id="rId911" minRId="31251" maxRId="3130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D83E6A8-3655-4086-900D-A68E1DA3B596}" dateTime="2019-03-05T11:18:23" maxSheetId="22" userName="morgau_fin2" r:id="rId91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B7C73359-8497-48B0-9568-CCD3A81D5CD0}" dateTime="2019-03-05T11:33:29" maxSheetId="22" userName="morgau_fin2" r:id="rId913" minRId="31362" maxRId="3136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E937001-6342-49CB-A39C-4E24DA42F90A}" dateTime="2019-03-05T11:35:14" maxSheetId="22" userName="morgau_fin2" r:id="rId914" minRId="31396" maxRId="3139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24FCBEE1-FB2D-4E57-98CF-FA1DEA3964C0}" dateTime="2019-03-05T11:37:10" maxSheetId="22" userName="morgau_fin2" r:id="rId915" minRId="31429" maxRId="3143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AADC2A35-138B-4997-930B-ABC4E04B5547}" dateTime="2019-03-05T11:38:08" maxSheetId="22" userName="morgau_fin2" r:id="rId91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B47A1E73-1A10-431F-A421-DB7D39DBB231}" dateTime="2019-03-05T11:40:22" maxSheetId="22" userName="morgau_fin2" r:id="rId917" minRId="3149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87F1560-5137-40C2-9539-F194621E8295}" dateTime="2019-03-05T11:40:56" maxSheetId="22" userName="morgau_fin2" r:id="rId91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24C6097C-2C4F-4F69-9809-F3FD24B7D434}" dateTime="2019-03-05T11:42:02" maxSheetId="22" userName="morgau_fin2" r:id="rId919" minRId="3155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F2550A2-B2D0-43BC-8F74-E75FE6FFCAA9}" dateTime="2019-03-05T11:43:27" maxSheetId="22" userName="morgau_fin2" r:id="rId92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911AD8D-A13E-4A1D-ADA0-A0782286F7BF}" dateTime="2019-03-05T11:43:55" maxSheetId="22" userName="morgau_fin2" r:id="rId921" minRId="3161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01EEAA5-AFEB-4194-A04C-619ACD0B8345}" dateTime="2019-03-05T11:46:01" maxSheetId="22" userName="morgau_fin2" r:id="rId922" minRId="31643" maxRId="3165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E4B1707A-61AA-4875-ABDC-8E5BC3B35035}" dateTime="2019-03-05T11:47:35" maxSheetId="22" userName="morgau_fin2" r:id="rId923" minRId="31687" maxRId="3168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FE0486D-CD13-49B1-B254-F7581FE6C8DE}" dateTime="2019-03-05T11:48:04" maxSheetId="22" userName="morgau_fin2" r:id="rId924" minRId="31719" maxRId="3172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AC489A4-576E-4D56-9FCE-5305F94BED56}" dateTime="2019-03-05T11:48:20" maxSheetId="22" userName="morgau_fin2" r:id="rId92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9BC9112-6CAB-4EC5-BFB8-EE37D916E1BE}" dateTime="2019-03-05T11:48:44" maxSheetId="22" userName="morgau_fin2" r:id="rId92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7CF0FA1-2D8C-46C7-8E59-252EAADAA030}" dateTime="2019-03-05T11:49:51" maxSheetId="22" userName="morgau_fin2" r:id="rId927" minRId="31808" maxRId="3181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7015428-1C76-4D6B-AD9C-5C5B5949FEB8}" dateTime="2019-03-05T11:50:24" maxSheetId="22" userName="morgau_fin2" r:id="rId928" minRId="31842" maxRId="3184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D48F750A-6E64-4D37-AD32-2E95030D8590}" dateTime="2019-03-05T11:51:46" maxSheetId="22" userName="morgau_fin2" r:id="rId929" minRId="31873" maxRId="3187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E8DD66FE-FFD2-4F70-90EF-415A498ADD43}" dateTime="2019-03-05T11:52:57" maxSheetId="22" userName="morgau_fin2" r:id="rId930" minRId="31906" maxRId="3191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42FBFD4-9DBD-4D2E-8A2B-B6C5ECFAAF3B}" dateTime="2019-03-05T11:53:34" maxSheetId="22" userName="morgau_fin2" r:id="rId93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AC5764D0-9946-4C08-B4E9-C61B0A766E5F}" dateTime="2019-03-05T11:54:04" maxSheetId="22" userName="morgau_fin2" r:id="rId932" minRId="3196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3A330415-1D77-4A83-94C3-F62333D49A90}" dateTime="2019-03-05T11:54:27" maxSheetId="22" userName="morgau_fin3" r:id="rId933" minRId="31999" maxRId="3202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8A21D16-821A-4FD0-B6EE-363B7EF1729A}" dateTime="2019-03-05T11:54:37" maxSheetId="22" userName="morgau_fin3" r:id="rId93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AF596E5A-9670-48A2-9C28-14B55D2D472C}" dateTime="2019-03-05T11:54:55" maxSheetId="22" userName="morgau_fin3" r:id="rId93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A6EFB0B-0995-4467-AA40-EAE78BD56358}" dateTime="2019-03-05T11:55:05" maxSheetId="22" userName="morgau_fin3" r:id="rId93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68D95E8-ED81-4C56-B332-1FBEBA39E265}" dateTime="2019-03-05T11:55:16" maxSheetId="22" userName="morgau_fin3" r:id="rId93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C158866A-CD1D-4BA3-B198-2D1275423530}" dateTime="2019-03-05T11:55:29" maxSheetId="22" userName="morgau_fin3" r:id="rId93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DF170E0-FAC2-40E6-9729-35ED644F2C81}" dateTime="2019-03-05T11:55:58" maxSheetId="22" userName="morgau_fin2" r:id="rId93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C0388BC-9A85-4254-98F8-0AEBA31259E0}" dateTime="2019-03-05T11:57:24" maxSheetId="22" userName="morgau_fin2" r:id="rId94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43D32C7E-C8D3-4E53-8D50-930FB9C23433}" dateTime="2019-03-05T11:58:49" maxSheetId="22" userName="morgau_fin4" r:id="rId941" minRId="32264" maxRId="3230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4EE5DB5-C49C-4360-A186-A2969EA9A817}" dateTime="2019-03-05T11:59:12" maxSheetId="22" userName="morgau_fin2" r:id="rId942" minRId="3233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E97923E-1FBA-4939-B49B-F1100708E5C1}" dateTime="2019-03-05T12:03:08" maxSheetId="22" userName="morgau_fin4" r:id="rId943" minRId="32360" maxRId="3237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2862DB19-D470-4D3E-AE9E-9B3835973D9E}" dateTime="2019-03-05T12:03:17" maxSheetId="22" userName="morgau_fin2" r:id="rId94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F6CB821C-581C-4305-B746-CE1C3643376F}" dateTime="2019-03-05T12:03:34" maxSheetId="22" userName="morgau_fin2" r:id="rId94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8F3B045-44B7-4A3E-A1C3-B847FF4FAF6C}" dateTime="2019-03-05T12:09:35" maxSheetId="22" userName="morgau_fin3" r:id="rId946" minRId="32464" maxRId="3247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9CF803AD-0B96-40A9-B9CD-B44FC2E8276F}" dateTime="2019-03-05T12:14:57" maxSheetId="22" userName="morgau_fin4" r:id="rId947" minRId="32508" maxRId="3256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2A85BD35-91AA-499F-B596-22C8392EE454}" dateTime="2019-03-05T12:16:43" maxSheetId="22" userName="morgau_fin4" r:id="rId94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7FDFC74-7363-43A4-9640-38841589E5F2}" dateTime="2019-03-05T13:12:13" maxSheetId="22" userName="morgau_fin2" r:id="rId94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CB3C07C6-CA44-4CBF-A9B1-9876AE916B96}" dateTime="2019-03-05T13:15:43" maxSheetId="22" userName="morgau_fin2" r:id="rId950" minRId="32650" maxRId="3266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114EBB2-45DF-42C3-8C3C-BAA6026B9879}" dateTime="2019-03-05T13:16:23" maxSheetId="22" userName="morgau_fin3" r:id="rId951" minRId="32691" maxRId="3269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EF9E0190-AE85-4367-AF84-441144FB5AAD}" dateTime="2019-03-05T13:16:28" maxSheetId="22" userName="morgau_fin2" r:id="rId952" minRId="3272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BB57C3B-41A0-4AA1-9A5A-F9DD24C64792}" dateTime="2019-03-05T13:18:39" maxSheetId="22" userName="morgau_fin2" r:id="rId953" minRId="3275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9F4DB9F4-C15E-4D86-AAC9-0555868944E2}" dateTime="2019-03-05T13:20:08" maxSheetId="22" userName="morgau_fin2" r:id="rId95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3509C86D-FC49-4BD9-9768-36018E44505B}" dateTime="2019-03-05T13:20:51" maxSheetId="22" userName="morgau_fin2" r:id="rId95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B92EA56-C201-4F33-A536-C25C4D0F0030}" dateTime="2019-03-05T13:21:07" maxSheetId="22" userName="morgau_fin2" r:id="rId95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995DB95-FBE2-44DD-93E2-6F7D855AE147}" dateTime="2019-03-05T13:22:44" maxSheetId="22" userName="morgau_fin2" r:id="rId95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3A05BEEA-B76C-49B2-8604-C44643DC7235}" dateTime="2019-03-05T13:26:45" maxSheetId="22" userName="morgau_fin2" r:id="rId958" minRId="32899" maxRId="3291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BC9C05C-D0D1-4484-B659-CBBC40C4FFF8}" dateTime="2019-03-05T13:27:38" maxSheetId="22" userName="morgau_fin2" r:id="rId959" minRId="32940" maxRId="3294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C9DA88F4-5AF0-44D5-B02E-83284810A137}" dateTime="2019-03-05T13:29:46" maxSheetId="22" userName="morgau_fin2" r:id="rId960" minRId="32974" maxRId="3298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027638A-1B14-4AE9-B9C6-C241895527E7}" dateTime="2019-03-05T13:30:21" maxSheetId="22" userName="morgau_fin2" r:id="rId961" minRId="33017" maxRId="3302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0A4A3AF-78B0-4DFC-A52A-F69938CC2ECF}" dateTime="2019-03-05T13:30:47" maxSheetId="22" userName="morgau_fin2" r:id="rId96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D4B97F56-61FF-4F93-B34A-EC6E54D09065}" dateTime="2019-03-05T13:34:01" maxSheetId="22" userName="morgau_fin2" r:id="rId96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45ACB27-04CF-40FB-8D44-1CECA8807E78}" dateTime="2019-03-05T13:35:26" maxSheetId="22" userName="morgau_fin3" r:id="rId964" minRId="33110" maxRId="3312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C4125B4-B19B-4165-B113-2A7CF919AFE1}" dateTime="2019-03-05T13:37:09" maxSheetId="22" userName="morgau_fin3" r:id="rId96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B8F4597-C101-4981-9AE1-27E4C8B7A666}" dateTime="2019-03-05T13:40:01" maxSheetId="22" userName="morgau_fin2" r:id="rId966" minRId="33183" maxRId="3319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3002D9B-6193-437F-946B-808960DA3938}" dateTime="2019-03-05T13:44:50" maxSheetId="22" userName="morgau_fin2" r:id="rId96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912467B3-0E51-4C26-9F14-2BBD27995FB6}" dateTime="2019-03-05T13:46:14" maxSheetId="22" userName="morgau_fin2" r:id="rId968" minRId="33256" maxRId="3326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A375A5C-FB6A-4505-8EDB-DA6978954450}" dateTime="2019-03-05T13:48:43" maxSheetId="22" userName="morgau_fin2" r:id="rId969" minRId="33295" maxRId="3330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CF4E2678-57A8-4F81-8CDF-B66E2815685E}" dateTime="2019-03-05T13:50:12" maxSheetId="22" userName="morgau_fin2" r:id="rId97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A06143CB-72AC-463A-8738-FB97191ED35C}" dateTime="2019-03-05T13:51:52" maxSheetId="22" userName="morgau_fin2" r:id="rId971" minRId="3335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00F66A1-D5C3-45DB-A7FC-1E575C86C1D7}" dateTime="2019-03-05T13:52:15" maxSheetId="22" userName="morgau_fin2" r:id="rId97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4FA25A1A-2985-4657-8FB5-16E0E1973222}" dateTime="2019-03-05T14:12:48" maxSheetId="22" userName="morgau_fin3" r:id="rId973" minRId="33418" maxRId="3344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C5579E33-2237-4C8A-A2EC-FF559BAC38DD}" dateTime="2019-03-05T14:17:10" maxSheetId="22" userName="morgau_fin3" r:id="rId974" minRId="33475" maxRId="3347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34E8A4DF-DF0E-495A-96B1-33A2FC85139D}" dateTime="2019-03-05T14:18:48" maxSheetId="22" userName="morgau_fin4" r:id="rId975" minRId="33510" maxRId="3355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771D0C6-E072-407A-9D1A-549B5ACB8E7A}" dateTime="2019-03-05T14:22:01" maxSheetId="22" userName="morgau_fin4" r:id="rId976" minRId="33583" maxRId="3360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C835F057-FA8B-4198-BCA7-EC76E30CB1F8}" dateTime="2019-03-05T14:26:13" maxSheetId="22" userName="morgau_fin4" r:id="rId977" minRId="33630" maxRId="3364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F2589A0C-D928-4D0A-B8E7-9B12C27D26DD}" dateTime="2019-03-05T14:26:29" maxSheetId="22" userName="morgau_fin4" r:id="rId978" minRId="33676" maxRId="3367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5F93053-26D9-43D8-9306-18818E7A0646}" dateTime="2019-03-05T14:26:39" maxSheetId="22" userName="morgau_fin4" r:id="rId97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DCA6B94C-E111-4867-B850-747D04691862}" dateTime="2019-03-05T14:29:13" maxSheetId="22" userName="morgau_fin4" r:id="rId980" minRId="33734" maxRId="3375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EF07146-C6CF-469C-BAFF-37D54D3CF3F2}" dateTime="2019-03-05T14:29:18" maxSheetId="22" userName="morgau_fin4" r:id="rId98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61C1D64-6A17-4558-A59E-733B42F94268}" dateTime="2019-03-05T14:58:53" maxSheetId="22" userName="morgau_fin3" r:id="rId982" minRId="33808" maxRId="3383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D489C780-EBF9-44BA-A12C-4AD12B148EF0}" dateTime="2019-03-05T15:00:25" maxSheetId="22" userName="morgau_fin3" r:id="rId98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A7BBC7E-E8C1-4569-BCDD-1C213F75C44C}" dateTime="2019-03-05T15:07:31" maxSheetId="22" userName="morgau_fin3" r:id="rId98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59370D9-C794-4B6D-B781-38EF5FCD53C7}" dateTime="2019-03-05T15:07:58" maxSheetId="22" userName="morgau_fin3" r:id="rId98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9D08412-90DD-4E7C-B1E7-43808192C43C}" dateTime="2019-03-05T15:17:08" maxSheetId="22" userName="morgau_fin4" r:id="rId986" minRId="33957" maxRId="3422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52D564A-BAE2-46C6-8DAF-C2E7B6AD6158}" dateTime="2019-03-05T15:30:35" maxSheetId="22" userName="morgau_fin4" r:id="rId987" minRId="34252" maxRId="3428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A2886DA-28F4-46F8-BED4-77CEF0B0CDC5}" dateTime="2019-03-05T15:30:37" maxSheetId="22" userName="morgau_fin4" r:id="rId98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20A29B8A-8AF2-44D9-8E44-CCE340F875BD}" dateTime="2019-03-05T15:30:40" maxSheetId="22" userName="morgau_fin4" r:id="rId98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29581674-CC61-4A89-B010-A7BAE5EC28D5}" dateTime="2019-03-05T15:30:45" maxSheetId="22" userName="morgau_fin4" r:id="rId99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2EC08061-BB7B-44BD-9F93-269B56D933F3}" dateTime="2019-03-05T15:32:12" maxSheetId="22" userName="morgau_fin3" r:id="rId991" minRId="34394" maxRId="3443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A051CA2-B265-48C7-9B38-2BDA9E5B3856}" dateTime="2019-03-05T15:36:54" maxSheetId="22" userName="morgau_fin3" r:id="rId99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0359239-C7C8-467F-84D7-BA850EB0B53D}" dateTime="2019-03-05T16:17:42" maxSheetId="22" userName="morgau_fin2" r:id="rId99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E8AB9701-5C21-436B-979A-F08B9C2AE039}" dateTime="2019-03-05T16:19:00" maxSheetId="22" userName="morgau_fin2" r:id="rId99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9E181CA-9A15-49AA-80E0-5FDDDBC36005}" dateTime="2019-03-05T16:19:41" maxSheetId="22" userName="morgau_fin2" r:id="rId995" minRId="3455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2829519-CA8E-468D-A5D6-70C4A0BDE158}" dateTime="2019-03-05T16:20:30" maxSheetId="22" userName="morgau_fin2" r:id="rId99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2BDB6A92-F386-4E16-9FB4-715CFEF3113A}" dateTime="2019-03-05T16:23:49" maxSheetId="22" userName="morgau_fin2" r:id="rId99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F0F13ED4-047B-4052-BDF4-B0DC82FBE3A4}" dateTime="2019-03-05T16:35:04" maxSheetId="22" userName="morgau_fin2" r:id="rId998" minRId="34639" maxRId="3464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1D10532-BFCE-4208-8AC8-BA9633E07421}" dateTime="2019-03-05T16:36:06" maxSheetId="22" userName="morgau_fin2" r:id="rId999" minRId="3467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5431326-3CFD-4725-AD2A-E4F3B54B97DD}" dateTime="2019-03-05T16:36:28" maxSheetId="22" userName="morgau_fin2" r:id="rId100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F2143E9-5E26-400A-8C9E-31E0AB9F22A2}" dateTime="2019-03-05T16:42:37" maxSheetId="22" userName="morgau_fin2" r:id="rId1001" minRId="34729" maxRId="3473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F4F088E8-0C6B-49EF-B77A-430A4368E0D9}" dateTime="2019-03-05T16:47:57" maxSheetId="22" userName="morgau_fin2" r:id="rId1002" minRId="3476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21725BE-A4C5-4EC0-A88E-34349182F140}" dateTime="2019-03-05T16:48:14" maxSheetId="22" userName="morgau_fin2" r:id="rId100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4FEC7DC2-B2F6-4B6A-B270-32FAD9E21D09}" dateTime="2019-03-05T16:48:42" maxSheetId="22" userName="morgau_fin2" r:id="rId100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368DAC0-4FD5-4214-9D99-AD9EE94A864E}" dateTime="2019-03-05T16:50:26" maxSheetId="22" userName="morgau_fin2" r:id="rId1005" minRId="34848" maxRId="3484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A968075-E40E-4DB2-8AB9-30D5676A01BD}" dateTime="2019-03-05T16:54:23" maxSheetId="22" userName="morgau_fin2" r:id="rId1006" minRId="34879" maxRId="3488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91A7748A-B7BA-4831-BED5-66249376F252}" dateTime="2019-03-05T16:56:20" maxSheetId="22" userName="morgau_fin2" r:id="rId1007" minRId="3491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759F31F-34A3-4717-A42E-9C7ADF338E63}" dateTime="2019-03-05T16:56:46" maxSheetId="22" userName="morgau_fin2" r:id="rId100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226B2B2F-AA60-4155-939E-89EED11C15CD}" dateTime="2019-03-05T16:57:58" maxSheetId="22" userName="morgau_fin2" r:id="rId1009" minRId="3496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AE34A7A3-5200-4C9D-80EB-C657D007BF4A}" dateTime="2019-03-05T16:59:01" maxSheetId="22" userName="morgau_fin2" r:id="rId1010" minRId="3499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B6B55C5-35F5-43DF-84BE-3A7149E82661}" dateTime="2019-03-06T09:11:10" maxSheetId="22" userName="morgau_fin2" r:id="rId101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C1AAC374-863D-48F1-BA3A-2A9817699A3A}" dateTime="2019-03-06T09:17:22" maxSheetId="22" userName="morgau_fin2" r:id="rId1012" minRId="35058" maxRId="3506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4A5DE7A0-1C90-4DA2-807B-B7B89E5277A3}" dateTime="2019-03-06T09:22:38" maxSheetId="22" userName="morgau_fin2" r:id="rId101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D99991E-33B9-48C8-8238-F3CCD337D1BA}" dateTime="2019-03-06T09:24:12" maxSheetId="22" userName="morgau_fin2" r:id="rId1014" minRId="3511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54A882F-59B5-44C4-A5E2-9EF8920B173C}" dateTime="2019-03-06T09:26:25" maxSheetId="22" userName="morgau_fin2" r:id="rId1015" minRId="35149" maxRId="3515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AE86A0C-5139-460D-9068-37D3BBE0916B}" dateTime="2019-03-11T08:59:16" maxSheetId="22" userName="morgau_fin7" r:id="rId1016" minRId="3518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DF4F20F-A8C0-4DC9-A5BD-B26FA0EE95F1}" dateTime="2019-03-21T15:57:22" maxSheetId="22" userName="morgau_fin7" r:id="rId101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D1E9112-FFD6-4540-B20D-688FBB5991EE}" dateTime="2019-04-05T08:33:31" maxSheetId="22" userName="morgau_fin5" r:id="rId1018" minRId="35242" maxRId="3526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CE1F497F-05AE-4367-B179-8B9A2E864D70}" dateTime="2019-04-05T08:44:28" maxSheetId="22" userName="morgau_fin4" r:id="rId1019" minRId="35295" maxRId="3531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DCAD7208-4090-49F4-BA04-40F9E104D7C4}" dateTime="2019-04-05T08:47:24" maxSheetId="22" userName="morgau_fin4" r:id="rId1020" minRId="35344" maxRId="3535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3E906056-B4D3-4310-9B44-4D651FB6B79C}" dateTime="2019-04-05T08:53:58" maxSheetId="22" userName="morgau_fin4" r:id="rId1021" minRId="35383" maxRId="3540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A8CC8419-3EA2-4CB7-83AB-B6BD74B48339}" dateTime="2019-04-05T08:56:18" maxSheetId="22" userName="morgau_fin5" r:id="rId1022" minRId="35436" maxRId="3546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A7665343-A16E-46FE-9B68-69BF84FB487E}" dateTime="2019-04-05T08:56:52" maxSheetId="22" userName="morgau_fin3" r:id="rId1023" minRId="35463" maxRId="3548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3B2A868-0250-4077-96AD-DD0A3032F7D6}" dateTime="2019-04-05T09:01:11" maxSheetId="22" userName="morgau_fin4" r:id="rId1024" minRId="35517" maxRId="3552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5322F2D-5769-494A-8D20-84D19EA5903B}" dateTime="2019-04-05T09:02:07" maxSheetId="22" userName="morgau_fin3" r:id="rId1025" minRId="35558" maxRId="3555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2C196B0B-03FA-4953-A7BE-176180BC0BD7}" dateTime="2019-04-05T09:03:03" maxSheetId="22" userName="morgau_fin4" r:id="rId1026" minRId="35590" maxRId="3559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88835FC-0C5C-4A5A-8D97-A7511DAD4222}" dateTime="2019-04-05T09:04:21" maxSheetId="22" userName="morgau_fin3" r:id="rId1027" minRId="35620" maxRId="3562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310A08F-47C9-419C-AA5B-56744395C5CE}" dateTime="2019-04-05T09:09:01" maxSheetId="22" userName="morgau_fin4" r:id="rId1028" minRId="35653" maxRId="3568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B835EA0E-1021-4A09-8EC2-C95EC59855B5}" dateTime="2019-04-05T09:15:18" maxSheetId="22" userName="morgau_fin4" r:id="rId1029" minRId="35714" maxRId="3574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98AB38DE-9373-4472-A6A8-FC40100A4ABD}" dateTime="2019-04-05T09:16:11" maxSheetId="22" userName="morgau_fin4" r:id="rId1030" minRId="3577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AEE247F-FFAE-49DB-BEDF-6B98DB749E0F}" dateTime="2019-04-05T09:23:58" maxSheetId="22" userName="morgau_fin4" r:id="rId1031" minRId="35803" maxRId="3583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DACFAED9-DD97-4D22-817E-EDCBDC155FD8}" dateTime="2019-04-05T09:25:18" maxSheetId="22" userName="morgau_fin4" r:id="rId1032" minRId="35863" maxRId="3586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D16CB875-5EE7-4070-9AA2-6B72E4A3C16D}" dateTime="2019-04-05T09:25:20" maxSheetId="22" userName="morgau_fin4" r:id="rId103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F010644D-8771-4980-9BC7-8A063064FB46}" dateTime="2019-04-05T09:29:24" maxSheetId="22" userName="morgau_fin5" r:id="rId1034" minRId="35926" maxRId="3594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63433B5-4A1E-498D-92DC-9E0C30E5924C}" dateTime="2019-04-05T09:32:40" maxSheetId="22" userName="morgau_fin5" r:id="rId1035" minRId="35977" maxRId="3598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3544C8F1-A37B-4585-87EF-70640A36BB87}" dateTime="2019-04-05T09:33:28" maxSheetId="22" userName="morgau_fin3" r:id="rId1036" minRId="36014" maxRId="3603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CD6D2D9B-4A51-47DF-A622-D6CEE037B168}" dateTime="2019-04-05T09:40:15" maxSheetId="22" userName="morgau_fin5" r:id="rId1037" minRId="36070" maxRId="3608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87558AE-7BB9-4F3D-B9A8-E1D468836801}" dateTime="2019-04-05T09:42:38" maxSheetId="22" userName="morgau_fin3" r:id="rId1038" minRId="36109" maxRId="3612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BE0BB30-0BDA-4C47-B460-4DD5292EF723}" dateTime="2019-04-05T09:43:48" maxSheetId="22" userName="morgau_fin5" r:id="rId1039" minRId="36153" maxRId="3616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47C7B59B-2F64-4305-A4B2-F3B789559007}" dateTime="2019-04-05T09:47:06" maxSheetId="22" userName="morgau_fin4" r:id="rId1040" minRId="36195" maxRId="3622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F39A8384-EC5E-404D-A4E1-6E232B9691B2}" dateTime="2019-04-05T09:50:18" maxSheetId="22" userName="morgau_fin3" r:id="rId1041" minRId="36259" maxRId="3626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BF30DAE-35BC-4B3C-AB05-92F5EC38C7E7}" dateTime="2019-04-05T09:50:40" maxSheetId="22" userName="morgau_fin5" r:id="rId1042" minRId="3629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C98B186-936C-4894-BAB5-8472DC9FD0E1}" dateTime="2019-04-05T09:51:23" maxSheetId="22" userName="morgau_fin5" r:id="rId104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43759139-CF7A-4A0A-A2BF-9B934AB79733}" dateTime="2019-04-05T09:52:02" maxSheetId="22" userName="morgau_fin5" r:id="rId104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D26B640A-AA86-4CC8-A4D0-5BCC429B99E0}" dateTime="2019-04-05T09:56:40" maxSheetId="22" userName="morgau_fin4" r:id="rId1045" minRId="36384" maxRId="3641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9ABC779-63B0-4A3C-9C79-19DCF7313175}" dateTime="2019-04-05T09:58:55" maxSheetId="22" userName="morgau_fin4" r:id="rId1046" minRId="36450" maxRId="3645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A3E7AEC-36A2-4909-9CC1-11A5D8294041}" dateTime="2019-04-05T10:01:49" maxSheetId="22" userName="morgau_fin4" r:id="rId1047" minRId="36491" maxRId="3650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1CFB9AF-8F25-424D-816F-44D35356F3F2}" dateTime="2019-04-05T10:01:52" maxSheetId="22" userName="morgau_fin4" r:id="rId104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247A715-7CD2-44CE-B736-F2FF7E1C673D}" dateTime="2019-04-05T10:05:33" maxSheetId="22" userName="morgau_fin4" r:id="rId1049" minRId="36563" maxRId="3657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E094F99-7AB8-49C3-951E-ED4CA29BED84}" dateTime="2019-04-05T10:05:37" maxSheetId="22" userName="morgau_fin4" r:id="rId105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24317BE1-98DE-4C6E-A7FA-F8C1232B2168}" dateTime="2019-04-05T10:06:12" maxSheetId="22" userName="morgau_fin4" r:id="rId105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06B8B45-44AA-47E1-A001-9D6561A109BD}" dateTime="2019-04-05T10:16:05" maxSheetId="22" userName="morgau_fin3" r:id="rId1052" minRId="36672" maxRId="3669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A9BA8D8E-5957-4F9F-8B58-745079766929}" dateTime="2019-04-05T10:17:28" maxSheetId="22" userName="morgau_fin3" r:id="rId1053" minRId="3673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6F8A5D0-5063-4EC8-A5EA-7D2C3EAD2EC8}" dateTime="2019-04-05T10:55:53" maxSheetId="22" userName="morgau_fin3" r:id="rId105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9CFF5A1A-016A-4DF2-B464-95823335D384}" dateTime="2019-04-05T11:10:29" maxSheetId="22" userName="morgau_fin7" r:id="rId105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E10C68C-42C9-428E-9ED3-E7077F14F358}" dateTime="2019-04-05T11:11:08" maxSheetId="22" userName="morgau_fin7" r:id="rId105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88FCCE2-1E12-416B-9B1A-37A55910D0A2}" dateTime="2019-04-05T11:17:04" maxSheetId="22" userName="morgau_fin5" r:id="rId1057" minRId="36847" maxRId="3684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C703AF5-0E33-4508-AEEB-8F62B5035650}" dateTime="2019-04-05T11:39:06" maxSheetId="22" userName="morgau_fin5" r:id="rId1058" minRId="36878" maxRId="3688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9DC23B6-F81F-4D50-815A-BA3F9E4C17F9}" dateTime="2019-04-05T11:39:20" maxSheetId="22" userName="morgau_fin5" r:id="rId105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32F2AE3C-6DB1-4FE4-A865-930737569005}" dateTime="2019-04-05T11:41:04" maxSheetId="22" userName="morgau_fin3" r:id="rId1060" minRId="36941" maxRId="3697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9E4E9530-7AD1-4AF7-870D-F9AA1AC92A11}" dateTime="2019-04-05T11:41:15" maxSheetId="22" userName="morgau_fin3" r:id="rId106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3E3F5B2A-F45C-431E-9E2E-4358962F42FB}" dateTime="2019-04-05T11:41:20" maxSheetId="22" userName="morgau_fin3" r:id="rId106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A630CEE-C85D-4B24-9271-79A7D3C91A12}" dateTime="2019-04-05T11:41:24" maxSheetId="22" userName="morgau_fin3" r:id="rId106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B6CD049-FBE8-47E9-BE80-C97EF02B51A0}" dateTime="2019-04-05T11:42:23" maxSheetId="22" userName="morgau_fin5" r:id="rId106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B87E8E93-3C2D-444F-9F26-90172E417C39}" dateTime="2019-04-05T11:45:39" maxSheetId="22" userName="morgau_fin3" r:id="rId106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915F5018-D66A-4B7B-B23D-9FEADB14CA44}" dateTime="2019-04-05T11:52:47" maxSheetId="22" userName="morgau_fin3" r:id="rId1066" minRId="37150" maxRId="3717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CDDD1A79-366F-40D0-A634-08BDEFB38EAE}" dateTime="2019-04-05T11:52:58" maxSheetId="22" userName="morgau_fin3" r:id="rId106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1436796-D1CB-40AF-8D1C-22D083C544F9}" dateTime="2019-04-05T11:53:55" maxSheetId="22" userName="morgau_fin3" r:id="rId106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D98B4840-C5F5-49C1-B748-FF68B02B671E}" dateTime="2019-04-05T11:57:30" maxSheetId="22" userName="morgau_fin7" r:id="rId1069" minRId="37261" maxRId="3730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9B438D6-C1E4-4495-A62C-70DFCDF3778D}" dateTime="2019-04-05T12:14:41" maxSheetId="22" userName="morgau_fin7" r:id="rId1070" minRId="37329" maxRId="3736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BA8CA29E-5554-45D0-8DDB-803FF17588AB}" dateTime="2019-04-05T12:19:19" maxSheetId="22" userName="morgau_fin7" r:id="rId107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432E88AE-8D66-425F-9D39-F9E7C6E17A88}" dateTime="2019-04-05T13:20:42" maxSheetId="22" userName="morgau_fin7" r:id="rId107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3ADCE5D8-099D-4FDB-B960-ED5EC54EFE6A}" dateTime="2019-04-05T13:33:43" maxSheetId="22" userName="morgau_fin7" r:id="rId1073" minRId="37453" maxRId="3746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4FD96936-8856-4130-A157-52D856E9578D}" dateTime="2019-04-05T14:09:14" maxSheetId="22" userName="morgau_fin7" r:id="rId107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5D2A580-46B1-4687-B9C1-BDDCE13C2CF6}" dateTime="2019-04-05T14:11:56" maxSheetId="22" userName="morgau_fin7" r:id="rId107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F08372D-D223-49F3-A1F7-18925E831008}" dateTime="2019-04-05T14:40:14" maxSheetId="22" userName="morgau_fin7" r:id="rId1076" minRId="37547" maxRId="3755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DB6D759E-CD7A-46E7-AEE5-455EBD852B0B}" dateTime="2019-05-06T16:48:45" maxSheetId="22" userName="morgau_fin3" r:id="rId107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A27E2B9-0400-4C90-B687-459D0347AC75}" dateTime="2019-05-06T16:58:33" maxSheetId="22" userName="morgau_fin3" r:id="rId1078" minRId="37616" maxRId="3763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A6AAAD3-9279-43D3-B97E-837C2CB5D1D1}" dateTime="2019-05-06T16:59:16" maxSheetId="22" userName="morgau_fin3" r:id="rId1079" minRId="3766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3ED0958C-09D7-4BE8-BF9E-EA89A7F61143}" dateTime="2019-05-07T08:23:24" maxSheetId="22" userName="morgau_fin3" r:id="rId1080" minRId="37694" maxRId="3769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2191878E-A311-4E4A-8289-E580D5A70321}" dateTime="2019-05-07T08:33:57" maxSheetId="22" userName="morgau_fin3" r:id="rId1081" minRId="37727" maxRId="3774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BE932B11-803F-4418-9417-6CB6D9A5C5E0}" dateTime="2019-05-07T08:39:38" maxSheetId="22" userName="morgau_fin3" r:id="rId1082" minRId="37774" maxRId="3778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903D2FCA-16BF-46F8-A893-5A66BDCF6F0B}" dateTime="2019-05-07T08:40:25" maxSheetId="22" userName="morgau_fin2" r:id="rId1083" minRId="37818" maxRId="3783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F795879A-A7B2-4921-9EC3-878519BD962D}" dateTime="2019-05-07T08:43:56" maxSheetId="22" userName="morgau_fin2" r:id="rId1084" minRId="37864" maxRId="3786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CB9926ED-7BB5-4D73-A73D-441919B8AAA9}" dateTime="2019-05-07T08:46:20" maxSheetId="22" userName="morgau_fin3" r:id="rId1085" minRId="37899" maxRId="3790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9689FBB-EE56-47B1-B66C-7CE56B756F73}" dateTime="2019-05-07T08:47:33" maxSheetId="22" userName="morgau_fin3" r:id="rId108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5AE79267-449E-4743-B2EB-99FF9E897424}" dateTime="2019-05-07T08:59:18" maxSheetId="22" userName="morgau_fin2" r:id="rId1087" minRId="37966" maxRId="3798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E462B8C1-FC44-45FF-998C-1EE959373FCC}" dateTime="2019-05-07T09:07:25" maxSheetId="22" userName="morgau_fin2" r:id="rId1088" minRId="38015" maxRId="3802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4B3770A8-2967-4BA6-BAA9-67E8B8442B4A}" dateTime="2019-05-07T09:15:41" maxSheetId="22" userName="morgau_fin3" r:id="rId1089" minRId="38055" maxRId="3807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EEB5A123-7468-467A-B4E5-A8F6596F86C7}" dateTime="2019-05-07T09:22:15" maxSheetId="22" userName="morgau_fin2" r:id="rId1090" minRId="38101" maxRId="3815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F52EF346-B548-4EA5-979C-157C429530CA}" dateTime="2019-05-07T09:35:33" maxSheetId="22" userName="morgau_fin2" r:id="rId1091" minRId="38183" maxRId="3818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95197FB-C6DC-4E64-9358-EF9DEE6026CD}" dateTime="2019-05-07T09:35:43" maxSheetId="22" userName="morgau_fin2" r:id="rId109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E5C49815-1CD7-4488-807A-B1D0054DDD10}" dateTime="2019-05-07T09:39:41" maxSheetId="22" userName="morgau_fin2" r:id="rId1093" minRId="38248" maxRId="3826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4DC910F3-5963-47BC-BAE5-E288EACAF629}" dateTime="2019-05-07T09:45:17" maxSheetId="22" userName="morgau_fin2" r:id="rId1094" minRId="38293" maxRId="3829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42683131-947B-4D63-8377-C291728AAE0C}" dateTime="2019-05-07T09:45:31" maxSheetId="22" userName="morgau_fin2" r:id="rId109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5D2CED3-0D4D-4894-B24A-A7D4A0A7A939}" dateTime="2019-05-07T09:45:44" maxSheetId="22" userName="morgau_fin2" r:id="rId109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E7AAB29D-9054-457C-AB0E-E60CFAA7A420}" dateTime="2019-05-07T09:46:53" maxSheetId="22" userName="morgau_fin2" r:id="rId109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C17AB3B-D4C1-454C-B913-E1A1EC5BB879}" dateTime="2019-05-07T09:59:45" maxSheetId="22" userName="morgau_fin3" r:id="rId1098" minRId="38423" maxRId="3844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C955BFF2-0086-4FC0-BB62-6B8548C0D681}" dateTime="2019-05-07T10:04:23" maxSheetId="22" userName="morgau_fin2" r:id="rId1099" minRId="38478" maxRId="38486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4D518047-84AE-49D9-97E4-494CCCC689A6}" dateTime="2019-05-07T10:14:13" maxSheetId="22" userName="morgau_fin3" r:id="rId1100" minRId="38519" maxRId="38539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A71E7C9F-9F3C-474C-AEDB-C15EE23B6D1E}" dateTime="2019-05-07T10:26:11" maxSheetId="22" userName="morgau_fin3" r:id="rId1101" minRId="38570" maxRId="3859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7D7BC115-FA7F-4046-A955-D3091A626051}" dateTime="2019-05-07T10:38:18" maxSheetId="22" userName="morgau_fin3" r:id="rId1102" minRId="38621" maxRId="3864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9246B8C4-F9F6-4CC4-8D84-1F56173C475B}" dateTime="2019-05-07T10:38:32" maxSheetId="22" userName="morgau_fin3" r:id="rId110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DCA23ECF-A484-4D0F-A8B3-0A137F0F492B}" dateTime="2019-05-07T10:38:55" maxSheetId="22" userName="morgau_fin3" r:id="rId110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41233952-3BDE-42B8-9F02-41574B644BB2}" dateTime="2019-05-07T10:44:21" maxSheetId="22" userName="morgau_fin2" r:id="rId1105" minRId="38736" maxRId="3875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94054155-D823-45D8-B78C-F974F79F49E6}" dateTime="2019-05-07T10:47:51" maxSheetId="22" userName="morgau_fin3" r:id="rId1106" minRId="38783" maxRId="3880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CDE904E9-0EF3-4426-8E63-AE4E3B3738EC}" dateTime="2019-05-07T10:49:20" maxSheetId="22" userName="morgau_fin2" r:id="rId1107" minRId="38836" maxRId="3886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C8137B1-D45F-4B47-B103-3B836FE61F1C}" dateTime="2019-05-07T10:50:23" maxSheetId="22" userName="morgau_fin2" r:id="rId1108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8F34940D-F58D-4E27-9E1B-086019A156BD}" dateTime="2019-05-07T10:58:18" maxSheetId="22" userName="morgau_fin3" r:id="rId1109" minRId="38928" maxRId="3895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E46AEBDE-B7B7-45EC-8270-77EB6DB3D944}" dateTime="2019-05-07T11:26:55" maxSheetId="22" userName="morgau_fin3" r:id="rId1110" minRId="38981" maxRId="39384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EFFEA52A-2F13-44A8-84B6-89696DF05EDA}" dateTime="2019-05-08T11:06:22" maxSheetId="22" userName="morgau_fin3" r:id="rId1111" minRId="39415" maxRId="39450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3F5624BD-1400-4B67-8AE2-751642D7C41A}" dateTime="2019-05-08T11:16:50" maxSheetId="22" userName="morgau_fin3" r:id="rId1112" minRId="39481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24CDC340-06D8-4B65-882B-00CCE9F77F16}" dateTime="2019-05-08T11:35:01" maxSheetId="22" userName="morgau_fin3" r:id="rId1113" minRId="39512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09BE440F-7A10-464B-8B3C-C0998F78E67E}" dateTime="2019-05-08T13:54:57" maxSheetId="22" userName="morgau_fin3" r:id="rId1114" minRId="39543" maxRId="39553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6F65DA9F-CDF2-49C0-BE27-00604AFD4156}" dateTime="2019-05-08T13:56:00" maxSheetId="22" userName="morgau_fin3" r:id="rId1115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9171803A-072B-4302-8C1C-15F02B10416F}" dateTime="2019-05-08T13:57:22" maxSheetId="22" userName="morgau_fin3" r:id="rId1116" minRId="39614" maxRId="3961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  <header guid="{1BCECA1E-74B5-48B1-9097-0F0863A205C5}" dateTime="2019-05-08T14:10:33" maxSheetId="22" userName="morgau_fin7" r:id="rId1117">
    <sheetIdMap count="2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Справка!$33:$34</formula>
    <oldFormula>Справка!$33:$34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31362" sId="19" numFmtId="4">
    <oc r="D6">
      <v>1.3319099999999999</v>
    </oc>
    <nc r="D6">
      <v>13.491540000000001</v>
    </nc>
  </rcc>
  <rcc rId="31363" sId="19" numFmtId="4">
    <oc r="D8">
      <v>20.993749999999999</v>
    </oc>
    <nc r="D8">
      <v>38.111159999999998</v>
    </nc>
  </rcc>
  <rcc rId="31364" sId="19" numFmtId="4">
    <oc r="D9">
      <v>0.15675</v>
    </oc>
    <nc r="D9">
      <v>0.25857999999999998</v>
    </nc>
  </rcc>
  <rcc rId="31365" sId="19" numFmtId="4">
    <oc r="D10">
      <v>30.555499999999999</v>
    </oc>
    <nc r="D10">
      <v>55.977730000000001</v>
    </nc>
  </rcc>
  <rcc rId="31366" sId="19" numFmtId="4">
    <oc r="D11">
      <v>-3.6330200000000001</v>
    </oc>
    <nc r="D11">
      <v>-8.3028300000000002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Яро!$19:$24,Яро!$28:$30,Яро!$43:$43,Яро!$54:$54,Яро!$56:$58,Яро!$64:$65,Яро!$74:$74,Яро!$81:$83,Яро!$86:$89,Яро!$91:$93</formula>
    <oldFormula>Яро!$19:$24,Яро!$28:$30,Яро!$43:$43,Яро!$54:$54,Яро!$56:$58,Яро!$64:$65,Яро!$74:$74,Яро!$81:$83,Яро!$86:$89,Яро!$91:$93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33808" sId="9" numFmtId="4">
    <oc r="D8">
      <v>33.097299999999997</v>
    </oc>
    <nc r="D8">
      <v>60.083399999999997</v>
    </nc>
  </rcc>
  <rcc rId="33809" sId="9" numFmtId="4">
    <oc r="D9">
      <v>0.24712999999999999</v>
    </oc>
    <nc r="D9">
      <v>0.40767999999999999</v>
    </nc>
  </rcc>
  <rcc rId="33810" sId="9" numFmtId="4">
    <oc r="D10">
      <v>48.171669999999999</v>
    </oc>
    <nc r="D10">
      <v>88.250579999999999</v>
    </nc>
  </rcc>
  <rcc rId="33811" sId="9" numFmtId="4">
    <oc r="D11">
      <v>-5.7275600000000004</v>
    </oc>
    <nc r="D11">
      <v>-13.089639999999999</v>
    </nc>
  </rcc>
  <rcc rId="33812" sId="9" numFmtId="4">
    <oc r="D13">
      <v>0</v>
    </oc>
    <nc r="D13">
      <v>0.14399999999999999</v>
    </nc>
  </rcc>
  <rcc rId="33813" sId="9" numFmtId="4">
    <oc r="D15">
      <v>3.71061</v>
    </oc>
    <nc r="D15">
      <v>5.0997899999999996</v>
    </nc>
  </rcc>
  <rcc rId="33814" sId="9" numFmtId="4">
    <oc r="D16">
      <v>80.40419</v>
    </oc>
    <nc r="D16">
      <v>113.77932</v>
    </nc>
  </rcc>
  <rcc rId="33815" sId="9" numFmtId="4">
    <oc r="D18">
      <v>0</v>
    </oc>
    <nc r="D18">
      <v>0.3</v>
    </nc>
  </rcc>
  <rcc rId="33816" sId="9" numFmtId="4">
    <oc r="C43">
      <v>1195.94</v>
    </oc>
    <nc r="C43">
      <v>2055.51044</v>
    </nc>
  </rcc>
  <rcc rId="33817" sId="9" numFmtId="4">
    <oc r="C45">
      <v>179.74</v>
    </oc>
    <nc r="C45">
      <v>181.68199999999999</v>
    </nc>
  </rcc>
  <rrc rId="33818" sId="9" ref="A47:XFD47" action="insertRow">
    <undo index="22" exp="area" ref3D="1" dr="$A$141:$XFD$141" dn="Z_B30CE22D_C12F_4E12_8BB9_3AAE0A6991CC_.wvu.Rows" sId="9"/>
    <undo index="20" exp="area" ref3D="1" dr="$A$93:$XFD$100" dn="Z_B30CE22D_C12F_4E12_8BB9_3AAE0A6991CC_.wvu.Rows" sId="9"/>
    <undo index="18" exp="area" ref3D="1" dr="$A$83:$XFD$90" dn="Z_B30CE22D_C12F_4E12_8BB9_3AAE0A6991CC_.wvu.Rows" sId="9"/>
    <undo index="16" exp="area" ref3D="1" dr="$A$80:$XFD$80" dn="Z_B30CE22D_C12F_4E12_8BB9_3AAE0A6991CC_.wvu.Rows" sId="9"/>
    <undo index="14" exp="area" ref3D="1" dr="$A$77:$XFD$78" dn="Z_B30CE22D_C12F_4E12_8BB9_3AAE0A6991CC_.wvu.Rows" sId="9"/>
    <undo index="12" exp="area" ref3D="1" dr="$A$67:$XFD$68" dn="Z_B30CE22D_C12F_4E12_8BB9_3AAE0A6991CC_.wvu.Rows" sId="9"/>
    <undo index="10" exp="area" ref3D="1" dr="$A$59:$XFD$60" dn="Z_B30CE22D_C12F_4E12_8BB9_3AAE0A6991CC_.wvu.Rows" sId="9"/>
    <undo index="8" exp="area" ref3D="1" dr="$A$57:$XFD$57" dn="Z_B30CE22D_C12F_4E12_8BB9_3AAE0A6991CC_.wvu.Rows" sId="9"/>
    <undo index="6" exp="area" ref3D="1" dr="$A$49:$XFD$49" dn="Z_B30CE22D_C12F_4E12_8BB9_3AAE0A6991CC_.wvu.Rows" sId="9"/>
    <undo index="22" exp="area" ref3D="1" dr="$A$141:$XFD$141" dn="Z_A54C432C_6C68_4B53_A75C_446EB3A61B2B_.wvu.Rows" sId="9"/>
    <undo index="20" exp="area" ref3D="1" dr="$A$93:$XFD$100" dn="Z_A54C432C_6C68_4B53_A75C_446EB3A61B2B_.wvu.Rows" sId="9"/>
    <undo index="18" exp="area" ref3D="1" dr="$A$83:$XFD$90" dn="Z_A54C432C_6C68_4B53_A75C_446EB3A61B2B_.wvu.Rows" sId="9"/>
    <undo index="16" exp="area" ref3D="1" dr="$A$80:$XFD$80" dn="Z_A54C432C_6C68_4B53_A75C_446EB3A61B2B_.wvu.Rows" sId="9"/>
    <undo index="14" exp="area" ref3D="1" dr="$A$77:$XFD$78" dn="Z_A54C432C_6C68_4B53_A75C_446EB3A61B2B_.wvu.Rows" sId="9"/>
    <undo index="12" exp="area" ref3D="1" dr="$A$67:$XFD$68" dn="Z_A54C432C_6C68_4B53_A75C_446EB3A61B2B_.wvu.Rows" sId="9"/>
    <undo index="10" exp="area" ref3D="1" dr="$A$59:$XFD$60" dn="Z_A54C432C_6C68_4B53_A75C_446EB3A61B2B_.wvu.Rows" sId="9"/>
    <undo index="8" exp="area" ref3D="1" dr="$A$57:$XFD$57" dn="Z_A54C432C_6C68_4B53_A75C_446EB3A61B2B_.wvu.Rows" sId="9"/>
    <undo index="6" exp="area" ref3D="1" dr="$A$46:$XFD$49" dn="Z_A54C432C_6C68_4B53_A75C_446EB3A61B2B_.wvu.Rows" sId="9"/>
    <undo index="22" exp="area" ref3D="1" dr="$A$141:$XFD$141" dn="Z_61528DAC_5C4C_48F4_ADE2_8A724B05A086_.wvu.Rows" sId="9"/>
    <undo index="20" exp="area" ref3D="1" dr="$A$93:$XFD$100" dn="Z_61528DAC_5C4C_48F4_ADE2_8A724B05A086_.wvu.Rows" sId="9"/>
    <undo index="18" exp="area" ref3D="1" dr="$A$83:$XFD$90" dn="Z_61528DAC_5C4C_48F4_ADE2_8A724B05A086_.wvu.Rows" sId="9"/>
    <undo index="16" exp="area" ref3D="1" dr="$A$80:$XFD$80" dn="Z_61528DAC_5C4C_48F4_ADE2_8A724B05A086_.wvu.Rows" sId="9"/>
    <undo index="14" exp="area" ref3D="1" dr="$A$77:$XFD$78" dn="Z_61528DAC_5C4C_48F4_ADE2_8A724B05A086_.wvu.Rows" sId="9"/>
    <undo index="12" exp="area" ref3D="1" dr="$A$67:$XFD$68" dn="Z_61528DAC_5C4C_48F4_ADE2_8A724B05A086_.wvu.Rows" sId="9"/>
    <undo index="10" exp="area" ref3D="1" dr="$A$59:$XFD$60" dn="Z_61528DAC_5C4C_48F4_ADE2_8A724B05A086_.wvu.Rows" sId="9"/>
    <undo index="8" exp="area" ref3D="1" dr="$A$57:$XFD$57" dn="Z_61528DAC_5C4C_48F4_ADE2_8A724B05A086_.wvu.Rows" sId="9"/>
    <undo index="6" exp="area" ref3D="1" dr="$A$49:$XFD$49" dn="Z_61528DAC_5C4C_48F4_ADE2_8A724B05A086_.wvu.Rows" sId="9"/>
    <undo index="14" exp="area" ref3D="1" dr="$A$93:$XFD$98" dn="Z_5BFCA170_DEAE_4D2C_98A0_1E68B427AC01_.wvu.Rows" sId="9"/>
    <undo index="12" exp="area" ref3D="1" dr="$A$82:$XFD$88" dn="Z_5BFCA170_DEAE_4D2C_98A0_1E68B427AC01_.wvu.Rows" sId="9"/>
    <undo index="10" exp="area" ref3D="1" dr="$A$80:$XFD$80" dn="Z_5BFCA170_DEAE_4D2C_98A0_1E68B427AC01_.wvu.Rows" sId="9"/>
    <undo index="8" exp="area" ref3D="1" dr="$A$67:$XFD$68" dn="Z_5BFCA170_DEAE_4D2C_98A0_1E68B427AC01_.wvu.Rows" sId="9"/>
    <undo index="6" exp="area" ref3D="1" dr="$A$59:$XFD$60" dn="Z_5BFCA170_DEAE_4D2C_98A0_1E68B427AC01_.wvu.Rows" sId="9"/>
    <undo index="4" exp="area" ref3D="1" dr="$A$57:$XFD$57" dn="Z_5BFCA170_DEAE_4D2C_98A0_1E68B427AC01_.wvu.Rows" sId="9"/>
    <undo index="20" exp="area" ref3D="1" dr="$A$93:$XFD$100" dn="Z_42584DC0_1D41_4C93_9B38_C388E7B8DAC4_.wvu.Rows" sId="9"/>
    <undo index="18" exp="area" ref3D="1" dr="$A$83:$XFD$90" dn="Z_42584DC0_1D41_4C93_9B38_C388E7B8DAC4_.wvu.Rows" sId="9"/>
    <undo index="16" exp="area" ref3D="1" dr="$A$80:$XFD$80" dn="Z_42584DC0_1D41_4C93_9B38_C388E7B8DAC4_.wvu.Rows" sId="9"/>
    <undo index="14" exp="area" ref3D="1" dr="$A$77:$XFD$78" dn="Z_42584DC0_1D41_4C93_9B38_C388E7B8DAC4_.wvu.Rows" sId="9"/>
    <undo index="12" exp="area" ref3D="1" dr="$A$67:$XFD$68" dn="Z_42584DC0_1D41_4C93_9B38_C388E7B8DAC4_.wvu.Rows" sId="9"/>
    <undo index="10" exp="area" ref3D="1" dr="$A$59:$XFD$60" dn="Z_42584DC0_1D41_4C93_9B38_C388E7B8DAC4_.wvu.Rows" sId="9"/>
    <undo index="8" exp="area" ref3D="1" dr="$A$57:$XFD$57" dn="Z_42584DC0_1D41_4C93_9B38_C388E7B8DAC4_.wvu.Rows" sId="9"/>
    <undo index="6" exp="area" ref3D="1" dr="$A$46:$XFD$49" dn="Z_42584DC0_1D41_4C93_9B38_C388E7B8DAC4_.wvu.Rows" sId="9"/>
    <undo index="14" exp="area" ref3D="1" dr="$A$93:$XFD$98" dn="Z_3DCB9AAA_F09C_4EA6_B992_F93E466D374A_.wvu.Rows" sId="9"/>
    <undo index="12" exp="area" ref3D="1" dr="$A$82:$XFD$88" dn="Z_3DCB9AAA_F09C_4EA6_B992_F93E466D374A_.wvu.Rows" sId="9"/>
    <undo index="10" exp="area" ref3D="1" dr="$A$80:$XFD$80" dn="Z_3DCB9AAA_F09C_4EA6_B992_F93E466D374A_.wvu.Rows" sId="9"/>
    <undo index="8" exp="area" ref3D="1" dr="$A$67:$XFD$68" dn="Z_3DCB9AAA_F09C_4EA6_B992_F93E466D374A_.wvu.Rows" sId="9"/>
    <undo index="6" exp="area" ref3D="1" dr="$A$59:$XFD$60" dn="Z_3DCB9AAA_F09C_4EA6_B992_F93E466D374A_.wvu.Rows" sId="9"/>
    <undo index="4" exp="area" ref3D="1" dr="$A$57:$XFD$57" dn="Z_3DCB9AAA_F09C_4EA6_B992_F93E466D374A_.wvu.Rows" sId="9"/>
    <undo index="14" exp="area" ref3D="1" dr="$A$93:$XFD$98" dn="Z_1A52382B_3765_4E8C_903F_6B8919B7242E_.wvu.Rows" sId="9"/>
    <undo index="12" exp="area" ref3D="1" dr="$A$84:$XFD$88" dn="Z_1A52382B_3765_4E8C_903F_6B8919B7242E_.wvu.Rows" sId="9"/>
    <undo index="10" exp="area" ref3D="1" dr="$A$80:$XFD$80" dn="Z_1A52382B_3765_4E8C_903F_6B8919B7242E_.wvu.Rows" sId="9"/>
    <undo index="8" exp="area" ref3D="1" dr="$A$67:$XFD$68" dn="Z_1A52382B_3765_4E8C_903F_6B8919B7242E_.wvu.Rows" sId="9"/>
    <undo index="6" exp="area" ref3D="1" dr="$A$59:$XFD$60" dn="Z_1A52382B_3765_4E8C_903F_6B8919B7242E_.wvu.Rows" sId="9"/>
    <undo index="4" exp="area" ref3D="1" dr="$A$57:$XFD$57" dn="Z_1A52382B_3765_4E8C_903F_6B8919B7242E_.wvu.Rows" sId="9"/>
    <undo index="22" exp="area" ref3D="1" dr="$A$141:$XFD$141" dn="Z_1718F1EE_9F48_4DBE_9531_3B70F9C4A5DD_.wvu.Rows" sId="9"/>
    <undo index="20" exp="area" ref3D="1" dr="$A$93:$XFD$100" dn="Z_1718F1EE_9F48_4DBE_9531_3B70F9C4A5DD_.wvu.Rows" sId="9"/>
    <undo index="18" exp="area" ref3D="1" dr="$A$83:$XFD$90" dn="Z_1718F1EE_9F48_4DBE_9531_3B70F9C4A5DD_.wvu.Rows" sId="9"/>
    <undo index="16" exp="area" ref3D="1" dr="$A$80:$XFD$80" dn="Z_1718F1EE_9F48_4DBE_9531_3B70F9C4A5DD_.wvu.Rows" sId="9"/>
    <undo index="14" exp="area" ref3D="1" dr="$A$77:$XFD$78" dn="Z_1718F1EE_9F48_4DBE_9531_3B70F9C4A5DD_.wvu.Rows" sId="9"/>
    <undo index="12" exp="area" ref3D="1" dr="$A$67:$XFD$68" dn="Z_1718F1EE_9F48_4DBE_9531_3B70F9C4A5DD_.wvu.Rows" sId="9"/>
    <undo index="10" exp="area" ref3D="1" dr="$A$59:$XFD$61" dn="Z_1718F1EE_9F48_4DBE_9531_3B70F9C4A5DD_.wvu.Rows" sId="9"/>
    <undo index="8" exp="area" ref3D="1" dr="$A$57:$XFD$57" dn="Z_1718F1EE_9F48_4DBE_9531_3B70F9C4A5DD_.wvu.Rows" sId="9"/>
    <undo index="6" exp="area" ref3D="1" dr="$A$46:$XFD$49" dn="Z_1718F1EE_9F48_4DBE_9531_3B70F9C4A5DD_.wvu.Rows" sId="9"/>
  </rrc>
  <rcc rId="33819" sId="9">
    <nc r="A47">
      <v>2020700000</v>
    </nc>
  </rcc>
  <rcc rId="33820" sId="9">
    <nc r="B47" t="inlineStr">
      <is>
        <t>Поступления от денежных пожертвований</t>
      </is>
    </nc>
  </rcc>
  <rcc rId="33821" sId="9" numFmtId="4">
    <nc r="C47">
      <v>887.46906999999999</v>
    </nc>
  </rcc>
  <rcc rId="33822" sId="9">
    <oc r="C40">
      <f>C41+C43+C45+C46+C48+C49+C42+C44+C51</f>
    </oc>
    <nc r="C40">
      <f>C41+C43+C45+C46+C48+C49+C42+C44+C51+C47</f>
    </nc>
  </rcc>
  <rcc rId="33823" sId="9" numFmtId="4">
    <oc r="D45">
      <v>14.833</v>
    </oc>
    <nc r="D45">
      <v>29.666</v>
    </nc>
  </rcc>
  <rcc rId="33824" sId="9" numFmtId="34">
    <oc r="D59">
      <v>75.180000000000007</v>
    </oc>
    <nc r="D59">
      <v>211.98264</v>
    </nc>
  </rcc>
  <rcc rId="33825" sId="9" numFmtId="34">
    <oc r="C66">
      <v>177.95</v>
    </oc>
    <nc r="C66">
      <v>179.892</v>
    </nc>
  </rcc>
  <rcc rId="33826" sId="9" numFmtId="34">
    <oc r="D66">
      <v>4.5</v>
    </oc>
    <nc r="D66">
      <v>18.85744</v>
    </nc>
  </rcc>
  <rrc rId="33827" sId="9" ref="A72:XFD72" action="insertRow">
    <undo index="22" exp="area" ref3D="1" dr="$A$142:$XFD$142" dn="Z_B30CE22D_C12F_4E12_8BB9_3AAE0A6991CC_.wvu.Rows" sId="9"/>
    <undo index="20" exp="area" ref3D="1" dr="$A$94:$XFD$101" dn="Z_B30CE22D_C12F_4E12_8BB9_3AAE0A6991CC_.wvu.Rows" sId="9"/>
    <undo index="18" exp="area" ref3D="1" dr="$A$84:$XFD$91" dn="Z_B30CE22D_C12F_4E12_8BB9_3AAE0A6991CC_.wvu.Rows" sId="9"/>
    <undo index="16" exp="area" ref3D="1" dr="$A$81:$XFD$81" dn="Z_B30CE22D_C12F_4E12_8BB9_3AAE0A6991CC_.wvu.Rows" sId="9"/>
    <undo index="14" exp="area" ref3D="1" dr="$A$78:$XFD$79" dn="Z_B30CE22D_C12F_4E12_8BB9_3AAE0A6991CC_.wvu.Rows" sId="9"/>
    <undo index="22" exp="area" ref3D="1" dr="$A$142:$XFD$142" dn="Z_A54C432C_6C68_4B53_A75C_446EB3A61B2B_.wvu.Rows" sId="9"/>
    <undo index="20" exp="area" ref3D="1" dr="$A$94:$XFD$101" dn="Z_A54C432C_6C68_4B53_A75C_446EB3A61B2B_.wvu.Rows" sId="9"/>
    <undo index="18" exp="area" ref3D="1" dr="$A$84:$XFD$91" dn="Z_A54C432C_6C68_4B53_A75C_446EB3A61B2B_.wvu.Rows" sId="9"/>
    <undo index="16" exp="area" ref3D="1" dr="$A$81:$XFD$81" dn="Z_A54C432C_6C68_4B53_A75C_446EB3A61B2B_.wvu.Rows" sId="9"/>
    <undo index="14" exp="area" ref3D="1" dr="$A$78:$XFD$79" dn="Z_A54C432C_6C68_4B53_A75C_446EB3A61B2B_.wvu.Rows" sId="9"/>
    <undo index="22" exp="area" ref3D="1" dr="$A$142:$XFD$142" dn="Z_61528DAC_5C4C_48F4_ADE2_8A724B05A086_.wvu.Rows" sId="9"/>
    <undo index="20" exp="area" ref3D="1" dr="$A$94:$XFD$101" dn="Z_61528DAC_5C4C_48F4_ADE2_8A724B05A086_.wvu.Rows" sId="9"/>
    <undo index="18" exp="area" ref3D="1" dr="$A$84:$XFD$91" dn="Z_61528DAC_5C4C_48F4_ADE2_8A724B05A086_.wvu.Rows" sId="9"/>
    <undo index="16" exp="area" ref3D="1" dr="$A$81:$XFD$81" dn="Z_61528DAC_5C4C_48F4_ADE2_8A724B05A086_.wvu.Rows" sId="9"/>
    <undo index="14" exp="area" ref3D="1" dr="$A$78:$XFD$79" dn="Z_61528DAC_5C4C_48F4_ADE2_8A724B05A086_.wvu.Rows" sId="9"/>
    <undo index="14" exp="area" ref3D="1" dr="$A$94:$XFD$99" dn="Z_5BFCA170_DEAE_4D2C_98A0_1E68B427AC01_.wvu.Rows" sId="9"/>
    <undo index="12" exp="area" ref3D="1" dr="$A$83:$XFD$89" dn="Z_5BFCA170_DEAE_4D2C_98A0_1E68B427AC01_.wvu.Rows" sId="9"/>
    <undo index="10" exp="area" ref3D="1" dr="$A$81:$XFD$81" dn="Z_5BFCA170_DEAE_4D2C_98A0_1E68B427AC01_.wvu.Rows" sId="9"/>
    <undo index="20" exp="area" ref3D="1" dr="$A$94:$XFD$101" dn="Z_42584DC0_1D41_4C93_9B38_C388E7B8DAC4_.wvu.Rows" sId="9"/>
    <undo index="18" exp="area" ref3D="1" dr="$A$84:$XFD$91" dn="Z_42584DC0_1D41_4C93_9B38_C388E7B8DAC4_.wvu.Rows" sId="9"/>
    <undo index="16" exp="area" ref3D="1" dr="$A$81:$XFD$81" dn="Z_42584DC0_1D41_4C93_9B38_C388E7B8DAC4_.wvu.Rows" sId="9"/>
    <undo index="14" exp="area" ref3D="1" dr="$A$78:$XFD$79" dn="Z_42584DC0_1D41_4C93_9B38_C388E7B8DAC4_.wvu.Rows" sId="9"/>
    <undo index="14" exp="area" ref3D="1" dr="$A$94:$XFD$99" dn="Z_3DCB9AAA_F09C_4EA6_B992_F93E466D374A_.wvu.Rows" sId="9"/>
    <undo index="12" exp="area" ref3D="1" dr="$A$83:$XFD$89" dn="Z_3DCB9AAA_F09C_4EA6_B992_F93E466D374A_.wvu.Rows" sId="9"/>
    <undo index="10" exp="area" ref3D="1" dr="$A$81:$XFD$81" dn="Z_3DCB9AAA_F09C_4EA6_B992_F93E466D374A_.wvu.Rows" sId="9"/>
    <undo index="14" exp="area" ref3D="1" dr="$A$94:$XFD$99" dn="Z_1A52382B_3765_4E8C_903F_6B8919B7242E_.wvu.Rows" sId="9"/>
    <undo index="12" exp="area" ref3D="1" dr="$A$85:$XFD$89" dn="Z_1A52382B_3765_4E8C_903F_6B8919B7242E_.wvu.Rows" sId="9"/>
    <undo index="10" exp="area" ref3D="1" dr="$A$81:$XFD$81" dn="Z_1A52382B_3765_4E8C_903F_6B8919B7242E_.wvu.Rows" sId="9"/>
    <undo index="22" exp="area" ref3D="1" dr="$A$142:$XFD$142" dn="Z_1718F1EE_9F48_4DBE_9531_3B70F9C4A5DD_.wvu.Rows" sId="9"/>
    <undo index="20" exp="area" ref3D="1" dr="$A$94:$XFD$101" dn="Z_1718F1EE_9F48_4DBE_9531_3B70F9C4A5DD_.wvu.Rows" sId="9"/>
    <undo index="18" exp="area" ref3D="1" dr="$A$84:$XFD$91" dn="Z_1718F1EE_9F48_4DBE_9531_3B70F9C4A5DD_.wvu.Rows" sId="9"/>
    <undo index="16" exp="area" ref3D="1" dr="$A$81:$XFD$81" dn="Z_1718F1EE_9F48_4DBE_9531_3B70F9C4A5DD_.wvu.Rows" sId="9"/>
    <undo index="14" exp="area" ref3D="1" dr="$A$78:$XFD$79" dn="Z_1718F1EE_9F48_4DBE_9531_3B70F9C4A5DD_.wvu.Rows" sId="9"/>
  </rrc>
  <rcc rId="33828" sId="9">
    <nc r="A72" t="inlineStr">
      <is>
        <t>0314</t>
      </is>
    </nc>
  </rcc>
  <rcc rId="33829" sId="9">
    <nc r="B72" t="inlineStr">
      <is>
        <t>Другие вопросы в области национальной безоапсности</t>
      </is>
    </nc>
  </rcc>
  <rcc rId="33830" sId="9" numFmtId="34">
    <nc r="C72">
      <v>2</v>
    </nc>
  </rcc>
  <rcc rId="33831" sId="9">
    <oc r="C67">
      <f>C70+C71</f>
    </oc>
    <nc r="C67">
      <f>C70+C71+C72</f>
    </nc>
  </rcc>
  <rcc rId="33832" sId="9" numFmtId="34">
    <oc r="C74">
      <v>3.75</v>
    </oc>
    <nc r="C74">
      <v>4.0214999999999996</v>
    </nc>
  </rcc>
  <rcc rId="33833" sId="9" numFmtId="34">
    <oc r="D75">
      <v>0</v>
    </oc>
    <nc r="D75">
      <v>39.25</v>
    </nc>
  </rcc>
  <rcc rId="33834" sId="9" numFmtId="34">
    <oc r="C76">
      <v>1861.835</v>
    </oc>
    <nc r="C76">
      <v>3776.0701399999998</v>
    </nc>
  </rcc>
  <rcc rId="33835" sId="9" numFmtId="34">
    <oc r="C81">
      <v>820.8</v>
    </oc>
    <nc r="C81">
      <v>820.52850000000001</v>
    </nc>
  </rcc>
  <rcc rId="33836" sId="9" numFmtId="34">
    <oc r="D81">
      <v>11.91011</v>
    </oc>
    <nc r="D81">
      <v>52.310250000000003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Сун!$A$1:$F$103</formula>
    <oldFormula>Сун!$A$1:$F$103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Мор!$A$1:$F$100</formula>
    <oldFormula>Мор!$A$1:$F$100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61528DAC_5C4C_48F4_ADE2_8A724B05A086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39614" sId="1">
    <oc r="D3" t="inlineStr">
      <is>
        <t>исполнено на 01.04.2019 г.</t>
      </is>
    </oc>
    <nc r="D3" t="inlineStr">
      <is>
        <t>исполнено на 01.05.2019 г.</t>
      </is>
    </nc>
  </rcc>
  <rcc rId="39615" sId="1">
    <oc r="A1" t="inlineStr">
      <is>
        <t>Анализ исполнения консолидированного бюджета Моргаушского районана 01.04.2019 г.</t>
      </is>
    </oc>
    <nc r="A1" t="inlineStr">
      <is>
        <t>Анализ исполнения консолидированного бюджета Моргаушского районана 01.05.2019 г.</t>
      </is>
    </nc>
  </rcc>
  <rcc rId="39616" sId="1">
    <oc r="G3" t="inlineStr">
      <is>
        <t>исполнено на 01.04.2019 г.</t>
      </is>
    </oc>
    <nc r="G3" t="inlineStr">
      <is>
        <t>исполнено на 01.05.2019 г.</t>
      </is>
    </nc>
  </rcc>
  <rcc rId="39617" sId="1">
    <oc r="J3" t="inlineStr">
      <is>
        <t>исполнено на 01.04.2019 г.</t>
      </is>
    </oc>
    <nc r="J3" t="inlineStr">
      <is>
        <t>исполнено на 01.05.2019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36070" sId="7" numFmtId="4">
    <oc r="D11">
      <v>-14.06392</v>
    </oc>
    <nc r="D11">
      <v>-18.152529999999999</v>
    </nc>
  </rcc>
  <rcc rId="36071" sId="7" numFmtId="34">
    <oc r="D13">
      <v>1.2975000000000001</v>
    </oc>
    <nc r="D13">
      <v>21.569400000000002</v>
    </nc>
  </rcc>
  <rcc rId="36072" sId="7" numFmtId="34">
    <oc r="D15">
      <v>3.0567199999999999</v>
    </oc>
    <nc r="D15">
      <v>29.144449999999999</v>
    </nc>
  </rcc>
  <rcc rId="36073" sId="7" numFmtId="34">
    <oc r="D16">
      <v>142.93088</v>
    </oc>
    <nc r="D16">
      <v>209.09998999999999</v>
    </nc>
  </rcc>
  <rcc rId="36074" sId="7" numFmtId="34">
    <oc r="D18">
      <v>1.8</v>
    </oc>
    <nc r="D18">
      <v>6.8</v>
    </nc>
  </rcc>
  <rcc rId="36075" sId="7" numFmtId="4">
    <oc r="D27">
      <v>4.95838</v>
    </oc>
    <nc r="D27">
      <v>47.358379999999997</v>
    </nc>
  </rcc>
  <rcc rId="36076" sId="7" numFmtId="34">
    <oc r="D30">
      <v>0</v>
    </oc>
    <nc r="D30">
      <v>13.553929999999999</v>
    </nc>
  </rcc>
  <rcc rId="36077" sId="7" numFmtId="34">
    <oc r="D41">
      <v>183.51599999999999</v>
    </oc>
    <nc r="D41">
      <v>275.274</v>
    </nc>
  </rcc>
  <rcc rId="36078" sId="7" numFmtId="34">
    <oc r="C43">
      <v>1896.875</v>
    </oc>
    <nc r="C43">
      <v>2973.0091900000002</v>
    </nc>
  </rcc>
  <rcc rId="36079" sId="7" numFmtId="34">
    <oc r="D43">
      <v>0</v>
    </oc>
    <nc r="D43">
      <v>263.17399999999998</v>
    </nc>
  </rcc>
  <rcc rId="36080" sId="7" numFmtId="34">
    <oc r="D45">
      <v>29.666</v>
    </oc>
    <nc r="D45">
      <v>44.499000000000002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Rows" hidden="1" oldHidden="1">
    <formula>Справка!$33:$33,Справка!$35:$35</formula>
    <oldFormula>Справка!$33:$33,Справка!$35:$35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B31C8DB7_3E78_4144_A6B5_8DE36DE63F0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111.xml><?xml version="1.0" encoding="utf-8"?>
<revisions xmlns="http://schemas.openxmlformats.org/spreadsheetml/2006/main" xmlns:r="http://schemas.openxmlformats.org/officeDocument/2006/relationships">
  <rcc rId="35436" sId="5">
    <oc r="A1" t="inlineStr">
      <is>
        <t xml:space="preserve">                     Анализ исполнения бюджета Большесундырского сельского поселения на 01.03.2019 г.</t>
      </is>
    </oc>
    <nc r="A1" t="inlineStr">
      <is>
        <t xml:space="preserve">                     Анализ исполнения бюджета Большесундырского сельского поселения на 01.04.2019 г.</t>
      </is>
    </nc>
  </rcc>
  <rcc rId="35437" sId="5">
    <oc r="D3" t="inlineStr">
      <is>
        <t>исполнен на 01.03.2019 г.</t>
      </is>
    </oc>
    <nc r="D3" t="inlineStr">
      <is>
        <t>исполнен на 01.04.2019 г.</t>
      </is>
    </nc>
  </rcc>
  <rcc rId="35438" sId="5">
    <oc r="D55" t="inlineStr">
      <is>
        <t>исполнено на 01.02.2019 г</t>
      </is>
    </oc>
    <nc r="D55" t="inlineStr">
      <is>
        <t>исполнено на 01.04.2019 г</t>
      </is>
    </nc>
  </rcc>
  <rcc rId="35439" sId="5" numFmtId="4">
    <oc r="D6">
      <v>58.231430000000003</v>
    </oc>
    <nc r="D6">
      <v>88.660749999999993</v>
    </nc>
  </rcc>
  <rcc rId="35440" sId="5" numFmtId="4">
    <oc r="D8">
      <v>57.361170000000001</v>
    </oc>
    <nc r="D8">
      <v>81.955730000000003</v>
    </nc>
  </rcc>
  <rcc rId="35441" sId="5" numFmtId="4">
    <oc r="D9">
      <v>0.38921</v>
    </oc>
    <nc r="D9">
      <v>0.57262999999999997</v>
    </nc>
  </rcc>
  <rcc rId="35442" sId="5" numFmtId="4">
    <oc r="D10">
      <v>84.252160000000003</v>
    </oc>
    <nc r="D10">
      <v>120.16401</v>
    </nc>
  </rcc>
  <rcc rId="35443" sId="5" numFmtId="4">
    <oc r="D11">
      <v>-12.49657</v>
    </oc>
    <nc r="D11">
      <v>-16.12951</v>
    </nc>
  </rcc>
  <rcc rId="35444" sId="5" numFmtId="4">
    <oc r="D13">
      <v>3.0156800000000001</v>
    </oc>
    <nc r="D13">
      <v>24.728909999999999</v>
    </nc>
  </rcc>
  <rcc rId="35445" sId="5" numFmtId="4">
    <oc r="D15">
      <v>4.96014</v>
    </oc>
    <nc r="D15">
      <v>9.1833299999999998</v>
    </nc>
  </rcc>
  <rcc rId="35446" sId="5" numFmtId="4">
    <oc r="D16">
      <v>94.995099999999994</v>
    </oc>
    <nc r="D16">
      <v>115.94589000000001</v>
    </nc>
  </rcc>
  <rcc rId="35447" sId="5" numFmtId="4">
    <oc r="D29">
      <v>35.673999999999999</v>
    </oc>
    <nc r="D29">
      <v>39.911000000000001</v>
    </nc>
  </rcc>
  <rcc rId="35448" sId="5" numFmtId="4">
    <oc r="D31">
      <v>1.304</v>
    </oc>
    <nc r="D31">
      <v>93.559849999999997</v>
    </nc>
  </rcc>
  <rcc rId="35449" sId="5" numFmtId="4">
    <oc r="D42">
      <v>500.4</v>
    </oc>
    <nc r="D42">
      <v>750.6</v>
    </nc>
  </rcc>
  <rcc rId="35450" sId="5" numFmtId="4">
    <oc r="C44">
      <v>3815.5949500000002</v>
    </oc>
    <nc r="C44">
      <v>4805.0308999999997</v>
    </nc>
  </rcc>
  <rcc rId="35451" sId="5" numFmtId="4">
    <oc r="D44">
      <v>0</v>
    </oc>
    <nc r="D44">
      <v>202.04499999999999</v>
    </nc>
  </rcc>
  <rcc rId="35452" sId="5" numFmtId="4">
    <oc r="D46">
      <v>29.666</v>
    </oc>
    <nc r="D46">
      <v>44.499000000000002</v>
    </nc>
  </rcc>
  <rcc rId="35453" sId="5" numFmtId="4">
    <oc r="D59">
      <v>173.84723</v>
    </oc>
    <nc r="D59">
      <v>291.66719999999998</v>
    </nc>
  </rcc>
  <rcc rId="35454" sId="5" numFmtId="4">
    <oc r="D66">
      <v>18.536999999999999</v>
    </oc>
    <nc r="D66">
      <v>31.40155</v>
    </nc>
  </rcc>
  <rcc rId="35455" sId="5" numFmtId="4">
    <oc r="D75">
      <v>0</v>
    </oc>
    <nc r="D75">
      <v>320.19317000000001</v>
    </nc>
  </rcc>
  <rcc rId="35456" sId="5" numFmtId="4">
    <oc r="C76">
      <v>2749.5864900000001</v>
    </oc>
    <nc r="C76">
      <v>3763.07404</v>
    </nc>
  </rcc>
  <rcc rId="35457" sId="5" numFmtId="4">
    <oc r="D76">
      <v>27.551850000000002</v>
    </oc>
    <nc r="D76">
      <v>275.51603999999998</v>
    </nc>
  </rcc>
  <rcc rId="35458" sId="5" numFmtId="4">
    <oc r="C81">
      <v>3144.89095</v>
    </oc>
    <nc r="C81">
      <v>3538.8530300000002</v>
    </nc>
  </rcc>
  <rcc rId="35459" sId="5" numFmtId="4">
    <oc r="D81">
      <v>0</v>
    </oc>
    <nc r="D81">
      <v>123.14801</v>
    </nc>
  </rcc>
  <rcc rId="35460" sId="5" numFmtId="4">
    <oc r="C84">
      <v>2982.6</v>
    </oc>
    <nc r="C84">
      <v>2987.1880000000001</v>
    </nc>
  </rcc>
  <rcc rId="35461" sId="5" numFmtId="4">
    <oc r="D84">
      <v>413.846</v>
    </oc>
    <nc r="D84">
      <v>651.61685</v>
    </nc>
  </rcc>
  <rcc rId="35462" sId="5" numFmtId="4">
    <oc r="D92">
      <v>4.05</v>
    </oc>
    <nc r="D92">
      <v>9.09</v>
    </nc>
  </rcc>
</revisions>
</file>

<file path=xl/revisions/revisionLog111111.xml><?xml version="1.0" encoding="utf-8"?>
<revisions xmlns="http://schemas.openxmlformats.org/spreadsheetml/2006/main" xmlns:r="http://schemas.openxmlformats.org/officeDocument/2006/relationships">
  <rcc rId="35344" sId="19" numFmtId="34">
    <oc r="D55">
      <v>130.40707</v>
    </oc>
    <nc r="D55">
      <v>235.95034000000001</v>
    </nc>
  </rcc>
  <rcc rId="35345" sId="19" numFmtId="34">
    <oc r="D62">
      <v>9.34328</v>
    </oc>
    <nc r="D62">
      <v>20.000679999999999</v>
    </nc>
  </rcc>
  <rcc rId="35346" sId="19" numFmtId="34">
    <oc r="C66">
      <v>2</v>
    </oc>
    <nc r="C66">
      <v>0</v>
    </nc>
  </rcc>
  <rcc rId="35347" sId="19" numFmtId="34">
    <oc r="C67">
      <v>10</v>
    </oc>
    <nc r="C67">
      <v>14</v>
    </nc>
  </rcc>
  <rcc rId="35348" sId="19" numFmtId="34">
    <oc r="C72">
      <v>1932.5086799999999</v>
    </oc>
    <nc r="C72">
      <v>2723.8844199999999</v>
    </nc>
  </rcc>
  <rcc rId="35349" sId="19" numFmtId="34">
    <oc r="D72">
      <v>24.039159999999999</v>
    </oc>
    <nc r="D72">
      <v>248.34952999999999</v>
    </nc>
  </rcc>
  <rcc rId="35350" sId="19" numFmtId="34">
    <oc r="D73">
      <v>33.954619999999998</v>
    </oc>
    <nc r="D73">
      <v>59.954619999999998</v>
    </nc>
  </rcc>
  <rcc rId="35351" sId="19" numFmtId="34">
    <oc r="C77">
      <v>235.28959</v>
    </oc>
    <nc r="C77">
      <v>233.28959</v>
    </nc>
  </rcc>
  <rcc rId="35352" sId="19" numFmtId="34">
    <oc r="D77">
      <v>127.83259</v>
    </oc>
    <nc r="D77">
      <v>132.79785000000001</v>
    </nc>
  </rcc>
  <rcc rId="35353" sId="19" numFmtId="34">
    <oc r="C79">
      <v>6835.2787900000003</v>
    </oc>
    <nc r="C79">
      <v>6377.6427999999996</v>
    </nc>
  </rcc>
  <rcc rId="35354" sId="19" numFmtId="34">
    <oc r="D79">
      <v>85</v>
    </oc>
    <nc r="D79">
      <v>170</v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111111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Справка!$33:$33,Справка!$35:$35</formula>
    <oldFormula>Справка!$33:$33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5BFCA170_DEAE_4D2C_98A0_1E68B427AC01_.wvu.Rows" hidden="1" oldHidden="1">
    <formula>Але!$19:$24,Але!$44:$44,Але!$46:$46,Але!$53:$53,Але!$55:$56,Але!$63:$64,Але!$73:$74,Але!$78:$82,Але!$86:$88</formula>
    <oldFormula>Але!$19:$24,Але!$44:$44,Але!$46:$46,Але!$53:$53,Але!$55:$56,Але!$63:$64,Але!$73:$74,Але!$78:$82,Але!$86:$88</oldFormula>
  </rdn>
  <rdn rId="0" localSheetId="5" customView="1" name="Z_5BFCA170_DEAE_4D2C_98A0_1E68B427AC01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Кад!$19:$24,Кад!$44:$44,Кад!$56:$56,Кад!$58:$59,Кад!$66:$67,Кад!$82:$84,Кад!$88:$95</formula>
    <oldFormula>Кад!$19:$24,Кад!$44:$44,Кад!$56:$56,Кад!$58:$59,Кад!$66:$67,Кад!$82:$84,Кад!$88:$95</oldFormula>
  </rdn>
  <rdn rId="0" localSheetId="8" customView="1" name="Z_5BFCA170_DEAE_4D2C_98A0_1E68B427AC01_.wvu.PrintArea" hidden="1" oldHidden="1">
    <formula>Мор!$A$1:$F$100</formula>
    <oldFormula>Мор!$A$1:$F$100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Мор!$21:$21,Мор!$23:$23,Мор!$37:$37,Мор!$44:$44,Мор!$47:$47,Мор!$49:$50,Мор!$57:$57,Мор!$59:$60,Мор!$67:$68,Мор!$82:$87,Мор!$90:$96</formula>
    <oldFormula>Мор!$21:$21,Мор!$23:$23,Мор!$37:$37,Мор!$44:$44,Мор!$47:$47,Мор!$49:$50,Мор!$57:$57,Мор!$59:$60,Мор!$67:$68,Мор!$82:$87,Мор!$90:$96</oldFormula>
  </rdn>
  <rdn rId="0" localSheetId="9" customView="1" name="Z_5BFCA170_DEAE_4D2C_98A0_1E68B427AC01_.wvu.Rows" hidden="1" oldHidden="1">
    <formula>Мос!$19:$24,Мос!$44:$44,Мос!$57:$57,Мос!$59:$60,Мос!$67:$68,Мос!$80:$80,Мос!$82:$88,Мос!$93:$98</formula>
    <oldFormula>Мос!$19:$24,Мос!$44:$44,Мос!$57:$57,Мос!$59:$60,Мос!$67:$68,Мос!$80:$80,Мос!$82:$88,Мос!$93:$98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Ори!$19:$24,Ори!$32:$32,Ори!$44:$44,Ори!$48:$50,Ори!$57:$57,Ори!$59:$60,Ори!$67:$68,Ори!$77:$78,Ори!$80:$80,Ори!$82:$86,Ори!$90:$97</formula>
    <oldFormula>Ори!$19:$24,Ори!$32:$32,Ори!$44:$44,Ори!$48:$50,Ори!$57:$57,Ори!$59:$60,Ори!$67:$68,Ори!$77:$78,Ори!$80:$80,Ори!$82:$86,Ори!$90:$97</oldFormula>
  </rdn>
  <rdn rId="0" localSheetId="11" customView="1" name="Z_5BFCA170_DEAE_4D2C_98A0_1E68B427AC01_.wvu.Rows" hidden="1" oldHidden="1">
    <formula>Сят!$19:$19,Сят!$45:$47,Сят!$57:$57,Сят!$59:$60,Сят!$67:$68,Сят!$82:$85,Сят!$89:$96</formula>
    <oldFormula>Сят!$19:$19,Сят!$45:$47,Сят!$57:$57,Сят!$59:$60,Сят!$67:$68,Сят!$82:$85,Сят!$89:$96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Тор!$19:$19,Тор!$50:$50,Тор!$57:$57,Тор!$59:$60,Тор!$67:$68,Тор!$74:$74,Тор!$78:$79,Тор!$82:$93</formula>
    <oldFormula>Тор!$19:$19,Тор!$50:$50,Тор!$57:$57,Тор!$59:$60,Тор!$67:$68,Тор!$74:$74,Тор!$78:$79,Тор!$82:$93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Хор!$19:$24,Хор!$32:$32,Хор!$40:$40,Хор!$44:$44,Хор!$55:$55,Хор!$57:$58,Хор!$65:$66,Хор!$80:$84,Хор!$87:$94</formula>
    <oldFormula>Хор!$19:$24,Хор!$32:$32,Хор!$40:$40,Хор!$44:$44,Хор!$55:$55,Хор!$57:$58,Хор!$65:$66,Хор!$80:$84,Хор!$87:$94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Чум!$19:$19,Чум!$21:$21,Чум!$23:$24,Чум!$47:$49,Чум!$57:$57,Чум!$59:$60,Чум!$67:$68,Чум!$82:$86,Чум!$89:$96</formula>
    <oldFormula>Чум!$19:$19,Чум!$21:$21,Чум!$23:$24,Чум!$47:$49,Чум!$57:$57,Чум!$59:$60,Чум!$67:$68,Чум!$82:$86,Чум!$89:$96</oldFormula>
  </rdn>
  <rdn rId="0" localSheetId="15" customView="1" name="Z_5BFCA170_DEAE_4D2C_98A0_1E68B427AC01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5BFCA170_DEAE_4D2C_98A0_1E68B427AC01_.wvu.PrintArea" hidden="1" oldHidden="1">
    <formula>Юнг!$A$1:$F$99</formula>
    <oldFormula>Юнг!$A$1:$F$99</oldFormula>
  </rdn>
  <rdn rId="0" localSheetId="16" customView="1" name="Z_5BFCA170_DEAE_4D2C_98A0_1E68B427AC01_.wvu.Rows" hidden="1" oldHidden="1">
    <formula>Юнг!$19:$24,Юнг!$32:$32,Юнг!$49:$49,Юнг!$56:$56,Юнг!$58:$59,Юнг!$66:$67,Юнг!$81:$85,Юнг!$88:$95</formula>
    <oldFormula>Юнг!$19:$24,Юнг!$32:$32,Юнг!$49:$49,Юнг!$56:$56,Юнг!$58:$59,Юнг!$66:$67,Юнг!$81:$85,Юнг!$88:$95</oldFormula>
  </rdn>
  <rdn rId="0" localSheetId="17" customView="1" name="Z_5BFCA170_DEAE_4D2C_98A0_1E68B427AC01_.wvu.Rows" hidden="1" oldHidden="1">
    <formula>Юсь!$20:$24,Юсь!$40:$40,Юсь!$44:$49,Юсь!$58:$58,Юсь!$60:$61,Юсь!$68:$69,Юсь!$78:$79,Юсь!$82:$87,Юсь!$90:$97</formula>
    <oldFormula>Юсь!$20:$24,Юсь!$40:$40,Юсь!$44:$49,Юсь!$58:$58,Юсь!$60:$61,Юсь!$68:$69,Юсь!$78:$79,Юсь!$82:$87,Юсь!$90:$97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Яро!$19:$24,Яро!$29:$30,Яро!$32:$32,Яро!$43:$43,Яро!$54:$54,Яро!$56:$57,Яро!$64:$65,Яро!$74:$75,Яро!$79:$84,Яро!$86:$93</formula>
    <oldFormula>Яро!$19:$24,Яро!$29:$30,Яро!$32:$32,Яро!$43:$43,Яро!$54:$54,Яро!$56:$57,Яро!$64:$65,Яро!$74:$75,Яро!$79:$84,Яро!$86:$93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112.xml><?xml version="1.0" encoding="utf-8"?>
<revisions xmlns="http://schemas.openxmlformats.org/spreadsheetml/2006/main" xmlns:r="http://schemas.openxmlformats.org/officeDocument/2006/relationships">
  <rcc rId="35242" sId="4">
    <oc r="A1" t="inlineStr">
      <is>
        <t xml:space="preserve">                     Анализ исполнения бюджета Александровского сельского поселения на 01.03.2019 г.</t>
      </is>
    </oc>
    <nc r="A1" t="inlineStr">
      <is>
        <t xml:space="preserve">                     Анализ исполнения бюджета Александровского сельского поселения на 01.04.2019 г.</t>
      </is>
    </nc>
  </rcc>
  <rcc rId="35243" sId="4">
    <oc r="D3" t="inlineStr">
      <is>
        <t>исполнен на 01.03.2019 г.</t>
      </is>
    </oc>
    <nc r="D3" t="inlineStr">
      <is>
        <t>исполнен на 01.04.2019 г.</t>
      </is>
    </nc>
  </rcc>
  <rcc rId="35244" sId="4" numFmtId="4">
    <oc r="D6">
      <v>3.7446799999999998</v>
    </oc>
    <nc r="D6">
      <v>17.649239999999999</v>
    </nc>
  </rcc>
  <rcc rId="35245" sId="4" numFmtId="4">
    <oc r="D8">
      <v>20.027799999999999</v>
    </oc>
    <nc r="D8">
      <v>28.61505</v>
    </nc>
  </rcc>
  <rcc rId="35246" sId="4" numFmtId="4">
    <oc r="D9">
      <v>0.13588</v>
    </oc>
    <nc r="D9">
      <v>0.19994000000000001</v>
    </nc>
  </rcc>
  <rcc rId="35247" sId="4" numFmtId="4">
    <oc r="D10">
      <v>29.41686</v>
    </oc>
    <nc r="D10">
      <v>41.955570000000002</v>
    </nc>
  </rcc>
  <rcc rId="35248" sId="4" numFmtId="4">
    <oc r="D11">
      <v>-4.3632099999999996</v>
    </oc>
    <nc r="D11">
      <v>-5.6316600000000001</v>
    </nc>
  </rcc>
  <rcc rId="35249" sId="4" numFmtId="4">
    <oc r="D15">
      <v>9.9561299999999999</v>
    </oc>
    <nc r="D15">
      <v>10.111370000000001</v>
    </nc>
  </rcc>
  <rcc rId="35250" sId="4" numFmtId="4">
    <oc r="D16">
      <v>12.840199999999999</v>
    </oc>
    <nc r="D16">
      <v>14.068910000000001</v>
    </nc>
  </rcc>
  <rcc rId="35251" sId="4" numFmtId="4">
    <oc r="D39">
      <v>200.11600000000001</v>
    </oc>
    <nc r="D39">
      <v>300.17399999999998</v>
    </nc>
  </rcc>
  <rcc rId="35252" sId="4" numFmtId="34">
    <oc r="C40">
      <v>110</v>
    </oc>
    <nc r="C40">
      <v>340</v>
    </nc>
  </rcc>
  <rcc rId="35253" sId="4" numFmtId="4">
    <oc r="D40">
      <v>0</v>
    </oc>
    <nc r="D40">
      <v>27.5</v>
    </nc>
  </rcc>
  <rcc rId="35254" sId="4" numFmtId="34">
    <oc r="C41">
      <v>586.99900000000002</v>
    </oc>
    <nc r="C41">
      <v>1188.7561900000001</v>
    </nc>
  </rcc>
  <rcc rId="35255" sId="4" numFmtId="4">
    <oc r="D42">
      <v>14.834</v>
    </oc>
    <nc r="D42">
      <v>22.251000000000001</v>
    </nc>
  </rcc>
  <rcc rId="35256" sId="4" numFmtId="4">
    <oc r="D43">
      <v>0</v>
    </oc>
    <nc r="D43">
      <v>60.5</v>
    </nc>
  </rcc>
  <rcc rId="35257" sId="4">
    <oc r="D50" t="inlineStr">
      <is>
        <t>исполнено на 01.03.2019 г.</t>
      </is>
    </oc>
    <nc r="D50" t="inlineStr">
      <is>
        <t>исполнено на 01.04.2019 г.</t>
      </is>
    </nc>
  </rcc>
  <rcc rId="35258" sId="4" numFmtId="34">
    <oc r="D54">
      <v>95.542770000000004</v>
    </oc>
    <nc r="D54">
      <v>190.81612000000001</v>
    </nc>
  </rcc>
  <rfmt sheetId="4" sqref="D54">
    <dxf>
      <numFmt numFmtId="189" formatCode="_(* #,##0.0000000_);_(* \(#,##0.0000000\);_(* &quot;-&quot;??_);_(@_)"/>
    </dxf>
  </rfmt>
  <rfmt sheetId="4" sqref="D54">
    <dxf>
      <numFmt numFmtId="185" formatCode="_(* #,##0.000000_);_(* \(#,##0.000000\);_(* &quot;-&quot;??_);_(@_)"/>
    </dxf>
  </rfmt>
  <rfmt sheetId="4" sqref="D54">
    <dxf>
      <numFmt numFmtId="177" formatCode="_(* #,##0.00000_);_(* \(#,##0.00000\);_(* &quot;-&quot;??_);_(@_)"/>
    </dxf>
  </rfmt>
  <rcc rId="35259" sId="4" numFmtId="34">
    <oc r="D61">
      <v>9.3450000000000006</v>
    </oc>
    <nc r="D61">
      <v>17.09</v>
    </nc>
  </rcc>
  <rcc rId="35260" sId="4" numFmtId="34">
    <oc r="C70">
      <v>0</v>
    </oc>
    <nc r="C70">
      <v>5.2629999999999999</v>
    </nc>
  </rcc>
  <rcc rId="35261" sId="4" numFmtId="34">
    <oc r="C71">
      <v>1068.2154599999999</v>
    </oc>
    <nc r="C71">
      <v>1692.5013899999999</v>
    </nc>
  </rcc>
  <rcc rId="35262" sId="4" numFmtId="34">
    <oc r="D71">
      <v>0</v>
    </oc>
    <nc r="D71">
      <v>19.056629999999998</v>
    </nc>
  </rcc>
  <rcc rId="35263" sId="4" numFmtId="34">
    <oc r="C76">
      <v>274.04849999999999</v>
    </oc>
    <nc r="C76">
      <v>518.81949999999995</v>
    </nc>
  </rcc>
  <rcc rId="35264" sId="4" numFmtId="34">
    <oc r="D76">
      <v>16.596250000000001</v>
    </oc>
    <nc r="D76">
      <v>44.932310000000001</v>
    </nc>
  </rcc>
  <rcc rId="35265" sId="4" numFmtId="34">
    <oc r="D78">
      <v>46</v>
    </oc>
    <nc r="D78">
      <v>69</v>
    </nc>
  </rcc>
  <rcc rId="35266" sId="4" numFmtId="34">
    <oc r="D77">
      <v>46</v>
    </oc>
    <nc r="D77">
      <f>D78</f>
    </nc>
  </rcc>
  <rdn rId="0" localSheetId="1" customView="1" name="Z_B31C8DB7_3E78_4144_A6B5_8DE36DE63F0E_.wvu.PrintArea" hidden="1" oldHidden="1">
    <formula>Консол!$A$1:$K$50</formula>
  </rdn>
  <rdn rId="0" localSheetId="1" customView="1" name="Z_B31C8DB7_3E78_4144_A6B5_8DE36DE63F0E_.wvu.Rows" hidden="1" oldHidden="1">
    <formula>Консол!$22:$22,Консол!$43:$45,Консол!$82:$84</formula>
  </rdn>
  <rdn rId="0" localSheetId="2" customView="1" name="Z_B31C8DB7_3E78_4144_A6B5_8DE36DE63F0E_.wvu.PrintArea" hidden="1" oldHidden="1">
    <formula>Справка!$A$1:$EY$31</formula>
  </rdn>
  <rdn rId="0" localSheetId="2" customView="1" name="Z_B31C8DB7_3E78_4144_A6B5_8DE36DE63F0E_.wvu.Rows" hidden="1" oldHidden="1">
    <formula>Справка!$33:$33,Справка!$35:$35</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район!$17:$18,район!$20:$20,район!$28:$30,район!$50:$51,район!$75:$75,район!$82:$82,район!$99:$99,район!$105:$105,район!$133:$135</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</rdn>
  <rdn rId="0" localSheetId="6" customView="1" name="Z_B31C8DB7_3E78_4144_A6B5_8DE36DE63F0E_.wvu.PrintArea" hidden="1" oldHidden="1">
    <formula>Иль!$A$1:$F$104</formula>
  </rdn>
  <rdn rId="0" localSheetId="6" customView="1" name="Z_B31C8DB7_3E78_4144_A6B5_8DE36DE63F0E_.wvu.Rows" hidden="1" oldHidden="1">
    <formula>Иль!$19:$24,Иль!$30:$31,Иль!$33:$33,Иль!$45:$45,Иль!$50:$50,Иль!$60:$61,Иль!$68:$69,Иль!$78:$79,Иль!$81:$81,Иль!$93:$97</formula>
  </rdn>
  <rdn rId="0" localSheetId="7" customView="1" name="Z_B31C8DB7_3E78_4144_A6B5_8DE36DE63F0E_.wvu.Rows" hidden="1" oldHidden="1">
    <formula>Кад!$19:$24,Кад!$44:$44,Кад!$56:$56,Кад!$58:$59,Кад!$66:$67,Кад!$83:$85,Кад!$89:$96</formula>
  </rdn>
  <rdn rId="0" localSheetId="8" customView="1" name="Z_B31C8DB7_3E78_4144_A6B5_8DE36DE63F0E_.wvu.PrintArea" hidden="1" oldHidden="1">
    <formula>Мор!$A$1:$F$101</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</rdn>
  <rdn rId="0" localSheetId="11" customView="1" name="Z_B31C8DB7_3E78_4144_A6B5_8DE36DE63F0E_.wvu.Rows" hidden="1" oldHidden="1">
    <formula>Сят!$19:$19,Сят!$45:$47,Сят!$57:$57,Сят!$59:$60,Сят!$67:$68,Сят!$83:$86,Сят!$90:$97</formula>
  </rdn>
  <rdn rId="0" localSheetId="12" customView="1" name="Z_B31C8DB7_3E78_4144_A6B5_8DE36DE63F0E_.wvu.PrintArea" hidden="1" oldHidden="1">
    <formula>Тор!$A$1:$F$102</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</rdn>
  <rdn rId="0" localSheetId="16" customView="1" name="Z_B31C8DB7_3E78_4144_A6B5_8DE36DE63F0E_.wvu.PrintArea" hidden="1" oldHidden="1">
    <formula>Юнг!$A$1:$F$100</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</rdn>
  <rdn rId="0" localSheetId="17" customView="1" name="Z_B31C8DB7_3E78_4144_A6B5_8DE36DE63F0E_.wvu.Rows" hidden="1" oldHidden="1">
    <formula>Юсь!$20:$24,Юсь!$40:$40,Юсь!$44:$49,Юсь!$58:$58,Юсь!$60:$61,Юсь!$68:$69,Юсь!$79:$80,Юсь!$83:$88,Юсь!$91:$98</formula>
  </rdn>
  <rdn rId="0" localSheetId="18" customView="1" name="Z_B31C8DB7_3E78_4144_A6B5_8DE36DE63F0E_.wvu.PrintArea" hidden="1" oldHidden="1">
    <formula>Яра!$A$1:$F$102</formula>
  </rdn>
  <rdn rId="0" localSheetId="18" customView="1" name="Z_B31C8DB7_3E78_4144_A6B5_8DE36DE63F0E_.wvu.Rows" hidden="1" oldHidden="1">
    <formula>Яра!$19:$24,Яра!$46:$50,Яра!$58:$58,Яра!$60:$61,Яра!$68:$69,Яра!$79:$79,Яра!$82:$88,Яра!$91:$98</formula>
  </rdn>
  <rdn rId="0" localSheetId="19" customView="1" name="Z_B31C8DB7_3E78_4144_A6B5_8DE36DE63F0E_.wvu.Rows" hidden="1" oldHidden="1">
    <formula>Яро!$19:$24,Яро!$29:$30,Яро!$32:$32,Яро!$43:$43,Яро!$54:$54,Яро!$56:$57,Яро!$64:$65,Яро!$75:$76,Яро!$80:$85,Яро!$87:$94</formula>
  </rdn>
  <rdn rId="0" localSheetId="20" customView="1" name="Z_B31C8DB7_3E78_4144_A6B5_8DE36DE63F0E_.wvu.Rows" hidden="1" oldHidden="1">
    <formula>Лист1!$82:$84</formula>
  </rdn>
  <rcv guid="{B31C8DB7-3E78-4144-A6B5-8DE36DE63F0E}" action="add"/>
</revisions>
</file>

<file path=xl/revisions/revisionLog1113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37864" sId="19" numFmtId="34">
    <oc r="D55">
      <v>235.95034000000001</v>
    </oc>
    <nc r="D55">
      <v>406.38650999999999</v>
    </nc>
  </rcc>
  <rfmt sheetId="19" sqref="C53:D91">
    <dxf>
      <numFmt numFmtId="188" formatCode="_(* #,##0.000_);_(* \(#,##0.000\);_(* &quot;-&quot;??_);_(@_)"/>
    </dxf>
  </rfmt>
  <rfmt sheetId="19" sqref="C53:D91">
    <dxf>
      <numFmt numFmtId="165" formatCode="_(* #,##0.00_);_(* \(#,##0.00\);_(* &quot;-&quot;??_);_(@_)"/>
    </dxf>
  </rfmt>
  <rfmt sheetId="19" sqref="C53:D91">
    <dxf>
      <numFmt numFmtId="169" formatCode="_(* #,##0.0_);_(* \(#,##0.0\);_(* &quot;-&quot;??_);_(@_)"/>
    </dxf>
  </rfmt>
  <rfmt sheetId="19" sqref="C53:D91">
    <dxf>
      <numFmt numFmtId="179" formatCode="_(* #,##0_);_(* \(#,##0\);_(* &quot;-&quot;??_);_(@_)"/>
    </dxf>
  </rfmt>
  <rfmt sheetId="19" sqref="C53:D91">
    <dxf>
      <numFmt numFmtId="169" formatCode="_(* #,##0.0_);_(* \(#,##0.0\);_(* &quot;-&quot;??_);_(@_)"/>
    </dxf>
  </rfmt>
  <rcc rId="37865" sId="19" numFmtId="34">
    <oc r="D62">
      <v>20.000679999999999</v>
    </oc>
    <nc r="D62">
      <v>24.889849999999999</v>
    </nc>
  </rcc>
  <rcc rId="37866" sId="19" numFmtId="34">
    <oc r="D67">
      <v>3.1354299999999999</v>
    </oc>
    <nc r="D67">
      <v>4.6354300000000004</v>
    </nc>
  </rcc>
  <rcc rId="37867" sId="19" numFmtId="34">
    <oc r="D71">
      <v>20.024609999999999</v>
    </oc>
    <nc r="D71">
      <v>29.205249999999999</v>
    </nc>
  </rcc>
  <rcc rId="37868" sId="19" numFmtId="34">
    <oc r="D72">
      <v>248.34952999999999</v>
    </oc>
    <nc r="D72">
      <v>326.72953000000001</v>
    </nc>
  </rcc>
  <rcc rId="37869" sId="19" numFmtId="34">
    <oc r="D79">
      <v>170</v>
    </oc>
    <nc r="D79">
      <v>255</v>
    </nc>
  </rcc>
  <rfmt sheetId="19" sqref="C48:D49">
    <dxf>
      <numFmt numFmtId="183" formatCode="#,##0.0000"/>
    </dxf>
  </rfmt>
  <rfmt sheetId="19" sqref="C48:D49">
    <dxf>
      <numFmt numFmtId="173" formatCode="#,##0.000"/>
    </dxf>
  </rfmt>
  <rfmt sheetId="19" sqref="C48:D49">
    <dxf>
      <numFmt numFmtId="4" formatCode="#,##0.00"/>
    </dxf>
  </rfmt>
  <rfmt sheetId="19" sqref="C48:D49">
    <dxf>
      <numFmt numFmtId="167" formatCode="#,##0.0"/>
    </dxf>
  </rfmt>
  <rfmt sheetId="19" sqref="C48:D49">
    <dxf>
      <numFmt numFmtId="3" formatCode="#,##0"/>
    </dxf>
  </rfmt>
  <rfmt sheetId="19" sqref="C48:D49">
    <dxf>
      <numFmt numFmtId="167" formatCode="#,##0.0"/>
    </dxf>
  </rfmt>
  <rfmt sheetId="19" sqref="C95:D95">
    <dxf>
      <numFmt numFmtId="183" formatCode="#,##0.0000"/>
    </dxf>
  </rfmt>
  <rfmt sheetId="19" sqref="C95:D95">
    <dxf>
      <numFmt numFmtId="173" formatCode="#,##0.000"/>
    </dxf>
  </rfmt>
  <rfmt sheetId="19" sqref="C95:D95">
    <dxf>
      <numFmt numFmtId="4" formatCode="#,##0.00"/>
    </dxf>
  </rfmt>
  <rfmt sheetId="19" sqref="C95:D95">
    <dxf>
      <numFmt numFmtId="167" formatCode="#,##0.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Яро!$19:$24,Яро!$28:$28,Яро!$34:$36,Яро!$43:$43,Яро!$46:$47,Яро!$54:$54,Яро!$56:$58,Яро!$64:$65,Яро!$75:$75,Яро!$80:$84,Яро!$87:$90,Яро!$92:$94</formula>
    <oldFormula>Яро!$19:$24,Яро!$28:$28,Яро!$34:$36,Яро!$43:$43,Яро!$46:$47,Яро!$54:$54,Яро!$56:$58,Яро!$64:$65,Яро!$75:$75,Яро!$80:$84,Яро!$87:$90,Яро!$92:$94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c rId="34252" sId="8" numFmtId="4">
    <oc r="D6">
      <v>69.410420000000002</v>
    </oc>
    <nc r="D6">
      <v>243.81619000000001</v>
    </nc>
  </rcc>
  <rcc rId="34253" sId="8" numFmtId="4">
    <oc r="D8">
      <v>17.566199999999998</v>
    </oc>
    <nc r="D8">
      <v>31.888919999999999</v>
    </nc>
  </rcc>
  <rcc rId="34254" sId="8" numFmtId="4">
    <oc r="D9">
      <v>0.13116</v>
    </oc>
    <nc r="D9">
      <v>0.21636</v>
    </nc>
  </rcc>
  <rcc rId="34255" sId="8" numFmtId="4">
    <oc r="D10">
      <v>25.566849999999999</v>
    </oc>
    <nc r="D10">
      <v>46.838500000000003</v>
    </nc>
  </rcc>
  <rcc rId="34256" sId="8" numFmtId="4">
    <oc r="D11">
      <v>-3.0398499999999999</v>
    </oc>
    <nc r="D11">
      <v>-6.9472300000000002</v>
    </nc>
  </rcc>
  <rcc rId="34257" sId="8" numFmtId="4">
    <oc r="D15">
      <v>44.036879999999996</v>
    </oc>
    <nc r="D15">
      <v>51.655850000000001</v>
    </nc>
  </rcc>
  <rcc rId="34258" sId="8" numFmtId="4">
    <oc r="D16">
      <v>114.67644</v>
    </oc>
    <nc r="D16">
      <v>193.4032</v>
    </nc>
  </rcc>
  <rcc rId="34259" sId="8" numFmtId="4">
    <oc r="D41">
      <v>390.625</v>
    </oc>
    <nc r="D41">
      <v>781.25</v>
    </nc>
  </rcc>
  <rcc rId="34260" sId="8" numFmtId="4">
    <oc r="C48">
      <v>0</v>
    </oc>
    <nc r="C48">
      <v>336.17829</v>
    </nc>
  </rcc>
  <rcc rId="34261" sId="8">
    <oc r="G51">
      <f>664.5111-D51</f>
    </oc>
    <nc r="G51">
      <f>C51-17361.12019</f>
    </nc>
  </rcc>
  <rcc rId="34262" sId="8" numFmtId="4">
    <oc r="C43">
      <v>4771.6386300000004</v>
    </oc>
    <nc r="C43">
      <v>7583.9678999999996</v>
    </nc>
  </rcc>
  <rcc rId="34263" sId="8" numFmtId="34">
    <oc r="D58">
      <v>45.367789999999999</v>
    </oc>
    <nc r="D58">
      <v>216.83358999999999</v>
    </nc>
  </rcc>
  <rcc rId="34264" sId="8" numFmtId="34">
    <oc r="C63">
      <v>7.9180000000000001</v>
    </oc>
    <nc r="C63">
      <v>169.91800000000001</v>
    </nc>
  </rcc>
  <rcc rId="34265" sId="8" numFmtId="34">
    <oc r="D63">
      <v>0</v>
    </oc>
    <nc r="D63">
      <v>18.917999999999999</v>
    </nc>
  </rcc>
  <rrc rId="34266" sId="8" ref="A71:XFD71" action="insertRow">
    <undo index="26" exp="area" ref3D="1" dr="$A$141:$XFD$141" dn="Z_B30CE22D_C12F_4E12_8BB9_3AAE0A6991CC_.wvu.Rows" sId="8"/>
    <undo index="24" exp="area" ref3D="1" dr="$A$90:$XFD$96" dn="Z_B30CE22D_C12F_4E12_8BB9_3AAE0A6991CC_.wvu.Rows" sId="8"/>
    <undo index="22" exp="area" ref3D="1" dr="$A$82:$XFD$87" dn="Z_B30CE22D_C12F_4E12_8BB9_3AAE0A6991CC_.wvu.Rows" sId="8"/>
    <undo index="20" exp="area" ref3D="1" dr="$A$77:$XFD$78" dn="Z_B30CE22D_C12F_4E12_8BB9_3AAE0A6991CC_.wvu.Rows" sId="8"/>
    <undo index="28" exp="area" ref3D="1" dr="$A$141:$XFD$141" dn="Z_A54C432C_6C68_4B53_A75C_446EB3A61B2B_.wvu.Rows" sId="8"/>
    <undo index="26" exp="area" ref3D="1" dr="$A$90:$XFD$96" dn="Z_A54C432C_6C68_4B53_A75C_446EB3A61B2B_.wvu.Rows" sId="8"/>
    <undo index="24" exp="area" ref3D="1" dr="$A$82:$XFD$87" dn="Z_A54C432C_6C68_4B53_A75C_446EB3A61B2B_.wvu.Rows" sId="8"/>
    <undo index="22" exp="area" ref3D="1" dr="$A$77:$XFD$78" dn="Z_A54C432C_6C68_4B53_A75C_446EB3A61B2B_.wvu.Rows" sId="8"/>
    <undo index="26" exp="area" ref3D="1" dr="$A$141:$XFD$141" dn="Z_61528DAC_5C4C_48F4_ADE2_8A724B05A086_.wvu.Rows" sId="8"/>
    <undo index="24" exp="area" ref3D="1" dr="$A$90:$XFD$96" dn="Z_61528DAC_5C4C_48F4_ADE2_8A724B05A086_.wvu.Rows" sId="8"/>
    <undo index="22" exp="area" ref3D="1" dr="$A$82:$XFD$87" dn="Z_61528DAC_5C4C_48F4_ADE2_8A724B05A086_.wvu.Rows" sId="8"/>
    <undo index="20" exp="area" ref3D="1" dr="$A$77:$XFD$78" dn="Z_61528DAC_5C4C_48F4_ADE2_8A724B05A086_.wvu.Rows" sId="8"/>
    <undo index="20" exp="area" ref3D="1" dr="$A$90:$XFD$96" dn="Z_5BFCA170_DEAE_4D2C_98A0_1E68B427AC01_.wvu.Rows" sId="8"/>
    <undo index="18" exp="area" ref3D="1" dr="$A$82:$XFD$87" dn="Z_5BFCA170_DEAE_4D2C_98A0_1E68B427AC01_.wvu.Rows" sId="8"/>
    <undo index="22" exp="area" ref3D="1" dr="$A$90:$XFD$96" dn="Z_42584DC0_1D41_4C93_9B38_C388E7B8DAC4_.wvu.Rows" sId="8"/>
    <undo index="20" exp="area" ref3D="1" dr="$A$82:$XFD$87" dn="Z_42584DC0_1D41_4C93_9B38_C388E7B8DAC4_.wvu.Rows" sId="8"/>
    <undo index="18" exp="area" ref3D="1" dr="$A$77:$XFD$78" dn="Z_42584DC0_1D41_4C93_9B38_C388E7B8DAC4_.wvu.Rows" sId="8"/>
    <undo index="20" exp="area" ref3D="1" dr="$A$90:$XFD$96" dn="Z_3DCB9AAA_F09C_4EA6_B992_F93E466D374A_.wvu.Rows" sId="8"/>
    <undo index="18" exp="area" ref3D="1" dr="$A$82:$XFD$87" dn="Z_3DCB9AAA_F09C_4EA6_B992_F93E466D374A_.wvu.Rows" sId="8"/>
    <undo index="22" exp="area" ref3D="1" dr="$A$90:$XFD$96" dn="Z_1A52382B_3765_4E8C_903F_6B8919B7242E_.wvu.Rows" sId="8"/>
    <undo index="20" exp="area" ref3D="1" dr="$A$82:$XFD$87" dn="Z_1A52382B_3765_4E8C_903F_6B8919B7242E_.wvu.Rows" sId="8"/>
    <undo index="28" exp="area" ref3D="1" dr="$A$141:$XFD$141" dn="Z_1718F1EE_9F48_4DBE_9531_3B70F9C4A5DD_.wvu.Rows" sId="8"/>
    <undo index="26" exp="area" ref3D="1" dr="$A$90:$XFD$96" dn="Z_1718F1EE_9F48_4DBE_9531_3B70F9C4A5DD_.wvu.Rows" sId="8"/>
    <undo index="24" exp="area" ref3D="1" dr="$A$82:$XFD$87" dn="Z_1718F1EE_9F48_4DBE_9531_3B70F9C4A5DD_.wvu.Rows" sId="8"/>
    <undo index="22" exp="area" ref3D="1" dr="$A$77:$XFD$78" dn="Z_1718F1EE_9F48_4DBE_9531_3B70F9C4A5DD_.wvu.Rows" sId="8"/>
  </rrc>
  <rcc rId="34267" sId="8" numFmtId="34">
    <nc r="C71">
      <v>2</v>
    </nc>
  </rcc>
  <rcc rId="34268" sId="8">
    <nc r="A71" t="inlineStr">
      <is>
        <t>0314</t>
      </is>
    </nc>
  </rcc>
  <rcc rId="34269" sId="8">
    <nc r="B71" t="inlineStr">
      <is>
        <t>Другие вопросы</t>
      </is>
    </nc>
  </rcc>
  <rcc rId="34270" sId="8" numFmtId="34">
    <nc r="D71">
      <v>0</v>
    </nc>
  </rcc>
  <rcc rId="34271" sId="8">
    <nc r="E71">
      <f>SUM(D71/C71*100)</f>
    </nc>
  </rcc>
  <rcc rId="34272" sId="8">
    <nc r="F71">
      <f>SUM(D71-C71)</f>
    </nc>
  </rcc>
  <rcc rId="34273" sId="8" numFmtId="34">
    <oc r="C73">
      <v>20</v>
    </oc>
    <nc r="C73">
      <v>21.448</v>
    </nc>
  </rcc>
  <rcc rId="34274" sId="8" numFmtId="34">
    <oc r="C75">
      <v>988.3</v>
    </oc>
    <nc r="C75">
      <v>1734.68658</v>
    </nc>
  </rcc>
  <rcc rId="34275" sId="8" numFmtId="34">
    <oc r="D75">
      <v>0</v>
    </oc>
    <nc r="D75">
      <v>17.836670000000002</v>
    </nc>
  </rcc>
  <rcc rId="34276" sId="8" numFmtId="34">
    <oc r="D76">
      <v>0</v>
    </oc>
    <nc r="D76">
      <v>93.5</v>
    </nc>
  </rcc>
  <rcc rId="34277" sId="8" numFmtId="34">
    <oc r="C80">
      <v>7376.7586300000003</v>
    </oc>
    <nc r="C80">
      <v>9723.6699000000008</v>
    </nc>
  </rcc>
  <rcc rId="34278" sId="8" numFmtId="34">
    <oc r="D80">
      <v>132.17522</v>
    </oc>
    <nc r="D80">
      <v>222.10022000000001</v>
    </nc>
  </rcc>
  <rcc rId="34279" sId="8" numFmtId="34">
    <oc r="D82">
      <v>311.25</v>
    </oc>
    <nc r="D82">
      <v>622.5</v>
    </nc>
  </rcc>
  <rcc rId="34280" sId="8">
    <oc r="G98">
      <f>14212.61263-C98</f>
    </oc>
    <nc r="G98">
      <f>C98-17471.35848</f>
    </nc>
  </rcc>
  <rcc rId="34281" sId="8">
    <oc r="C66">
      <f>C69+C70</f>
    </oc>
    <nc r="C66">
      <f>C69+C70+C71</f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cc rId="32691" sId="6">
    <oc r="A47">
      <v>2020400000</v>
    </oc>
    <nc r="A47">
      <v>2024000000</v>
    </nc>
  </rcc>
  <rcc rId="32692" sId="6" numFmtId="4">
    <nc r="C47">
      <v>41.375279999999997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Сун!$A$1:$F$103</formula>
    <oldFormula>Сун!$A$1:$F$103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61528DAC_5C4C_48F4_ADE2_8A724B05A086_.wvu.PrintArea" hidden="1" oldHidden="1">
    <formula>Мор!$A$1:$F$100</formula>
    <oldFormula>Мор!$A$1:$F$100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61528DAC_5C4C_48F4_ADE2_8A724B05A086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fmt sheetId="5" sqref="D4:D53">
    <dxf>
      <numFmt numFmtId="2" formatCode="0.00"/>
    </dxf>
  </rfmt>
  <rfmt sheetId="5" sqref="C4:C53">
    <dxf>
      <numFmt numFmtId="2" formatCode="0.00"/>
    </dxf>
  </rfmt>
  <rcc rId="38055" sId="5" numFmtId="4">
    <oc r="D16">
      <v>115.94589000000001</v>
    </oc>
    <nc r="D16">
      <v>185.35064</v>
    </nc>
  </rcc>
  <rcc rId="38056" sId="5" numFmtId="4">
    <oc r="D31">
      <v>101.69374999999999</v>
    </oc>
    <nc r="D31">
      <v>101.69578</v>
    </nc>
  </rcc>
  <rcc rId="38057" sId="5" numFmtId="4">
    <oc r="D42">
      <v>100.8</v>
    </oc>
    <nc r="D42">
      <v>1000.8</v>
    </nc>
  </rcc>
  <rcc rId="38058" sId="5" numFmtId="4">
    <oc r="D59">
      <v>291.66719999999998</v>
    </oc>
    <nc r="D59">
      <v>539.63951999999995</v>
    </nc>
  </rcc>
  <rcc rId="38059" sId="5" numFmtId="4">
    <oc r="C64">
      <v>5.9429999999999996</v>
    </oc>
    <nc r="C64">
      <v>9.0429999999999993</v>
    </nc>
  </rcc>
  <rcc rId="38060" sId="5" numFmtId="4">
    <oc r="D64">
      <v>5.9424999999999999</v>
    </oc>
    <nc r="D64">
      <v>8.7424999999999997</v>
    </nc>
  </rcc>
  <rcc rId="38061" sId="5" numFmtId="4">
    <oc r="C72">
      <v>2</v>
    </oc>
    <nc r="C72">
      <v>2.1</v>
    </nc>
  </rcc>
  <rcc rId="38062" sId="5" numFmtId="4">
    <oc r="D72">
      <v>0</v>
    </oc>
    <nc r="D72">
      <v>2.1</v>
    </nc>
  </rcc>
  <rcc rId="38063" sId="5" numFmtId="4">
    <oc r="D75">
      <v>320.19317000000001</v>
    </oc>
    <nc r="D75">
      <v>322.59816999999998</v>
    </nc>
  </rcc>
  <rcc rId="38064" sId="5" numFmtId="4">
    <oc r="D76">
      <v>275.51603999999998</v>
    </oc>
    <nc r="D76">
      <v>612.25804000000005</v>
    </nc>
  </rcc>
  <rcc rId="38065" sId="5" numFmtId="4">
    <oc r="C77">
      <v>0</v>
    </oc>
    <nc r="C77">
      <v>2</v>
    </nc>
  </rcc>
  <rcc rId="38066" sId="5" numFmtId="4">
    <oc r="D77">
      <v>0</v>
    </oc>
    <nc r="D77">
      <v>2</v>
    </nc>
  </rcc>
  <rcc rId="38067" sId="5" numFmtId="4">
    <oc r="C81">
      <v>3538.8530300000002</v>
    </oc>
    <nc r="C81">
      <v>3533.6530299999999</v>
    </nc>
  </rcc>
  <rcc rId="38068" sId="5" numFmtId="4">
    <oc r="D81">
      <v>123.14801</v>
    </oc>
    <nc r="D81">
      <v>369.23027000000002</v>
    </nc>
  </rcc>
  <rcc rId="38069" sId="5" numFmtId="4">
    <oc r="D84">
      <v>651.61685</v>
    </oc>
    <nc r="D84">
      <v>976.37572</v>
    </nc>
  </rcc>
  <rcc rId="38070" sId="5" numFmtId="4">
    <oc r="D66">
      <v>31.40155</v>
    </oc>
    <nc r="D66">
      <v>55.920349999999999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fmt sheetId="1" sqref="F23">
    <dxf>
      <numFmt numFmtId="2" formatCode="0.00"/>
    </dxf>
  </rfmt>
  <rfmt sheetId="1" sqref="F23">
    <dxf>
      <numFmt numFmtId="186" formatCode="0.000"/>
    </dxf>
  </rfmt>
  <rfmt sheetId="1" sqref="F23">
    <dxf>
      <numFmt numFmtId="175" formatCode="0.0000"/>
    </dxf>
  </rfmt>
  <rfmt sheetId="1" sqref="F23">
    <dxf>
      <numFmt numFmtId="186" formatCode="0.000"/>
    </dxf>
  </rfmt>
  <rfmt sheetId="1" sqref="G23">
    <dxf>
      <numFmt numFmtId="186" formatCode="0.000"/>
    </dxf>
  </rfmt>
  <rfmt sheetId="1" sqref="G23">
    <dxf>
      <numFmt numFmtId="175" formatCode="0.0000"/>
    </dxf>
  </rfmt>
  <rfmt sheetId="1" sqref="G23">
    <dxf>
      <numFmt numFmtId="168" formatCode="0.00000"/>
    </dxf>
  </rfmt>
  <rfmt sheetId="1" sqref="I23:J23">
    <dxf>
      <numFmt numFmtId="2" formatCode="0.00"/>
    </dxf>
  </rfmt>
  <rfmt sheetId="1" sqref="I23:J23">
    <dxf>
      <numFmt numFmtId="186" formatCode="0.000"/>
    </dxf>
  </rfmt>
  <rfmt sheetId="1" sqref="I23:J23">
    <dxf>
      <numFmt numFmtId="175" formatCode="0.0000"/>
    </dxf>
  </rfmt>
  <rfmt sheetId="1" sqref="I23:J23">
    <dxf>
      <numFmt numFmtId="168" formatCode="0.0000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3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3111.xml><?xml version="1.0" encoding="utf-8"?>
<revisions xmlns="http://schemas.openxmlformats.org/spreadsheetml/2006/main" xmlns:r="http://schemas.openxmlformats.org/officeDocument/2006/relationships">
  <rcc rId="32264" sId="14" numFmtId="4">
    <oc r="D6">
      <v>2.4636</v>
    </oc>
    <nc r="D6">
      <v>13.22367</v>
    </nc>
  </rcc>
  <rcc rId="32265" sId="14" numFmtId="4">
    <oc r="D8">
      <v>15.74531</v>
    </oc>
    <nc r="D8">
      <v>28.583359999999999</v>
    </nc>
  </rcc>
  <rcc rId="32266" sId="14" numFmtId="4">
    <oc r="D9">
      <v>0.11756</v>
    </oc>
    <nc r="D9">
      <v>0.19392999999999999</v>
    </nc>
  </rcc>
  <rcc rId="32267" sId="14" numFmtId="4">
    <oc r="D10">
      <v>22.916620000000002</v>
    </oc>
    <nc r="D10">
      <v>41.983280000000001</v>
    </nc>
  </rcc>
  <rcc rId="32268" sId="14" numFmtId="4">
    <oc r="D11">
      <v>-2.7247499999999998</v>
    </oc>
    <nc r="D11">
      <v>-6.2270899999999996</v>
    </nc>
  </rcc>
  <rcc rId="32269" sId="14" numFmtId="4">
    <oc r="D15">
      <v>1.8388500000000001</v>
    </oc>
    <nc r="D15">
      <v>1.91743</v>
    </nc>
  </rcc>
  <rcc rId="32270" sId="14" numFmtId="4">
    <oc r="D16">
      <v>7.5861599999999996</v>
    </oc>
    <nc r="D16">
      <v>12.838089999999999</v>
    </nc>
  </rcc>
  <rcc rId="32271" sId="14" numFmtId="4">
    <oc r="D18">
      <v>0.5</v>
    </oc>
    <nc r="D18">
      <v>0.95</v>
    </nc>
  </rcc>
  <rcc rId="32272" sId="14" numFmtId="4">
    <oc r="D42">
      <v>164.15799999999999</v>
    </oc>
    <nc r="D42">
      <v>328.31599999999997</v>
    </nc>
  </rcc>
  <rcc rId="32273" sId="14" numFmtId="4">
    <oc r="C44">
      <v>568.44000000000005</v>
    </oc>
    <nc r="C44">
      <v>837.01599999999996</v>
    </nc>
  </rcc>
  <rcc rId="32274" sId="14" numFmtId="4">
    <oc r="C45">
      <v>91.74</v>
    </oc>
    <nc r="C45">
      <v>92.710999999999999</v>
    </nc>
  </rcc>
  <rcc rId="32275" sId="14" numFmtId="4">
    <oc r="D45">
      <v>7.4169999999999998</v>
    </oc>
    <nc r="D45">
      <v>14.834</v>
    </nc>
  </rcc>
  <rcc rId="32276" sId="14" numFmtId="4">
    <oc r="C50">
      <v>0</v>
    </oc>
    <nc r="C50">
      <v>329.44087000000002</v>
    </nc>
  </rcc>
  <rcc rId="32277" sId="14" numFmtId="4">
    <oc r="D50">
      <v>0</v>
    </oc>
    <nc r="D50">
      <v>287.44099999999997</v>
    </nc>
  </rcc>
  <rcc rId="32278" sId="14" numFmtId="4">
    <oc r="C46">
      <v>0</v>
    </oc>
    <nc r="C46">
      <v>35.26285</v>
    </nc>
  </rcc>
  <rcc rId="32279" sId="14" numFmtId="34">
    <oc r="D58">
      <v>22.53528</v>
    </oc>
    <nc r="D58">
      <v>156.04003</v>
    </nc>
  </rcc>
  <rcc rId="32280" sId="14" numFmtId="34">
    <oc r="D63">
      <v>0</v>
    </oc>
    <nc r="D63">
      <v>3.238</v>
    </nc>
  </rcc>
  <rcc rId="32281" sId="14" numFmtId="34">
    <oc r="D65">
      <v>2</v>
    </oc>
    <nc r="D65">
      <v>9.5892800000000005</v>
    </nc>
  </rcc>
  <rrc rId="32282" sId="14" ref="A71:XFD71" action="insertRow">
    <undo index="18" exp="area" ref3D="1" dr="$A$141:$XFD$141" dn="Z_B30CE22D_C12F_4E12_8BB9_3AAE0A6991CC_.wvu.Rows" sId="14"/>
    <undo index="16" exp="area" ref3D="1" dr="$A$89:$XFD$96" dn="Z_B30CE22D_C12F_4E12_8BB9_3AAE0A6991CC_.wvu.Rows" sId="14"/>
    <undo index="14" exp="area" ref3D="1" dr="$A$82:$XFD$86" dn="Z_B30CE22D_C12F_4E12_8BB9_3AAE0A6991CC_.wvu.Rows" sId="14"/>
    <undo index="12" exp="area" ref3D="1" dr="$A$77:$XFD$78" dn="Z_B30CE22D_C12F_4E12_8BB9_3AAE0A6991CC_.wvu.Rows" sId="14"/>
    <undo index="18" exp="area" ref3D="1" dr="$A$141:$XFD$141" dn="Z_A54C432C_6C68_4B53_A75C_446EB3A61B2B_.wvu.Rows" sId="14"/>
    <undo index="16" exp="area" ref3D="1" dr="$A$89:$XFD$96" dn="Z_A54C432C_6C68_4B53_A75C_446EB3A61B2B_.wvu.Rows" sId="14"/>
    <undo index="14" exp="area" ref3D="1" dr="$A$82:$XFD$86" dn="Z_A54C432C_6C68_4B53_A75C_446EB3A61B2B_.wvu.Rows" sId="14"/>
    <undo index="12" exp="area" ref3D="1" dr="$A$77:$XFD$78" dn="Z_A54C432C_6C68_4B53_A75C_446EB3A61B2B_.wvu.Rows" sId="14"/>
    <undo index="16" exp="area" ref3D="1" dr="$A$89:$XFD$96" dn="Z_5BFCA170_DEAE_4D2C_98A0_1E68B427AC01_.wvu.Rows" sId="14"/>
    <undo index="14" exp="area" ref3D="1" dr="$A$82:$XFD$86" dn="Z_5BFCA170_DEAE_4D2C_98A0_1E68B427AC01_.wvu.Rows" sId="14"/>
    <undo index="16" exp="area" ref3D="1" dr="$A$89:$XFD$96" dn="Z_42584DC0_1D41_4C93_9B38_C388E7B8DAC4_.wvu.Rows" sId="14"/>
    <undo index="14" exp="area" ref3D="1" dr="$A$82:$XFD$86" dn="Z_42584DC0_1D41_4C93_9B38_C388E7B8DAC4_.wvu.Rows" sId="14"/>
    <undo index="12" exp="area" ref3D="1" dr="$A$77:$XFD$78" dn="Z_42584DC0_1D41_4C93_9B38_C388E7B8DAC4_.wvu.Rows" sId="14"/>
    <undo index="16" exp="area" ref3D="1" dr="$A$89:$XFD$96" dn="Z_3DCB9AAA_F09C_4EA6_B992_F93E466D374A_.wvu.Rows" sId="14"/>
    <undo index="14" exp="area" ref3D="1" dr="$A$82:$XFD$86" dn="Z_3DCB9AAA_F09C_4EA6_B992_F93E466D374A_.wvu.Rows" sId="14"/>
    <undo index="16" exp="area" ref3D="1" dr="$A$89:$XFD$96" dn="Z_1A52382B_3765_4E8C_903F_6B8919B7242E_.wvu.Rows" sId="14"/>
    <undo index="14" exp="area" ref3D="1" dr="$A$82:$XFD$86" dn="Z_1A52382B_3765_4E8C_903F_6B8919B7242E_.wvu.Rows" sId="14"/>
    <undo index="18" exp="area" ref3D="1" dr="$A$141:$XFD$141" dn="Z_1718F1EE_9F48_4DBE_9531_3B70F9C4A5DD_.wvu.Rows" sId="14"/>
    <undo index="16" exp="area" ref3D="1" dr="$A$89:$XFD$96" dn="Z_1718F1EE_9F48_4DBE_9531_3B70F9C4A5DD_.wvu.Rows" sId="14"/>
    <undo index="14" exp="area" ref3D="1" dr="$A$82:$XFD$86" dn="Z_1718F1EE_9F48_4DBE_9531_3B70F9C4A5DD_.wvu.Rows" sId="14"/>
    <undo index="12" exp="area" ref3D="1" dr="$A$77:$XFD$78" dn="Z_1718F1EE_9F48_4DBE_9531_3B70F9C4A5DD_.wvu.Rows" sId="14"/>
  </rrc>
  <rcc rId="32283" sId="14">
    <nc r="A71" t="inlineStr">
      <is>
        <t>0314</t>
      </is>
    </nc>
  </rcc>
  <rcc rId="32284" sId="14">
    <nc r="B71" t="inlineStr">
      <is>
        <t>Другие вопросы</t>
      </is>
    </nc>
  </rcc>
  <rcc rId="32285" sId="14" numFmtId="34">
    <nc r="C71">
      <v>2</v>
    </nc>
  </rcc>
  <rcc rId="32286" sId="14" numFmtId="34">
    <nc r="D71">
      <v>0</v>
    </nc>
  </rcc>
  <rcc rId="32287" sId="14">
    <nc r="E71">
      <f>SUM(D71/C71*100)</f>
    </nc>
  </rcc>
  <rcc rId="32288" sId="14">
    <nc r="F71">
      <f>SUM(D71-C71)</f>
    </nc>
  </rcc>
  <rcc rId="32289" sId="14" numFmtId="34">
    <oc r="C74">
      <v>70</v>
    </oc>
    <nc r="C74">
      <v>90</v>
    </nc>
  </rcc>
  <rcc rId="32290" sId="14" numFmtId="34">
    <oc r="C75">
      <v>912.72500000000002</v>
    </oc>
    <nc r="C75">
      <v>1526.03574</v>
    </nc>
  </rcc>
  <rcc rId="32291" sId="14" numFmtId="34">
    <oc r="D75">
      <v>0</v>
    </oc>
    <nc r="D75">
      <v>17.600000000000001</v>
    </nc>
  </rcc>
  <rcc rId="32292" sId="14" numFmtId="34">
    <oc r="C76">
      <v>20</v>
    </oc>
    <nc r="C76">
      <v>45</v>
    </nc>
  </rcc>
  <rcc rId="32293" sId="14" numFmtId="34">
    <oc r="D76">
      <v>0</v>
    </oc>
    <nc r="D76">
      <v>1.2</v>
    </nc>
  </rcc>
  <rcc rId="32294" sId="14" numFmtId="34">
    <oc r="C80">
      <v>362.78800000000001</v>
    </oc>
    <nc r="C80">
      <v>475.38799999999998</v>
    </nc>
  </rcc>
  <rcc rId="32295" sId="14" numFmtId="34">
    <oc r="D80">
      <v>0</v>
    </oc>
    <nc r="D80">
      <v>42</v>
    </nc>
  </rcc>
  <rcc rId="32296" sId="14" numFmtId="34">
    <oc r="D82">
      <v>79.8</v>
    </oc>
    <nc r="D82">
      <v>159.6</v>
    </nc>
  </rcc>
  <rcc rId="32297" sId="14" numFmtId="34">
    <oc r="D89">
      <v>0</v>
    </oc>
    <nc r="D89">
      <v>1</v>
    </nc>
  </rcc>
  <rcc rId="32298" sId="14" odxf="1" dxf="1">
    <nc r="G89">
      <f>C98-4485.71024</f>
    </nc>
    <odxf>
      <numFmt numFmtId="0" formatCode="General"/>
    </odxf>
    <ndxf>
      <numFmt numFmtId="172" formatCode="#,##0.00000"/>
    </ndxf>
  </rcc>
  <rcc rId="32299" sId="14">
    <oc r="C66">
      <f>C69+C70</f>
    </oc>
    <nc r="C66">
      <f>C69+C70+C71</f>
    </nc>
  </rcc>
  <rcc rId="32300" sId="14" numFmtId="34">
    <oc r="C65">
      <v>88.974999999999994</v>
    </oc>
    <nc r="C65">
      <v>89.945999999999998</v>
    </nc>
  </rcc>
  <rcc rId="32301" sId="14" numFmtId="34">
    <oc r="C73">
      <v>6.25</v>
    </oc>
    <nc r="C73">
      <v>6.7024999999999997</v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Кад!$19:$24,Кад!$44:$44,Кад!$56:$56,Кад!$58:$59,Кад!$66:$67,Кад!$82:$84,Кад!$88:$95</formula>
    <oldFormula>Кад!$19:$24,Кад!$44:$44,Кад!$56:$56,Кад!$58:$59,Кад!$66:$67,Кад!$82:$84,Кад!$88:$95</oldFormula>
  </rdn>
  <rdn rId="0" localSheetId="8" customView="1" name="Z_1A52382B_3765_4E8C_903F_6B8919B7242E_.wvu.PrintArea" hidden="1" oldHidden="1">
    <formula>Мор!$A$1:$F$100</formula>
    <oldFormula>Мор!$A$1:$F$100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Мор!$17:$17,Мор!$21:$21,Мор!$23:$23,Мор!$37:$37,Мор!$44:$44,Мор!$46:$47,Мор!$49:$50,Мор!$57:$57,Мор!$59:$60,Мор!$67:$68,Мор!$82:$87,Мор!$90:$96</formula>
    <oldFormula>Мор!$17:$17,Мор!$21:$21,Мор!$23:$23,Мор!$37:$37,Мор!$44:$44,Мор!$46:$47,Мор!$49:$50,Мор!$57:$57,Мор!$59:$60,Мор!$67:$68,Мор!$82:$87,Мор!$90:$96</oldFormula>
  </rdn>
  <rdn rId="0" localSheetId="9" customView="1" name="Z_1A52382B_3765_4E8C_903F_6B8919B7242E_.wvu.Rows" hidden="1" oldHidden="1">
    <formula>Мос!$19:$24,Мос!$44:$44,Мос!$57:$57,Мос!$59:$60,Мос!$67:$68,Мос!$80:$80,Мос!$84:$88,Мос!$93:$98</formula>
    <oldFormula>Мос!$19:$24,Мос!$44:$44,Мос!$57:$57,Мос!$59:$60,Мос!$67:$68,Мос!$80:$80,Мос!$84:$88,Мос!$93:$98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Ори!$19:$24,Ори!$32:$32,Ори!$44:$44,Ори!$48:$50,Ори!$57:$57,Ори!$59:$60,Ори!$67:$68,Ори!$77:$78,Ори!$80:$80,Ори!$82:$86,Ори!$90:$97</formula>
    <oldFormula>Ори!$19:$24,Ори!$32:$32,Ори!$44:$44,Ори!$48:$50,Ори!$57:$57,Ори!$59:$60,Ори!$67:$68,Ори!$77:$78,Ори!$80:$80,Ори!$82:$86,Ори!$90:$97</oldFormula>
  </rdn>
  <rdn rId="0" localSheetId="11" customView="1" name="Z_1A52382B_3765_4E8C_903F_6B8919B7242E_.wvu.Rows" hidden="1" oldHidden="1">
    <formula>Сят!$19:$19,Сят!$45:$47,Сят!$57:$57,Сят!$59:$60,Сят!$67:$68,Сят!$82:$85,Сят!$89:$96</formula>
    <oldFormula>Сят!$19:$19,Сят!$45:$47,Сят!$57:$57,Сят!$59:$60,Сят!$67:$68,Сят!$82:$85,Сят!$89:$96</oldFormula>
  </rdn>
  <rdn rId="0" localSheetId="12" customView="1" name="Z_1A52382B_3765_4E8C_903F_6B8919B7242E_.wvu.PrintArea" hidden="1" oldHidden="1">
    <formula>Тор!$A$1:$F$101</formula>
    <oldFormula>Тор!$A$1:$F$101</oldFormula>
  </rdn>
  <rdn rId="0" localSheetId="12" customView="1" name="Z_1A52382B_3765_4E8C_903F_6B8919B7242E_.wvu.Rows" hidden="1" oldHidden="1">
    <formula>Тор!$19:$19,Тор!$50:$50,Тор!$57:$57,Тор!$59:$60,Тор!$67:$68,Тор!$74:$74,Тор!$78:$79,Тор!$82:$93</formula>
    <oldFormula>Тор!$19:$19,Тор!$50:$50,Тор!$57:$57,Тор!$59:$60,Тор!$67:$68,Тор!$74:$74,Тор!$78:$79,Тор!$82:$93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Хор!$19:$24,Хор!$32:$32,Хор!$40:$40,Хор!$44:$44,Хор!$55:$55,Хор!$57:$58,Хор!$65:$66,Хор!$80:$84,Хор!$87:$94</formula>
    <oldFormula>Хор!$19:$24,Хор!$32:$32,Хор!$40:$40,Хор!$44:$44,Хор!$55:$55,Хор!$57:$58,Хор!$65:$66,Хор!$80:$84,Хор!$87:$94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Шать!$19:$24,Шать!$47:$49,Шать!$57:$57,Шать!$59:$60,Шать!$67:$68,Шать!$77:$78,Шать!$82:$86,Шать!$89:$96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1A52382B_3765_4E8C_903F_6B8919B7242E_.wvu.PrintArea" hidden="1" oldHidden="1">
    <formula>Юнг!$A$1:$F$99</formula>
    <oldFormula>Юнг!$A$1:$F$99</oldFormula>
  </rdn>
  <rdn rId="0" localSheetId="16" customView="1" name="Z_1A52382B_3765_4E8C_903F_6B8919B7242E_.wvu.Rows" hidden="1" oldHidden="1">
    <formula>Юнг!$19:$24,Юнг!$32:$32,Юнг!$49:$49,Юнг!$56:$56,Юнг!$58:$59,Юнг!$66:$67,Юнг!$81:$85,Юнг!$88:$95</formula>
    <oldFormula>Юнг!$19:$24,Юнг!$32:$32,Юнг!$49:$49,Юнг!$56:$56,Юнг!$58:$59,Юнг!$66:$67,Юнг!$81:$85,Юнг!$88:$95</oldFormula>
  </rdn>
  <rdn rId="0" localSheetId="17" customView="1" name="Z_1A52382B_3765_4E8C_903F_6B8919B7242E_.wvu.Rows" hidden="1" oldHidden="1">
    <formula>Юсь!$20:$24,Юсь!$40:$40,Юсь!$44:$49,Юсь!$58:$58,Юсь!$60:$61,Юсь!$68:$69,Юсь!$78:$79,Юсь!$82:$87,Юсь!$90:$97</formula>
    <oldFormula>Юсь!$20:$24,Юсь!$40:$40,Юсь!$44:$49,Юсь!$58:$58,Юсь!$60:$61,Юсь!$68:$69,Юсь!$78:$79,Юсь!$82:$87,Юсь!$90:$97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133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Сун!$A$1:$F$103</formula>
    <oldFormula>Сун!$A$1:$F$103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61528DAC_5C4C_48F4_ADE2_8A724B05A086_.wvu.PrintArea" hidden="1" oldHidden="1">
    <formula>Мор!$A$1:$F$100</formula>
    <oldFormula>Мор!$A$1:$F$100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61528DAC_5C4C_48F4_ADE2_8A724B05A086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61528DAC_5C4C_48F4_ADE2_8A724B05A086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61528DAC_5C4C_48F4_ADE2_8A724B05A086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61528DAC_5C4C_48F4_ADE2_8A724B05A086_.wvu.PrintArea" hidden="1" oldHidden="1">
    <formula>Юнг!$A$1:$F$99</formula>
    <oldFormula>Юнг!$A$1:$F$99</oldFormula>
  </rdn>
  <rdn rId="0" localSheetId="16" customView="1" name="Z_61528DAC_5C4C_48F4_ADE2_8A724B05A086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c rId="36730" sId="1">
    <oc r="A1" t="inlineStr">
      <is>
        <t>Анализ исполнения консолидированного бюджета Моргаушского районана 01.03.2019 г.</t>
      </is>
    </oc>
    <nc r="A1" t="inlineStr">
      <is>
        <t>Анализ исполнения консолидированного бюджета Моргаушского районана 01.04.2019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c rId="36878" sId="4" numFmtId="4">
    <oc r="D41">
      <v>0</v>
    </oc>
    <nc r="D41">
      <v>87.12</v>
    </nc>
  </rcc>
  <rcc rId="36879" sId="5" numFmtId="4">
    <oc r="D44">
      <v>202.04499999999999</v>
    </oc>
    <nc r="D44">
      <v>336.74200000000002</v>
    </nc>
  </rcc>
  <rcc rId="36880" sId="10" numFmtId="4">
    <oc r="D43">
      <v>154.80699999999999</v>
    </oc>
    <nc r="D43">
      <v>211.191</v>
    </nc>
  </rcc>
  <rcc rId="36881" sId="11" numFmtId="4">
    <oc r="D43">
      <v>132.63399999999999</v>
    </oc>
    <nc r="D43">
      <v>264.649</v>
    </nc>
  </rcc>
  <rcc rId="36882" sId="13" numFmtId="4">
    <oc r="D42">
      <v>80.959999999999994</v>
    </oc>
    <nc r="D42">
      <v>133.76</v>
    </nc>
  </rcc>
  <rcc rId="36883" sId="17" numFmtId="4">
    <oc r="D42">
      <v>86.24</v>
    </oc>
    <nc r="D42">
      <v>172.48</v>
    </nc>
  </rcc>
  <rcc rId="36884" sId="18" numFmtId="4">
    <oc r="D44">
      <v>137.22</v>
    </oc>
    <nc r="D44">
      <v>270.22399999999999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Rows" hidden="1" oldHidden="1">
    <formula>Справка!$33:$33,Справка!$35:$35</formula>
    <oldFormula>Справка!$33:$33,Справка!$35:$35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B31C8DB7_3E78_4144_A6B5_8DE36DE63F0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c rId="33630" sId="11">
    <oc r="G98">
      <f>C98-6572.02</f>
    </oc>
    <nc r="G98"/>
  </rcc>
  <rcc rId="33631" sId="12" numFmtId="4">
    <oc r="D6">
      <v>6.2367600000000003</v>
    </oc>
    <nc r="D6">
      <v>15.027509999999999</v>
    </nc>
  </rcc>
  <rcc rId="33632" sId="12" numFmtId="4">
    <oc r="D8">
      <v>36.09639</v>
    </oc>
    <nc r="D8">
      <v>65.527839999999998</v>
    </nc>
  </rcc>
  <rcc rId="33633" sId="12" numFmtId="4">
    <oc r="D9">
      <v>0.26954</v>
    </oc>
    <nc r="D9">
      <v>0.44463999999999998</v>
    </nc>
  </rcc>
  <rcc rId="33634" sId="12" numFmtId="4">
    <oc r="D10">
      <v>52.536749999999998</v>
    </oc>
    <nc r="D10">
      <v>96.247399999999999</v>
    </nc>
  </rcc>
  <rcc rId="33635" sId="12" numFmtId="4">
    <oc r="D11">
      <v>-6.2465599999999997</v>
    </oc>
    <nc r="D11">
      <v>-14.27576</v>
    </nc>
  </rcc>
  <rcc rId="33636" sId="12" numFmtId="4">
    <oc r="D15">
      <v>4.2949900000000003</v>
    </oc>
    <nc r="D15">
      <v>4.6781300000000003</v>
    </nc>
  </rcc>
  <rcc rId="33637" sId="12" numFmtId="4">
    <oc r="D16">
      <v>21.95778</v>
    </oc>
    <nc r="D16">
      <v>32.803559999999997</v>
    </nc>
  </rcc>
  <rcc rId="33638" sId="12" numFmtId="4">
    <oc r="D18">
      <v>0.5</v>
    </oc>
    <nc r="D18">
      <v>2.9</v>
    </nc>
  </rcc>
  <rcc rId="33639" sId="12" numFmtId="4">
    <oc r="D27">
      <v>0</v>
    </oc>
    <nc r="D27">
      <v>16.739999999999998</v>
    </nc>
  </rcc>
  <rcc rId="33640" sId="12" numFmtId="4">
    <oc r="D28">
      <v>0.54335</v>
    </oc>
    <nc r="D28">
      <v>1.0867</v>
    </nc>
  </rcc>
  <rcc rId="33641" sId="12" numFmtId="4">
    <oc r="D42">
      <v>118.717</v>
    </oc>
    <nc r="D42">
      <v>237.434</v>
    </nc>
  </rcc>
  <rcc rId="33642" sId="12" numFmtId="4">
    <oc r="C44">
      <v>1306.67</v>
    </oc>
    <nc r="C44">
      <v>1924.0509999999999</v>
    </nc>
  </rcc>
  <rcc rId="33643" sId="12" numFmtId="4">
    <oc r="C45">
      <v>179.74</v>
    </oc>
    <nc r="C45">
      <v>181.68199999999999</v>
    </nc>
  </rcc>
  <rcc rId="33644" sId="12" numFmtId="4">
    <oc r="D45">
      <v>14.833</v>
    </oc>
    <nc r="D45">
      <v>29.666</v>
    </nc>
  </rcc>
  <rcc rId="33645" sId="12" numFmtId="4">
    <oc r="C48">
      <v>0</v>
    </oc>
    <nc r="C48">
      <v>508.16561000000002</v>
    </nc>
  </rcc>
  <rcc rId="33646" sId="12">
    <nc r="G51">
      <f>D51-495.90904</f>
    </nc>
  </rcc>
  <rcc rId="33647" sId="12" numFmtId="4">
    <oc r="D30">
      <v>0</v>
    </oc>
    <nc r="D30">
      <v>7.5841500000000002</v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Мор!$A$1:$F$100</formula>
    <oldFormula>Мор!$A$1:$F$100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Мор!$17:$17,Мор!$21:$21,Мор!$23:$23,Мор!$37:$37,Мор!$44:$44,Мор!$46:$47,Мор!$49:$50,Мор!$57:$57,Мор!$59:$60,Мор!$67:$68,Мор!$82:$87,Мор!$90:$96</formula>
    <oldFormula>Мор!$17:$17,Мор!$21:$21,Мор!$23:$23,Мор!$37:$37,Мор!$44:$44,Мор!$46:$47,Мор!$49:$50,Мор!$57:$57,Мор!$59:$60,Мор!$67:$68,Мор!$82:$87,Мор!$90:$96</oldFormula>
  </rdn>
  <rdn rId="0" localSheetId="9" customView="1" name="Z_1A52382B_3765_4E8C_903F_6B8919B7242E_.wvu.Rows" hidden="1" oldHidden="1">
    <formula>Мос!$19:$24,Мос!$44:$44,Мос!$57:$57,Мос!$59:$60,Мос!$67:$68,Мос!$80:$80,Мос!$84:$88,Мос!$93:$98</formula>
    <oldFormula>Мос!$19:$24,Мос!$44:$44,Мос!$57:$57,Мос!$59:$60,Мос!$67:$68,Мос!$80:$80,Мос!$84:$88,Мос!$93:$98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Тор!$A$1:$F$101</formula>
    <oldFormula>Тор!$A$1:$F$101</oldFormula>
  </rdn>
  <rdn rId="0" localSheetId="12" customView="1" name="Z_1A52382B_3765_4E8C_903F_6B8919B7242E_.wvu.Rows" hidden="1" oldHidden="1">
    <formula>Тор!$19:$19,Тор!$50:$50,Тор!$57:$57,Тор!$59:$60,Тор!$67:$68,Тор!$74:$74,Тор!$78:$79,Тор!$82:$93</formula>
    <oldFormula>Тор!$19:$19,Тор!$50:$50,Тор!$57:$57,Тор!$59:$60,Тор!$67:$68,Тор!$74:$74,Тор!$78:$79,Тор!$82:$93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15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51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Яро!$19:$24,Яро!$28:$28,Яро!$43:$43,Яро!$54:$54,Яро!$56:$58,Яро!$64:$65,Яро!$74:$74,Яро!$81:$83,Яро!$86:$89,Яро!$91:$93</formula>
    <oldFormula>Яро!$19:$24,Яро!$28:$28,Яро!$43:$43,Яро!$54:$54,Яро!$56:$58,Яро!$64:$65,Яро!$74:$74,Яро!$81:$83,Яро!$86:$89,Яро!$91:$93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fmt sheetId="3" sqref="C88:D144">
    <dxf>
      <numFmt numFmtId="174" formatCode="0.000000"/>
    </dxf>
  </rfmt>
  <rfmt sheetId="3" sqref="C88:D144">
    <dxf>
      <numFmt numFmtId="168" formatCode="0.00000"/>
    </dxf>
  </rfmt>
  <rfmt sheetId="3" sqref="C88:D144">
    <dxf>
      <numFmt numFmtId="175" formatCode="0.0000"/>
    </dxf>
  </rfmt>
  <rfmt sheetId="3" sqref="C88:D144">
    <dxf>
      <numFmt numFmtId="186" formatCode="0.000"/>
    </dxf>
  </rfmt>
  <rfmt sheetId="3" sqref="C88:D144">
    <dxf>
      <numFmt numFmtId="2" formatCode="0.00"/>
    </dxf>
  </rfmt>
  <rfmt sheetId="3" sqref="C88:D144">
    <dxf>
      <numFmt numFmtId="166" formatCode="0.0"/>
    </dxf>
  </rfmt>
  <rfmt sheetId="3" sqref="D1:D1048576">
    <dxf>
      <numFmt numFmtId="2" formatCode="0.00"/>
    </dxf>
  </rfmt>
  <rfmt sheetId="3" sqref="D1:D1048576">
    <dxf>
      <numFmt numFmtId="186" formatCode="0.000"/>
    </dxf>
  </rfmt>
  <rfmt sheetId="3" sqref="D1:D1048576">
    <dxf>
      <numFmt numFmtId="175" formatCode="0.0000"/>
    </dxf>
  </rfmt>
  <rfmt sheetId="3" sqref="D1:D1048576">
    <dxf>
      <numFmt numFmtId="186" formatCode="0.000"/>
    </dxf>
  </rfmt>
  <rfmt sheetId="3" sqref="D1:D1048576">
    <dxf>
      <numFmt numFmtId="2" formatCode="0.00"/>
    </dxf>
  </rfmt>
  <rfmt sheetId="3" sqref="D1:D1048576">
    <dxf>
      <numFmt numFmtId="166" formatCode="0.0"/>
    </dxf>
  </rfmt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Справка!$33:$34</formula>
    <oldFormula>Справка!$33:$34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161.xml><?xml version="1.0" encoding="utf-8"?>
<revisions xmlns="http://schemas.openxmlformats.org/spreadsheetml/2006/main" xmlns:r="http://schemas.openxmlformats.org/officeDocument/2006/relationships">
  <rfmt sheetId="2" sqref="F31">
    <dxf>
      <numFmt numFmtId="4" formatCode="#,##0.00"/>
    </dxf>
  </rfmt>
  <rfmt sheetId="2" sqref="F31">
    <dxf>
      <numFmt numFmtId="173" formatCode="#,##0.000"/>
    </dxf>
  </rfmt>
  <rfmt sheetId="2" sqref="F31">
    <dxf>
      <numFmt numFmtId="183" formatCode="#,##0.0000"/>
    </dxf>
  </rfmt>
  <rfmt sheetId="2" sqref="F31">
    <dxf>
      <numFmt numFmtId="172" formatCode="#,##0.00000"/>
    </dxf>
  </rfmt>
  <rfmt sheetId="2" sqref="G31">
    <dxf>
      <numFmt numFmtId="4" formatCode="#,##0.00"/>
    </dxf>
  </rfmt>
  <rfmt sheetId="2" sqref="G31">
    <dxf>
      <numFmt numFmtId="173" formatCode="#,##0.000"/>
    </dxf>
  </rfmt>
  <rfmt sheetId="2" sqref="G31">
    <dxf>
      <numFmt numFmtId="183" formatCode="#,##0.0000"/>
    </dxf>
  </rfmt>
  <rfmt sheetId="2" sqref="G31">
    <dxf>
      <numFmt numFmtId="172" formatCode="#,##0.00000"/>
    </dxf>
  </rfmt>
  <rfmt sheetId="2" sqref="G31">
    <dxf>
      <numFmt numFmtId="180" formatCode="#,##0.000000"/>
    </dxf>
  </rfmt>
  <rfmt sheetId="2" sqref="J14:J29">
    <dxf>
      <fill>
        <patternFill>
          <bgColor rgb="FFFFFF00"/>
        </patternFill>
      </fill>
    </dxf>
  </rfmt>
  <rcv guid="{B30CE22D-C12F-4E12-8BB9-3AAE0A6991CC}" action="delete"/>
  <rcv guid="{B30CE22D-C12F-4E12-8BB9-3AAE0A6991CC}" action="add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611.xml><?xml version="1.0" encoding="utf-8"?>
<revisions xmlns="http://schemas.openxmlformats.org/spreadsheetml/2006/main" xmlns:r="http://schemas.openxmlformats.org/officeDocument/2006/relationships">
  <rcc rId="32464" sId="6" numFmtId="4">
    <oc r="D6">
      <v>1.5050300000000001</v>
    </oc>
    <nc r="D6">
      <v>6.27928</v>
    </nc>
  </rcc>
  <rcc rId="32465" sId="6" numFmtId="4">
    <oc r="D8">
      <v>29.883949999999999</v>
    </oc>
    <nc r="D8">
      <v>54.250079999999997</v>
    </nc>
  </rcc>
  <rcc rId="32466" sId="6" numFmtId="4">
    <oc r="D9">
      <v>0.22314000000000001</v>
    </oc>
    <nc r="D9">
      <v>0.36808999999999997</v>
    </nc>
  </rcc>
  <rcc rId="32467" sId="6" numFmtId="4">
    <oc r="D10">
      <v>43.494810000000001</v>
    </oc>
    <nc r="D10">
      <v>79.682550000000006</v>
    </nc>
  </rcc>
  <rcc rId="32468" sId="6" numFmtId="4">
    <oc r="D11">
      <v>-5.1714799999999999</v>
    </oc>
    <nc r="D11">
      <v>-11.818809999999999</v>
    </nc>
  </rcc>
  <rcc rId="32469" sId="6" numFmtId="4">
    <oc r="D15">
      <v>2.6137800000000002</v>
    </oc>
    <nc r="D15">
      <v>5.6575559999999996</v>
    </nc>
  </rcc>
  <rcc rId="32470" sId="6" numFmtId="4">
    <oc r="D16">
      <v>14.144080000000001</v>
    </oc>
    <nc r="D16">
      <v>24.311599999999999</v>
    </nc>
  </rcc>
  <rcc rId="32471" sId="6" numFmtId="4">
    <oc r="D28">
      <v>0</v>
    </oc>
    <nc r="D28">
      <v>3.05</v>
    </nc>
  </rcc>
  <rcc rId="32472" sId="6" numFmtId="4">
    <oc r="D29">
      <v>2.5501499999999999</v>
    </oc>
    <nc r="D29">
      <v>5.1002999999999998</v>
    </nc>
  </rcc>
  <rcc rId="32473" sId="6" numFmtId="4">
    <oc r="D42">
      <v>146.59200000000001</v>
    </oc>
    <nc r="D42">
      <v>293.18400000000003</v>
    </nc>
  </rcc>
  <rcc rId="32474" sId="6" numFmtId="4">
    <oc r="C43">
      <v>120</v>
    </oc>
    <nc r="C43">
      <v>270</v>
    </nc>
  </rcc>
  <rcc rId="32475" sId="6" numFmtId="4">
    <oc r="C44">
      <v>2047.41</v>
    </oc>
    <nc r="C44">
      <v>2558.4050000000002</v>
    </nc>
  </rcc>
  <rcc rId="32476" sId="6" numFmtId="4">
    <oc r="C46">
      <v>179.14</v>
    </oc>
    <nc r="C46">
      <v>181.08199999999999</v>
    </nc>
  </rcc>
  <rcc rId="32477" sId="6" numFmtId="4">
    <oc r="D46">
      <v>14.833</v>
    </oc>
    <nc r="D46">
      <v>29.666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Сун!$A$1:$F$103</formula>
    <oldFormula>Сун!$A$1:$F$103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61528DAC_5C4C_48F4_ADE2_8A724B05A086_.wvu.PrintArea" hidden="1" oldHidden="1">
    <formula>Мор!$A$1:$F$100</formula>
    <oldFormula>Мор!$A$1:$F$100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61528DAC_5C4C_48F4_ADE2_8A724B05A086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61528DAC_5C4C_48F4_ADE2_8A724B05A086_.wvu.PrintArea" hidden="1" oldHidden="1">
    <formula>Юнг!$A$1:$F$99</formula>
    <oldFormula>Юнг!$A$1:$F$99</oldFormula>
  </rdn>
  <rdn rId="0" localSheetId="16" customView="1" name="Z_61528DAC_5C4C_48F4_ADE2_8A724B05A086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c rId="37663" sId="4" numFmtId="4">
    <oc r="D61">
      <v>17.09</v>
    </oc>
    <nc r="D61">
      <v>29.768000000000001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1.xml><?xml version="1.0" encoding="utf-8"?>
<revisions xmlns="http://schemas.openxmlformats.org/spreadsheetml/2006/main" xmlns:r="http://schemas.openxmlformats.org/officeDocument/2006/relationships">
  <rfmt sheetId="2" sqref="CR14:CR31">
    <dxf>
      <numFmt numFmtId="4" formatCode="#,##0.00"/>
    </dxf>
  </rfmt>
  <rfmt sheetId="2" sqref="CR14:CR31">
    <dxf>
      <numFmt numFmtId="173" formatCode="#,##0.000"/>
    </dxf>
  </rfmt>
  <rfmt sheetId="2" sqref="CR14:CR31">
    <dxf>
      <numFmt numFmtId="183" formatCode="#,##0.0000"/>
    </dxf>
  </rfmt>
  <rfmt sheetId="2" sqref="CR14:CR31">
    <dxf>
      <numFmt numFmtId="172" formatCode="#,##0.00000"/>
    </dxf>
  </rfmt>
  <rfmt sheetId="2" sqref="CR14:CR31">
    <dxf>
      <numFmt numFmtId="180" formatCode="#,##0.000000"/>
    </dxf>
  </rfmt>
  <rcc rId="34879" sId="9" numFmtId="4">
    <oc r="C51">
      <v>0</v>
    </oc>
    <nc r="C51">
      <v>887.46906999999999</v>
    </nc>
  </rcc>
  <rcc rId="34880" sId="9" numFmtId="4">
    <oc r="C47">
      <v>887.46906999999999</v>
    </oc>
    <nc r="C47">
      <v>0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711.xml><?xml version="1.0" encoding="utf-8"?>
<revisions xmlns="http://schemas.openxmlformats.org/spreadsheetml/2006/main" xmlns:r="http://schemas.openxmlformats.org/officeDocument/2006/relationships">
  <rfmt sheetId="2" sqref="AZ14:AZ30">
    <dxf>
      <fill>
        <patternFill>
          <bgColor rgb="FFFFFF00"/>
        </patternFill>
      </fill>
    </dxf>
  </rfmt>
  <rcc rId="34729" sId="2">
    <oc r="AZ14">
      <f>Але!C30</f>
    </oc>
    <nc r="AZ14">
      <f>Але!D29</f>
    </nc>
  </rcc>
  <rfmt sheetId="2" sqref="AZ15">
    <dxf>
      <numFmt numFmtId="4" formatCode="#,##0.00"/>
    </dxf>
  </rfmt>
  <rfmt sheetId="2" sqref="AZ15">
    <dxf>
      <numFmt numFmtId="173" formatCode="#,##0.000"/>
    </dxf>
  </rfmt>
  <rcc rId="34730" sId="2">
    <nc r="AZ29">
      <f>Яро!D29</f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71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72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72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cc rId="38101" sId="17">
    <oc r="D55" t="inlineStr">
      <is>
        <t>исполнено на 01.04.2019г.</t>
      </is>
    </oc>
    <nc r="D55" t="inlineStr">
      <is>
        <t>исполнено на 01.05.2019г.</t>
      </is>
    </nc>
  </rcc>
  <rcc rId="38102" sId="17">
    <oc r="D3" t="inlineStr">
      <is>
        <t>исполнен на 01.04.2019 г.</t>
      </is>
    </oc>
    <nc r="D3" t="inlineStr">
      <is>
        <t>исполнен на 01.05.2019 г.</t>
      </is>
    </nc>
  </rcc>
  <rcc rId="38103" sId="17">
    <oc r="A1" t="inlineStr">
      <is>
        <t xml:space="preserve">                     Анализ исполнения бюджета Юськасинского сельского поселения на 01.04.2019 г.</t>
      </is>
    </oc>
    <nc r="A1" t="inlineStr">
      <is>
        <t xml:space="preserve">                     Анализ исполнения бюджета Юськасинского сельского поселения на 01.05.2019 г.</t>
      </is>
    </nc>
  </rcc>
  <rcc rId="38104" sId="17" numFmtId="4">
    <oc r="D6">
      <v>19.199529999999999</v>
    </oc>
    <nc r="D6">
      <v>27.945640000000001</v>
    </nc>
  </rcc>
  <rcc rId="38105" sId="17" numFmtId="4">
    <oc r="D8">
      <v>86.678600000000003</v>
    </oc>
    <nc r="D8">
      <v>116.88146</v>
    </nc>
  </rcc>
  <rcc rId="38106" sId="17" numFmtId="4">
    <oc r="D9">
      <v>0.60563</v>
    </oc>
    <nc r="D9">
      <v>0.85316000000000003</v>
    </nc>
  </rcc>
  <rcc rId="38107" sId="17" numFmtId="4">
    <oc r="D10">
      <v>127.08872</v>
    </oc>
    <nc r="D10">
      <v>166.14164</v>
    </nc>
  </rcc>
  <rcc rId="38108" sId="17" numFmtId="4">
    <oc r="D11">
      <v>-17.059010000000001</v>
    </oc>
    <nc r="D11">
      <v>-24.15907</v>
    </nc>
  </rcc>
  <rcc rId="38109" sId="17" numFmtId="4">
    <oc r="D13">
      <v>0.16428000000000001</v>
    </oc>
    <nc r="D13">
      <v>0.31428</v>
    </nc>
  </rcc>
  <rcc rId="38110" sId="17" numFmtId="4">
    <oc r="D15">
      <v>4.2445500000000003</v>
    </oc>
    <nc r="D15">
      <v>4.69041</v>
    </nc>
  </rcc>
  <rcc rId="38111" sId="17" numFmtId="4">
    <oc r="D16">
      <v>12.59254</v>
    </oc>
    <nc r="D16">
      <v>20.7774</v>
    </nc>
  </rcc>
  <rcc rId="38112" sId="17" numFmtId="4">
    <oc r="D18">
      <v>1.6</v>
    </oc>
    <nc r="D18">
      <v>2.2000000000000002</v>
    </nc>
  </rcc>
  <rcc rId="38113" sId="17" numFmtId="4">
    <oc r="D28">
      <v>6</v>
    </oc>
    <nc r="D28">
      <v>8</v>
    </nc>
  </rcc>
  <rcc rId="38114" sId="17" numFmtId="4">
    <oc r="D30">
      <v>104.79955</v>
    </oc>
    <nc r="D30">
      <v>144.02216000000001</v>
    </nc>
  </rcc>
  <rcc rId="38115" sId="17" numFmtId="4">
    <oc r="D39">
      <v>757.25099999999998</v>
    </oc>
    <nc r="D39">
      <v>1009.668</v>
    </nc>
  </rcc>
  <rcc rId="38116" sId="17" numFmtId="4">
    <oc r="D42">
      <v>172.48</v>
    </oc>
    <nc r="D42">
      <v>258.72000000000003</v>
    </nc>
  </rcc>
  <rcc rId="38117" sId="17" numFmtId="4">
    <oc r="D43">
      <v>44.499000000000002</v>
    </oc>
    <nc r="D43">
      <v>59.548999999999999</v>
    </nc>
  </rcc>
  <rcc rId="38118" sId="17" numFmtId="34">
    <oc r="D59">
      <v>235.83251000000001</v>
    </oc>
    <nc r="D59">
      <v>369.48032000000001</v>
    </nc>
  </rcc>
  <rcc rId="38119" sId="17" numFmtId="34">
    <oc r="D66">
      <v>33.378</v>
    </oc>
    <nc r="D66">
      <v>58.756</v>
    </nc>
  </rcc>
  <rcc rId="38120" sId="17" numFmtId="34">
    <oc r="D71">
      <v>2</v>
    </oc>
    <nc r="D71">
      <v>3.5</v>
    </nc>
  </rcc>
  <rcc rId="38121" sId="17" numFmtId="34">
    <oc r="D76">
      <v>121.52</v>
    </oc>
    <nc r="D76">
      <v>294</v>
    </nc>
  </rcc>
  <rcc rId="38122" sId="17" numFmtId="34">
    <oc r="D81">
      <v>86.93168</v>
    </oc>
    <nc r="D81">
      <v>331.93167999999997</v>
    </nc>
  </rcc>
  <rcc rId="38123" sId="17" numFmtId="34">
    <oc r="D83">
      <v>580.40369999999996</v>
    </oc>
    <nc r="D83">
      <v>788.13837000000001</v>
    </nc>
  </rcc>
  <rfmt sheetId="17" sqref="C99:D99">
    <dxf>
      <numFmt numFmtId="183" formatCode="#,##0.0000"/>
    </dxf>
  </rfmt>
  <rfmt sheetId="17" sqref="C99:D99">
    <dxf>
      <numFmt numFmtId="173" formatCode="#,##0.000"/>
    </dxf>
  </rfmt>
  <rfmt sheetId="17" sqref="C99:D99">
    <dxf>
      <numFmt numFmtId="4" formatCode="#,##0.00"/>
    </dxf>
  </rfmt>
  <rfmt sheetId="17" sqref="C99:D99">
    <dxf>
      <numFmt numFmtId="167" formatCode="#,##0.0"/>
    </dxf>
  </rfmt>
  <rfmt sheetId="17" sqref="C52:D53">
    <dxf>
      <numFmt numFmtId="183" formatCode="#,##0.0000"/>
    </dxf>
  </rfmt>
  <rfmt sheetId="17" sqref="C52:D53">
    <dxf>
      <numFmt numFmtId="173" formatCode="#,##0.000"/>
    </dxf>
  </rfmt>
  <rfmt sheetId="17" sqref="C52:D53">
    <dxf>
      <numFmt numFmtId="4" formatCode="#,##0.00"/>
    </dxf>
  </rfmt>
  <rfmt sheetId="17" sqref="C52:D53">
    <dxf>
      <numFmt numFmtId="167" formatCode="#,##0.0"/>
    </dxf>
  </rfmt>
  <rcc rId="38124" sId="16">
    <oc r="D53" t="inlineStr">
      <is>
        <t>исполнено на 01.04.2019 г.</t>
      </is>
    </oc>
    <nc r="D53" t="inlineStr">
      <is>
        <t>исполнено на 01.05.2019 г.</t>
      </is>
    </nc>
  </rcc>
  <rcc rId="38125" sId="16">
    <oc r="D3" t="inlineStr">
      <is>
        <t>исполнен на 01.04.2019 г.</t>
      </is>
    </oc>
    <nc r="D3" t="inlineStr">
      <is>
        <t>исполнен на 01.05.2019 г.</t>
      </is>
    </nc>
  </rcc>
  <rcc rId="38126" sId="16">
    <oc r="A1" t="inlineStr">
      <is>
        <t xml:space="preserve">                     Анализ исполнения бюджета Юнгинского сельского поселения на 01.04.2019 г.</t>
      </is>
    </oc>
    <nc r="A1" t="inlineStr">
      <is>
        <t xml:space="preserve">                     Анализ исполнения бюджета Юнгинского сельского поселения на 01.05.2019 г.</t>
      </is>
    </nc>
  </rcc>
  <rcc rId="38127" sId="16" numFmtId="4">
    <oc r="D6">
      <v>24.145299999999999</v>
    </oc>
    <nc r="D6">
      <v>39.612940000000002</v>
    </nc>
  </rcc>
  <rcc rId="38128" sId="16" numFmtId="4">
    <oc r="D8">
      <v>64.453320000000005</v>
    </oc>
    <nc r="D8">
      <v>86.911869999999993</v>
    </nc>
  </rcc>
  <rcc rId="38129" sId="16" numFmtId="4">
    <oc r="D9">
      <v>0.45034000000000002</v>
    </oc>
    <nc r="D9">
      <v>0.63441999999999998</v>
    </nc>
  </rcc>
  <rcc rId="38130" sId="16" numFmtId="4">
    <oc r="D10">
      <v>94.501869999999997</v>
    </oc>
    <nc r="D10">
      <v>123.54124</v>
    </nc>
  </rcc>
  <rcc rId="38131" sId="16" numFmtId="4">
    <oc r="D11">
      <v>-12.684900000000001</v>
    </oc>
    <nc r="D11">
      <v>-17.964469999999999</v>
    </nc>
  </rcc>
  <rcc rId="38132" sId="16" numFmtId="4">
    <oc r="D13">
      <v>9.3018000000000001</v>
    </oc>
    <nc r="D13">
      <v>13.89498</v>
    </nc>
  </rcc>
  <rcc rId="38133" sId="16" numFmtId="4">
    <oc r="D15">
      <v>9.0194899999999993</v>
    </oc>
    <nc r="D15">
      <v>7.1509600000000004</v>
    </nc>
  </rcc>
  <rcc rId="38134" sId="16" numFmtId="4">
    <oc r="D16">
      <v>264.17435</v>
    </oc>
    <nc r="D16">
      <v>364.27924000000002</v>
    </nc>
  </rcc>
  <rcc rId="38135" sId="16" numFmtId="4">
    <oc r="D18">
      <v>3</v>
    </oc>
    <nc r="D18">
      <v>5.2</v>
    </nc>
  </rcc>
  <rcc rId="38136" sId="16" numFmtId="4">
    <oc r="D27">
      <v>4.4740000000000002</v>
    </oc>
    <nc r="D27">
      <v>82.555300000000003</v>
    </nc>
  </rcc>
  <rcc rId="38137" sId="16" numFmtId="4">
    <oc r="D28">
      <v>26.934249999999999</v>
    </oc>
    <nc r="D28">
      <v>29.859000000000002</v>
    </nc>
  </rcc>
  <rcc rId="38138" sId="16">
    <oc r="B32" t="inlineStr">
      <is>
        <t xml:space="preserve">  Доходы от реализации имущества</t>
      </is>
    </oc>
    <nc r="B32" t="inlineStr">
      <is>
        <t>Доходы от реализации имущества</t>
      </is>
    </nc>
  </rcc>
  <rcc rId="38139" sId="16" numFmtId="4">
    <oc r="D30">
      <v>18.606909999999999</v>
    </oc>
    <nc r="D30">
      <v>40.147739999999999</v>
    </nc>
  </rcc>
  <rcc rId="38140" sId="16" numFmtId="4">
    <oc r="D41">
      <v>191.94900000000001</v>
    </oc>
    <nc r="D41">
      <v>255.93199999999999</v>
    </nc>
  </rcc>
  <rcc rId="38141" sId="16" numFmtId="4">
    <oc r="D43">
      <v>202.62200000000001</v>
    </oc>
    <nc r="D43">
      <v>274.05399999999997</v>
    </nc>
  </rcc>
  <rcc rId="38142" sId="16" numFmtId="4">
    <oc r="D44">
      <v>22.251000000000001</v>
    </oc>
    <nc r="D44">
      <v>29.776</v>
    </nc>
  </rcc>
  <rfmt sheetId="16" sqref="C50:D50">
    <dxf>
      <numFmt numFmtId="4" formatCode="#,##0.00"/>
    </dxf>
  </rfmt>
  <rfmt sheetId="16" sqref="C50:D50">
    <dxf>
      <numFmt numFmtId="173" formatCode="#,##0.000"/>
    </dxf>
  </rfmt>
  <rfmt sheetId="16" sqref="C50:D50">
    <dxf>
      <numFmt numFmtId="183" formatCode="#,##0.0000"/>
    </dxf>
  </rfmt>
  <rfmt sheetId="16" sqref="C50:D50">
    <dxf>
      <numFmt numFmtId="172" formatCode="#,##0.00000"/>
    </dxf>
  </rfmt>
  <rcc rId="38143" sId="16">
    <oc r="H50">
      <f>923.19873-D50</f>
    </oc>
    <nc r="H50"/>
  </rcc>
  <rcc rId="38144" sId="16" numFmtId="34">
    <oc r="D57">
      <v>279.42099000000002</v>
    </oc>
    <nc r="D57">
      <v>445.50274999999999</v>
    </nc>
  </rcc>
  <rcc rId="38145" sId="16" numFmtId="34">
    <oc r="D64">
      <v>16.686579999999999</v>
    </oc>
    <nc r="D64">
      <v>29.509599999999999</v>
    </nc>
  </rcc>
  <rcc rId="38146" sId="16" numFmtId="34">
    <oc r="D69">
      <v>1.5</v>
    </oc>
    <nc r="D69">
      <v>3.6</v>
    </nc>
  </rcc>
  <rcc rId="38147" sId="16" numFmtId="34">
    <oc r="D73">
      <v>41.77102</v>
    </oc>
    <nc r="D73">
      <v>65.005740000000003</v>
    </nc>
  </rcc>
  <rcc rId="38148" sId="16" numFmtId="34">
    <oc r="D75">
      <v>0</v>
    </oc>
    <nc r="D75">
      <v>18.302</v>
    </nc>
  </rcc>
  <rcc rId="38149" sId="16" numFmtId="34">
    <oc r="D79">
      <v>17.763729999999999</v>
    </oc>
    <nc r="D79">
      <v>45.409759999999999</v>
    </nc>
  </rcc>
  <rcc rId="38150" sId="16" numFmtId="34">
    <oc r="D81">
      <v>255.77699999999999</v>
    </oc>
    <nc r="D81">
      <v>341.39</v>
    </nc>
  </rcc>
  <rcc rId="38151" sId="16">
    <oc r="H97">
      <f>895.88732-D97</f>
    </oc>
    <nc r="H97">
      <f>D97-1303.11985</f>
    </nc>
  </rcc>
  <rcc rId="38152" sId="16" numFmtId="34">
    <oc r="D74">
      <v>270.99299999999999</v>
    </oc>
    <nc r="D74">
      <v>342.42500000000001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Юнг!$19:$24,Юнг!$38:$38,Юнг!$45:$49,Юнг!$56:$56,Юнг!$58:$60,Юнг!$66:$67,Юнг!$77:$78,Юнг!$82:$86,Юнг!$89:$96,Юнг!$142:$142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Яра!$19:$24,Яра!$46:$46,Яра!$48:$51,Яра!$58:$58,Яра!$60:$62,Яра!$68:$69,Яра!$79:$80,Яра!$84:$88,Яра!$91:$98,Яра!$143:$143</formula>
    <oldFormula>Яра!$19:$24,Яра!$46:$46,Яра!$48:$51,Яра!$58:$58,Яра!$60:$62,Яра!$68:$69,Яра!$79:$80,Яра!$84:$88,Яра!$91:$98,Яра!$143:$143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Яро!$19:$24,Яро!$28:$28,Яро!$34:$36,Яро!$43:$43,Яро!$46:$47,Яро!$54:$54,Яро!$56:$58,Яро!$64:$65,Яро!$75:$75,Яро!$80:$84,Яро!$87:$90,Яро!$92:$94</formula>
    <oldFormula>Яро!$19:$24,Яро!$28:$28,Яро!$34:$36,Яро!$43:$43,Яро!$46:$47,Яро!$54:$54,Яро!$56:$58,Яро!$64:$65,Яро!$75:$75,Яро!$80:$84,Яро!$87:$90,Яро!$92:$94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81.xml><?xml version="1.0" encoding="utf-8"?>
<revisions xmlns="http://schemas.openxmlformats.org/spreadsheetml/2006/main" xmlns:r="http://schemas.openxmlformats.org/officeDocument/2006/relationships">
  <rcc rId="35620" sId="11">
    <oc r="A1" t="inlineStr">
      <is>
        <t xml:space="preserve">                     Анализ исполнения бюджета Сятракасинского сельского поселения на 01.03.2019 г.</t>
      </is>
    </oc>
    <nc r="A1" t="inlineStr">
      <is>
        <t xml:space="preserve">                     Анализ исполнения бюджета Сятракасинского сельского поселения на 01.04.2019 г.</t>
      </is>
    </nc>
  </rcc>
  <rcc rId="35621" sId="11">
    <oc r="D3" t="inlineStr">
      <is>
        <t>исполнен на 01.03.2019 г.</t>
      </is>
    </oc>
    <nc r="D3" t="inlineStr">
      <is>
        <t>исполнен на 01.04.2019 г.</t>
      </is>
    </nc>
  </rcc>
  <rcc rId="35622" sId="11">
    <oc r="D54" t="inlineStr">
      <is>
        <t>исполнено на 01.03.2019 г.</t>
      </is>
    </oc>
    <nc r="D54" t="inlineStr">
      <is>
        <t>исполнено на 01.04.2019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PrintArea" hidden="1" oldHidden="1">
    <formula>Шать!$A$1:$F$101</formula>
    <oldFormula>Шать!$A$1:$F$101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Юнг!$19:$24,Юнг!$38:$38,Юнг!$45:$49,Юнг!$56:$56,Юнг!$58:$60,Юнг!$66:$67,Юнг!$77:$78,Юнг!$82:$86,Юнг!$89:$96,Юнг!$142:$142</formula>
    <oldFormula>Юнг!$19:$24,Юнг!$38:$38,Юнг!$45:$49,Юнг!$56:$56,Юнг!$58:$60,Юнг!$66:$67,Юнг!$77:$78,Юнг!$82:$86,Юнг!$89:$96,Юнг!$142:$142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Яра!$19:$24,Яра!$46:$46,Яра!$48:$51,Яра!$58:$58,Яра!$60:$62,Яра!$68:$69,Яра!$79:$80,Яра!$84:$88,Яра!$91:$98,Яра!$143:$143</formula>
    <oldFormula>Яра!$19:$24,Яра!$46:$46,Яра!$48:$51,Яра!$58:$58,Яра!$60:$62,Яра!$68:$69,Яра!$79:$80,Яра!$84:$88,Яра!$91:$98,Яра!$143:$143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Яро!$19:$24,Яро!$28:$28,Яро!$34:$36,Яро!$43:$43,Яро!$46:$47,Яро!$54:$54,Яро!$56:$58,Яро!$64:$65,Яро!$75:$75,Яро!$80:$84,Яро!$87:$90,Яро!$92:$94</formula>
    <oldFormula>Яро!$19:$24,Яро!$28:$28,Яро!$34:$36,Яро!$43:$43,Яро!$46:$47,Яро!$54:$54,Яро!$56:$58,Яро!$64:$65,Яро!$75:$75,Яро!$80:$84,Яро!$87:$90,Яро!$92:$94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191.xml><?xml version="1.0" encoding="utf-8"?>
<revisions xmlns="http://schemas.openxmlformats.org/spreadsheetml/2006/main" xmlns:r="http://schemas.openxmlformats.org/officeDocument/2006/relationships">
  <rcc rId="37261" sId="3">
    <oc r="A2" t="inlineStr">
      <is>
        <t xml:space="preserve">                          Моргаушского района на 01.03.2019 г. </t>
      </is>
    </oc>
    <nc r="A2" t="inlineStr">
      <is>
        <t xml:space="preserve">                          Моргаушского района на 01.04.2019 г. </t>
      </is>
    </nc>
  </rcc>
  <rcc rId="37262" sId="3">
    <oc r="D3" t="inlineStr">
      <is>
        <t>исполнено на 01.03.2019 г.</t>
      </is>
    </oc>
    <nc r="D3" t="inlineStr">
      <is>
        <t>исполнено на 01.04.2019 г.</t>
      </is>
    </nc>
  </rcc>
  <rcc rId="37263" sId="3">
    <oc r="D86" t="inlineStr">
      <is>
        <t xml:space="preserve">исполнено на 01.03.2019 г. </t>
      </is>
    </oc>
    <nc r="D86" t="inlineStr">
      <is>
        <t xml:space="preserve">исполнено на 01.04.2019 г. </t>
      </is>
    </nc>
  </rcc>
  <rcc rId="37264" sId="3" numFmtId="4">
    <oc r="D6">
      <v>15114.433499999999</v>
    </oc>
    <nc r="D6">
      <v>24203.88337</v>
    </nc>
  </rcc>
  <rcc rId="37265" sId="3" numFmtId="4">
    <oc r="D8">
      <v>396.27823000000001</v>
    </oc>
    <nc r="D8">
      <v>566.18907999999999</v>
    </nc>
  </rcc>
  <rcc rId="37266" sId="3" numFmtId="4">
    <oc r="D9">
      <v>2.6888700000000001</v>
    </oc>
    <nc r="D9">
      <v>3.9559700000000002</v>
    </nc>
  </rcc>
  <rcc rId="37267" sId="3" numFmtId="4">
    <oc r="D10">
      <v>582.05391999999995</v>
    </oc>
    <nc r="D10">
      <v>830.15002000000004</v>
    </nc>
  </rcc>
  <rcc rId="37268" sId="3" numFmtId="4">
    <oc r="D11">
      <v>-86.332329999999999</v>
    </oc>
    <nc r="D11">
      <v>-111.43031000000001</v>
    </nc>
  </rcc>
  <rcc rId="37269" sId="3" numFmtId="4">
    <oc r="D13">
      <v>2371.3861299999999</v>
    </oc>
    <nc r="D13">
      <v>2528.6048000000001</v>
    </nc>
  </rcc>
  <rcc rId="37270" sId="3" numFmtId="4">
    <oc r="D14">
      <v>53.40316</v>
    </oc>
    <nc r="D14">
      <v>612.88738000000001</v>
    </nc>
  </rcc>
  <rcc rId="37271" sId="3" numFmtId="4">
    <oc r="D19">
      <v>147.60910999999999</v>
    </oc>
    <nc r="D19">
      <v>209.37182999999999</v>
    </nc>
  </rcc>
  <rcc rId="37272" sId="3" numFmtId="4">
    <oc r="D22">
      <v>12.452159999999999</v>
    </oc>
    <nc r="D22">
      <v>355.36275999999998</v>
    </nc>
  </rcc>
  <rcc rId="37273" sId="3" numFmtId="4">
    <oc r="D24">
      <v>260.50499000000002</v>
    </oc>
    <nc r="D24">
      <v>422.17077</v>
    </nc>
  </rcc>
  <rcc rId="37274" sId="3" numFmtId="4">
    <oc r="D25">
      <v>2.25</v>
    </oc>
    <nc r="D25">
      <v>2.75</v>
    </nc>
  </rcc>
  <rcc rId="37275" sId="3" numFmtId="4">
    <oc r="D26">
      <v>105.49683</v>
    </oc>
    <nc r="D26">
      <v>168.68</v>
    </nc>
  </rcc>
  <rcc rId="37276" sId="3" numFmtId="4">
    <oc r="D34">
      <v>0</v>
    </oc>
    <nc r="D34">
      <v>23.658000000000001</v>
    </nc>
  </rcc>
  <rcc rId="37277" sId="3" numFmtId="4">
    <oc r="D36">
      <v>2185.81927</v>
    </oc>
    <nc r="D36">
      <v>2869.57602</v>
    </nc>
  </rcc>
  <rcc rId="37278" sId="3" numFmtId="4">
    <oc r="D37">
      <v>44.519219999999997</v>
    </oc>
    <nc r="D37">
      <v>75.224419999999995</v>
    </nc>
  </rcc>
  <rcc rId="37279" sId="3" numFmtId="4">
    <oc r="D39">
      <v>0</v>
    </oc>
    <nc r="D39">
      <v>26.303000000000001</v>
    </nc>
  </rcc>
  <rcc rId="37280" sId="3" numFmtId="4">
    <oc r="D41">
      <v>60.484180000000002</v>
    </oc>
    <nc r="D41">
      <v>92.718530000000001</v>
    </nc>
  </rcc>
  <rcc rId="37281" sId="3" numFmtId="4">
    <oc r="D43">
      <v>236.94937999999999</v>
    </oc>
    <nc r="D43">
      <v>255.98585</v>
    </nc>
  </rcc>
  <rcc rId="37282" sId="3" numFmtId="4">
    <oc r="D45">
      <v>13.960789999999999</v>
    </oc>
    <nc r="D45">
      <v>1.2607900000000001</v>
    </nc>
  </rcc>
  <rcc rId="37283" sId="3" numFmtId="4">
    <oc r="D49">
      <v>143.24653000000001</v>
    </oc>
    <nc r="D49">
      <v>444.35536000000002</v>
    </nc>
  </rcc>
  <rcc rId="37284" sId="3" numFmtId="4">
    <oc r="D53">
      <v>2.625</v>
    </oc>
    <nc r="D53">
      <v>2.85</v>
    </nc>
  </rcc>
  <rcc rId="37285" sId="3" numFmtId="4">
    <oc r="D54">
      <v>2.125</v>
    </oc>
    <nc r="D54">
      <v>3.4750000000000001</v>
    </nc>
  </rcc>
  <rcc rId="37286" sId="3" numFmtId="4">
    <oc r="D58">
      <v>38.500999999999998</v>
    </oc>
    <nc r="D58">
      <v>98.427080000000004</v>
    </nc>
  </rcc>
  <rcc rId="37287" sId="3" numFmtId="4">
    <oc r="D61">
      <v>39.926499999999997</v>
    </oc>
    <nc r="D61">
      <v>54.926499999999997</v>
    </nc>
  </rcc>
  <rcc rId="37288" sId="3" numFmtId="4">
    <oc r="D63">
      <v>29.631270000000001</v>
    </oc>
    <nc r="D63">
      <v>48.141959999999997</v>
    </nc>
  </rcc>
  <rcc rId="37289" sId="3" numFmtId="4">
    <oc r="D64">
      <v>102.5</v>
    </oc>
    <nc r="D64">
      <v>122.5</v>
    </nc>
  </rcc>
  <rcc rId="37290" sId="3" numFmtId="4">
    <oc r="D65">
      <v>34.531500000000001</v>
    </oc>
    <nc r="D65">
      <v>54.716540000000002</v>
    </nc>
  </rcc>
  <rcc rId="37291" sId="3" numFmtId="4">
    <oc r="D68">
      <v>517.73716999999999</v>
    </oc>
    <nc r="D68">
      <v>659.56470999999999</v>
    </nc>
  </rcc>
  <rcc rId="37292" sId="3" numFmtId="4">
    <oc r="D70">
      <v>0</v>
    </oc>
    <nc r="D70"/>
  </rcc>
  <rcc rId="37293" sId="3" numFmtId="4">
    <oc r="D74">
      <v>321.8</v>
    </oc>
    <nc r="D74">
      <v>482.7</v>
    </nc>
  </rcc>
  <rcc rId="37294" sId="3" numFmtId="4">
    <oc r="D76">
      <v>1684</v>
    </oc>
    <nc r="D76">
      <v>2526</v>
    </nc>
  </rcc>
  <rcc rId="37295" sId="3" numFmtId="4">
    <oc r="C74">
      <v>1931.2</v>
    </oc>
    <nc r="C74">
      <v>27513.7</v>
    </nc>
  </rcc>
  <rcc rId="37296" sId="3" numFmtId="4">
    <oc r="C77">
      <v>214265.87028999999</v>
    </oc>
    <nc r="C77">
      <v>231559.77531</v>
    </nc>
  </rcc>
  <rcc rId="37297" sId="3" numFmtId="4">
    <oc r="D77">
      <v>0</v>
    </oc>
    <nc r="D77">
      <v>9741.7759999999998</v>
    </nc>
  </rcc>
  <rcc rId="37298" sId="3" numFmtId="4">
    <oc r="D78">
      <v>54071.682079999999</v>
    </oc>
    <nc r="D78">
      <v>81572.485430000001</v>
    </nc>
  </rcc>
  <rcc rId="37299" sId="3" numFmtId="4">
    <oc r="D79">
      <v>3397.2840000000001</v>
    </oc>
    <nc r="D79">
      <v>5138.9260000000004</v>
    </nc>
  </rcc>
  <rcc rId="37300" sId="3" numFmtId="4">
    <oc r="C81">
      <v>0</v>
    </oc>
    <nc r="C81">
      <v>-29040.5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Справка!$33:$33,Справка!$34:$34</formula>
    <oldFormula>Справка!$33:$33,Справка!$34:$34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1911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Rows" hidden="1" oldHidden="1">
    <formula>Справка!$33:$33,Справка!$34:$34</formula>
    <oldFormula>Справка!$33:$33,Справка!$34:$34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B31C8DB7_3E78_4144_A6B5_8DE36DE63F0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91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Сун!$A$1:$F$103</formula>
    <oldFormula>Сун!$A$1:$F$103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Мор!$A$1:$F$100</formula>
    <oldFormula>Мор!$A$1:$F$100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61528DAC_5C4C_48F4_ADE2_8A724B05A086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2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Rows" hidden="1" oldHidden="1">
    <formula>Справка!$33:$33,Справка!$35:$35</formula>
    <oldFormula>Справка!$33:$33,Справка!$35:$35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B31C8DB7_3E78_4144_A6B5_8DE36DE63F0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92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211.xml><?xml version="1.0" encoding="utf-8"?>
<revisions xmlns="http://schemas.openxmlformats.org/spreadsheetml/2006/main" xmlns:r="http://schemas.openxmlformats.org/officeDocument/2006/relationships">
  <rcc rId="35977" sId="6">
    <oc r="D55" t="inlineStr">
      <is>
        <t>исполнено на 01.03.2019 г.</t>
      </is>
    </oc>
    <nc r="D55" t="inlineStr">
      <is>
        <t>исполнено на 01.04.2019 г.</t>
      </is>
    </nc>
  </rcc>
  <rcc rId="35978" sId="6">
    <oc r="D3" t="inlineStr">
      <is>
        <t>исполнен на 01.03.2019 г.</t>
      </is>
    </oc>
    <nc r="D3" t="inlineStr">
      <is>
        <t>исполнен на 01.04.2019 г.</t>
      </is>
    </nc>
  </rcc>
  <rcc rId="35979" sId="7">
    <oc r="D3" t="inlineStr">
      <is>
        <t>исполнен на 01.03.2019 г.</t>
      </is>
    </oc>
    <nc r="D3" t="inlineStr">
      <is>
        <t>исполнен на 01.04.2019 г.</t>
      </is>
    </nc>
  </rcc>
  <rcc rId="35980" sId="7">
    <oc r="D53" t="inlineStr">
      <is>
        <t>исполнено на 01.03.2019 г.</t>
      </is>
    </oc>
    <nc r="D53" t="inlineStr">
      <is>
        <t>исполнено на 01.04.2019 г.</t>
      </is>
    </nc>
  </rcc>
  <rcc rId="35981" sId="7">
    <oc r="A1" t="inlineStr">
      <is>
        <t xml:space="preserve">                     Анализ исполнения бюджета Кадикасинского сельского поселения на 01.03.2019 г.</t>
      </is>
    </oc>
    <nc r="A1" t="inlineStr">
      <is>
        <t xml:space="preserve">                     Анализ исполнения бюджета Кадикасинского сельского поселения на 01.04.2019 г.</t>
      </is>
    </nc>
  </rcc>
  <rcc rId="35982" sId="7" numFmtId="34">
    <oc r="D6">
      <v>56.014209999999999</v>
    </oc>
    <nc r="D6">
      <v>90.983590000000007</v>
    </nc>
  </rcc>
  <rcc rId="35983" sId="7" numFmtId="34">
    <oc r="D8">
      <v>64.555580000000006</v>
    </oc>
    <nc r="D8">
      <v>92.234920000000002</v>
    </nc>
  </rcc>
  <rcc rId="35984" sId="7" numFmtId="34">
    <oc r="D9">
      <v>0.43802999999999997</v>
    </oc>
    <nc r="D9">
      <v>0.64444999999999997</v>
    </nc>
  </rcc>
  <rcc rId="35985" sId="7" numFmtId="34">
    <oc r="D10">
      <v>94.819379999999995</v>
    </oc>
    <nc r="D10">
      <v>135.23543000000001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Rows" hidden="1" oldHidden="1">
    <formula>Справка!$33:$33,Справка!$35:$35</formula>
    <oldFormula>Справка!$33:$33,Справка!$35:$35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B31C8DB7_3E78_4144_A6B5_8DE36DE63F0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Сун!$A$1:$F$103</formula>
    <oldFormula>Сун!$A$1:$F$103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61528DAC_5C4C_48F4_ADE2_8A724B05A086_.wvu.PrintArea" hidden="1" oldHidden="1">
    <formula>Мор!$A$1:$F$100</formula>
    <oldFormula>Мор!$A$1:$F$100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61528DAC_5C4C_48F4_ADE2_8A724B05A086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61528DAC_5C4C_48F4_ADE2_8A724B05A086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61528DAC_5C4C_48F4_ADE2_8A724B05A086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61528DAC_5C4C_48F4_ADE2_8A724B05A086_.wvu.PrintArea" hidden="1" oldHidden="1">
    <formula>Юнг!$A$1:$F$99</formula>
    <oldFormula>Юнг!$A$1:$F$99</oldFormula>
  </rdn>
  <rdn rId="0" localSheetId="16" customView="1" name="Z_61528DAC_5C4C_48F4_ADE2_8A724B05A086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01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Rows" hidden="1" oldHidden="1">
    <formula>Справка!$33:$33,Справка!$35:$35</formula>
    <oldFormula>Справка!$33:$33,Справка!$35:$35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B31C8DB7_3E78_4144_A6B5_8DE36DE63F0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011.xml><?xml version="1.0" encoding="utf-8"?>
<revisions xmlns="http://schemas.openxmlformats.org/spreadsheetml/2006/main" xmlns:r="http://schemas.openxmlformats.org/officeDocument/2006/relationships"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20111.xml><?xml version="1.0" encoding="utf-8"?>
<revisions xmlns="http://schemas.openxmlformats.org/spreadsheetml/2006/main" xmlns:r="http://schemas.openxmlformats.org/officeDocument/2006/relationships">
  <rcc rId="31429" sId="19" numFmtId="4">
    <oc r="C33">
      <v>2009.7787900000001</v>
    </oc>
    <nc r="C33">
      <v>175.22727</v>
    </nc>
  </rcc>
  <rcc rId="31430" sId="19" numFmtId="4">
    <oc r="D39">
      <v>45.892000000000003</v>
    </oc>
    <nc r="D39">
      <v>91.784000000000006</v>
    </nc>
  </rcc>
  <rcc rId="31431" sId="19" numFmtId="4">
    <oc r="C40">
      <v>1550</v>
    </oc>
    <nc r="C40">
      <v>3500</v>
    </nc>
  </rcc>
  <rcc rId="31432" sId="19" numFmtId="4">
    <oc r="C41">
      <v>4512.58</v>
    </oc>
    <nc r="C41">
      <v>4871.8450000000003</v>
    </nc>
  </rcc>
  <rcc rId="31433" sId="19" numFmtId="4">
    <oc r="C42">
      <v>92.048000000000002</v>
    </oc>
    <nc r="C42">
      <v>93.018000000000001</v>
    </nc>
  </rcc>
  <rcc rId="31434" sId="19" numFmtId="4">
    <oc r="D42">
      <v>7.4180000000000001</v>
    </oc>
    <nc r="D42">
      <v>14.836</v>
    </nc>
  </rcc>
  <rcc rId="31435" sId="19" numFmtId="4">
    <oc r="C45">
      <v>0</v>
    </oc>
    <nc r="C45">
      <v>240.48367999999999</v>
    </nc>
  </rcc>
  <rcc rId="31436" sId="19" numFmtId="4">
    <oc r="D45">
      <v>0</v>
    </oc>
    <nc r="D45">
      <v>240.48367999999999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Яро!$19:$24,Яро!$28:$30,Яро!$43:$43,Яро!$54:$54,Яро!$56:$58,Яро!$64:$65,Яро!$74:$74,Яро!$81:$83,Яро!$86:$89,Яро!$91:$93</formula>
    <oldFormula>Яро!$19:$24,Яро!$28:$30,Яро!$43:$43,Яро!$54:$54,Яро!$56:$58,Яро!$64:$65,Яро!$74:$74,Яро!$81:$83,Яро!$86:$89,Яро!$91:$93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Тор!$19:$24,Тор!$32:$39,Тор!$46:$47,Тор!$49:$50,Тор!$57:$57,Тор!$59:$60,Тор!$67:$68,Тор!$75:$75,Тор!$79:$80,Тор!$84:$96</formula>
    <oldFormula>Тор!$19:$24,Тор!$32:$39,Тор!$46:$47,Тор!$49:$50,Тор!$57:$57,Тор!$59:$60,Тор!$67:$68,Тор!$75:$75,Тор!$79:$80,Тор!$84:$96</oldFormula>
  </rdn>
  <rdn rId="0" localSheetId="13" customView="1" name="Z_1A52382B_3765_4E8C_903F_6B8919B7242E_.wvu.PrintArea" hidden="1" oldHidden="1">
    <formula>Хор!$A$1:$F$99</formula>
    <oldFormula>Хор!$A$1:$F$99</oldFormula>
  </rdn>
  <rdn rId="0" localSheetId="13" customView="1" name="Z_1A52382B_3765_4E8C_903F_6B8919B7242E_.wvu.Rows" hidden="1" oldHidden="1">
    <formula>Хор!$19:$24,Хор!$28:$36,Хор!$40:$40,Хор!$46:$48,Хор!$55:$55,Хор!$57:$59,Хор!$65:$66,Хор!$72:$72,Хор!$76:$77,Хор!$81:$85,Хор!$88:$95</formula>
    <oldFormula>Хор!$19:$24,Хор!$28:$36,Хор!$40:$40,Хор!$46:$48,Хор!$55:$55,Хор!$57:$59,Хор!$65:$66,Хор!$72:$72,Хор!$76:$77,Хор!$81:$85,Хор!$88:$95</oldFormula>
  </rdn>
  <rdn rId="0" localSheetId="14" customView="1" name="Z_1A52382B_3765_4E8C_903F_6B8919B7242E_.wvu.PrintArea" hidden="1" oldHidden="1">
    <formula>Чум!$A$1:$F$101</formula>
    <oldFormula>Чум!$A$1:$F$101</oldFormula>
  </rdn>
  <rdn rId="0" localSheetId="14" customView="1" name="Z_1A52382B_3765_4E8C_903F_6B8919B7242E_.wvu.Rows" hidden="1" oldHidden="1">
    <formula>Чум!$19:$21,Чум!$23:$24,Чум!$28:$28,Чум!$31:$39,Чум!$47:$49,Чум!$57:$57,Чум!$59:$60,Чум!$67:$68,Чум!$78:$79,Чум!$83:$87,Чум!$90:$97</formula>
    <oldFormula>Чум!$19:$21,Чум!$23:$24,Чум!$28:$28,Чум!$31:$39,Чум!$47:$49,Чум!$57:$57,Чум!$59:$60,Чум!$67:$68,Чум!$78:$79,Чум!$83:$87,Чум!$90:$97</oldFormula>
  </rdn>
  <rdn rId="0" localSheetId="15" customView="1" name="Z_1A52382B_3765_4E8C_903F_6B8919B7242E_.wvu.PrintArea" hidden="1" oldHidden="1">
    <formula>Шать!$A$1:$F$101</formula>
    <oldFormula>Шать!$A$1:$F$101</oldFormula>
  </rdn>
  <rdn rId="0" localSheetId="15" customView="1" name="Z_1A52382B_3765_4E8C_903F_6B8919B7242E_.wvu.Rows" hidden="1" oldHidden="1">
    <formula>Шать!$19:$24,Шать!$31:$39,Шать!$46:$49,Шать!$57:$57,Шать!$59:$60,Шать!$67:$68,Шать!$78:$79,Шать!$83:$87,Шать!$90:$97</formula>
    <oldFormula>Шать!$19:$24,Шать!$31:$39,Шать!$46:$49,Шать!$57:$57,Шать!$59:$60,Шать!$67:$68,Шать!$78:$79,Шать!$83:$87,Шать!$90:$97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Юнг!$19:$24,Юнг!$31:$38,Юнг!$45:$49,Юнг!$56:$56,Юнг!$58:$59,Юнг!$66:$67,Юнг!$77:$77,Юнг!$82:$86,Юнг!$89:$96</formula>
    <oldFormula>Юнг!$19:$24,Юнг!$31:$38,Юнг!$45:$49,Юнг!$56:$56,Юнг!$58:$59,Юнг!$66:$67,Юнг!$77:$77,Юнг!$82:$86,Юнг!$89:$96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Юсь!$20:$24,Юсь!$36:$36,Юсь!$40:$40,Юсь!$44:$49,Юсь!$58:$58,Юсь!$60:$61,Юсь!$68:$69,Юсь!$79:$80,Юсь!$84:$88,Юсь!$91:$98</formula>
    <oldFormula>Юсь!$20:$24,Юсь!$36:$36,Юсь!$40:$40,Юсь!$44:$49,Юсь!$58:$58,Юсь!$60:$61,Юсь!$68:$69,Юсь!$79:$80,Юсь!$84:$88,Юсь!$91:$98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Яра!$19:$24,Яра!$46:$46,Яра!$48:$51,Яра!$58:$58,Яра!$60:$61,Яра!$68:$69,Яра!$79:$80,Яра!$84:$88,Яра!$91:$98</formula>
    <oldFormula>Яра!$19:$24,Яра!$46:$46,Яра!$48:$51,Яра!$58:$58,Яра!$60:$61,Яра!$68:$69,Яра!$79:$80,Яра!$84:$88,Яра!$91:$98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35558" sId="11" numFmtId="4">
    <oc r="C43">
      <v>1385.9690000000001</v>
    </oc>
    <nc r="C43">
      <v>2060.44</v>
    </nc>
  </rcc>
  <rcc rId="35559" sId="11" numFmtId="4">
    <oc r="C49">
      <v>224.8</v>
    </oc>
    <nc r="C49">
      <v>224.82400000000001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cc rId="31613" sId="19">
    <oc r="D26">
      <f>D27+D28+D30</f>
    </oc>
    <nc r="D26">
      <f>D27</f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Яро!$19:$24,Яро!$28:$28,Яро!$43:$43,Яро!$54:$54,Яро!$56:$58,Яро!$64:$65,Яро!$74:$74,Яро!$81:$83,Яро!$86:$89,Яро!$91:$93</formula>
    <oldFormula>Яро!$19:$24,Яро!$28:$28,Яро!$43:$43,Яро!$54:$54,Яро!$56:$58,Яро!$64:$65,Яро!$74:$74,Яро!$81:$83,Яро!$86:$89,Яро!$91:$93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11111.xml><?xml version="1.0" encoding="utf-8"?>
<revisions xmlns="http://schemas.openxmlformats.org/spreadsheetml/2006/main" xmlns:r="http://schemas.openxmlformats.org/officeDocument/2006/relationships">
  <rcc rId="31251" sId="19">
    <oc r="A1" t="inlineStr">
      <is>
        <t xml:space="preserve">                     Анализ исполнения бюджета Ярославского сельского поселения на 01.02.2019 г.</t>
      </is>
    </oc>
    <nc r="A1" t="inlineStr">
      <is>
        <t xml:space="preserve">                     Анализ исполнения бюджета Ярославского сельского поселения на 01.03.2019 г.</t>
      </is>
    </nc>
  </rcc>
  <rcc rId="31252" sId="19">
    <oc r="D3" t="inlineStr">
      <is>
        <t>исполнен на 01.02.2019 г.</t>
      </is>
    </oc>
    <nc r="D3" t="inlineStr">
      <is>
        <t>исполнен на 01.03.2019 г.</t>
      </is>
    </nc>
  </rcc>
  <rcc rId="31253" sId="19">
    <oc r="D51" t="inlineStr">
      <is>
        <t>исполнено на 01.02.2019 г.</t>
      </is>
    </oc>
    <nc r="D51" t="inlineStr">
      <is>
        <t>исполнено на 01.03.2019 г.</t>
      </is>
    </nc>
  </rcc>
  <rcc rId="31254" sId="1">
    <oc r="A1" t="inlineStr">
      <is>
        <t>Анализ исполнения консолидированного бюджета Моргаушского районана 01.02.2019 г.</t>
      </is>
    </oc>
    <nc r="A1" t="inlineStr">
      <is>
        <t>Анализ исполнения консолидированного бюджета Моргаушского районана 01.03.2019 г.</t>
      </is>
    </nc>
  </rcc>
  <rcc rId="31255" sId="1">
    <oc r="D3" t="inlineStr">
      <is>
        <t>исполнено на 01.02.2019 г.</t>
      </is>
    </oc>
    <nc r="D3" t="inlineStr">
      <is>
        <t>исполнено на 01.03.2019 г.</t>
      </is>
    </nc>
  </rcc>
  <rcc rId="31256" sId="1">
    <oc r="G3" t="inlineStr">
      <is>
        <t>исполнено на 01.02.2019 г.</t>
      </is>
    </oc>
    <nc r="G3" t="inlineStr">
      <is>
        <t>исполнено на 01.03.2019 г.</t>
      </is>
    </nc>
  </rcc>
  <rcc rId="31257" sId="1">
    <oc r="J3" t="inlineStr">
      <is>
        <t>исполнено на 01.02.2019 г.</t>
      </is>
    </oc>
    <nc r="J3" t="inlineStr">
      <is>
        <t>исполнено на 01.03.2019 г.</t>
      </is>
    </nc>
  </rcc>
  <rcc rId="31258" sId="3">
    <oc r="A2" t="inlineStr">
      <is>
        <t xml:space="preserve">                          Моргаушского района на 01.02.2019 г. </t>
      </is>
    </oc>
    <nc r="A2" t="inlineStr">
      <is>
        <t xml:space="preserve">                          Моргаушского района на 01.03.2019 г. </t>
      </is>
    </nc>
  </rcc>
  <rcc rId="31259" sId="3">
    <oc r="D3" t="inlineStr">
      <is>
        <t>исполнено на 01.02.2019 г.</t>
      </is>
    </oc>
    <nc r="D3" t="inlineStr">
      <is>
        <t>исполнено на 01.03.2019 г.</t>
      </is>
    </nc>
  </rcc>
  <rcc rId="31260" sId="3">
    <oc r="D86" t="inlineStr">
      <is>
        <t xml:space="preserve">исполнено на 01.02.2019 г. </t>
      </is>
    </oc>
    <nc r="D86" t="inlineStr">
      <is>
        <t xml:space="preserve">исполнено на 01.03.2019 г. </t>
      </is>
    </nc>
  </rcc>
  <rcc rId="31261" sId="4">
    <oc r="A1" t="inlineStr">
      <is>
        <t xml:space="preserve">                     Анализ исполнения бюджета Александровского сельского поселения на 01.02.2019 г.</t>
      </is>
    </oc>
    <nc r="A1" t="inlineStr">
      <is>
        <t xml:space="preserve">                     Анализ исполнения бюджета Александровского сельского поселения на 01.03.2019 г.</t>
      </is>
    </nc>
  </rcc>
  <rcc rId="31262" sId="4">
    <oc r="D3" t="inlineStr">
      <is>
        <t>исполнен на 01.02.2019 г.</t>
      </is>
    </oc>
    <nc r="D3" t="inlineStr">
      <is>
        <t>исполнен на 01.03.2019 г.</t>
      </is>
    </nc>
  </rcc>
  <rcc rId="31263" sId="4">
    <oc r="D50" t="inlineStr">
      <is>
        <t>исполнено на 01.02.2019 г.</t>
      </is>
    </oc>
    <nc r="D50" t="inlineStr">
      <is>
        <t>исполнено на 01.03.2019 г.</t>
      </is>
    </nc>
  </rcc>
  <rcc rId="31264" sId="5">
    <oc r="A1" t="inlineStr">
      <is>
        <t xml:space="preserve">                     Анализ исполнения бюджета Большесундырского сельского поселения на 01.02.2019 г.</t>
      </is>
    </oc>
    <nc r="A1" t="inlineStr">
      <is>
        <t xml:space="preserve">                     Анализ исполнения бюджета Большесундырского сельского поселения на 01.03.2019 г.</t>
      </is>
    </nc>
  </rcc>
  <rcc rId="31265" sId="5">
    <oc r="D3" t="inlineStr">
      <is>
        <t>исполнен на 01.02.2019 г.</t>
      </is>
    </oc>
    <nc r="D3" t="inlineStr">
      <is>
        <t>исполнен на 01.03.2019 г.</t>
      </is>
    </nc>
  </rcc>
  <rcc rId="31266" sId="6">
    <oc r="A1" t="inlineStr">
      <is>
        <t xml:space="preserve">                     Анализ исполнения бюджета Ильинского сельского поселения на 01.02.2019 г.</t>
      </is>
    </oc>
    <nc r="A1" t="inlineStr">
      <is>
        <t xml:space="preserve">                     Анализ исполнения бюджета Ильинского сельского поселения на 01.03.2019 г.</t>
      </is>
    </nc>
  </rcc>
  <rcc rId="31267" sId="6">
    <oc r="D3" t="inlineStr">
      <is>
        <t>исполнен на 01.02.2019 г.</t>
      </is>
    </oc>
    <nc r="D3" t="inlineStr">
      <is>
        <t>исполнен на 01.03.2019 г.</t>
      </is>
    </nc>
  </rcc>
  <rcc rId="31268" sId="6">
    <oc r="D55" t="inlineStr">
      <is>
        <t>исполнено на 01.02.2019 г.</t>
      </is>
    </oc>
    <nc r="D55" t="inlineStr">
      <is>
        <t>исполнено на 01.03.2019 г.</t>
      </is>
    </nc>
  </rcc>
  <rcc rId="31269" sId="7">
    <oc r="A1" t="inlineStr">
      <is>
        <t xml:space="preserve">                     Анализ исполнения бюджета Кадикасинского сельского поселения на 01.02.2019 г.</t>
      </is>
    </oc>
    <nc r="A1" t="inlineStr">
      <is>
        <t xml:space="preserve">                     Анализ исполнения бюджета Кадикасинского сельского поселения на 01.03.2019 г.</t>
      </is>
    </nc>
  </rcc>
  <rcc rId="31270" sId="7">
    <oc r="D3" t="inlineStr">
      <is>
        <t>исполнен на 01.02.2019 г.</t>
      </is>
    </oc>
    <nc r="D3" t="inlineStr">
      <is>
        <t>исполнен на 01.03.2019 г.</t>
      </is>
    </nc>
  </rcc>
  <rcc rId="31271" sId="7">
    <oc r="D53" t="inlineStr">
      <is>
        <t>исполнено на 01.02.2019 г.</t>
      </is>
    </oc>
    <nc r="D53" t="inlineStr">
      <is>
        <t>исполнено на 01.03.2019 г.</t>
      </is>
    </nc>
  </rcc>
  <rcc rId="31272" sId="8">
    <oc r="A1" t="inlineStr">
      <is>
        <t xml:space="preserve">                     Анализ исполнения бюджета Моргаушского сельского поселения на 01.02.2019 г.</t>
      </is>
    </oc>
    <nc r="A1" t="inlineStr">
      <is>
        <t xml:space="preserve">                     Анализ исполнения бюджета Моргаушского сельского поселения на 01.03.2019 г.</t>
      </is>
    </nc>
  </rcc>
  <rcc rId="31273" sId="8">
    <oc r="D3" t="inlineStr">
      <is>
        <t>исполнен на 01.02.2019 г.</t>
      </is>
    </oc>
    <nc r="D3" t="inlineStr">
      <is>
        <t>исполнен на 01.03.2019 г.</t>
      </is>
    </nc>
  </rcc>
  <rcc rId="31274" sId="8">
    <oc r="D54" t="inlineStr">
      <is>
        <t>исполнено на 01.02.2019 г.</t>
      </is>
    </oc>
    <nc r="D54" t="inlineStr">
      <is>
        <t>исполнено на 01.03.2019 г.</t>
      </is>
    </nc>
  </rcc>
  <rcc rId="31275" sId="9">
    <oc r="A1" t="inlineStr">
      <is>
        <t xml:space="preserve">                     Анализ исполнения бюджета Москакасинского сельского поселения на 01.02.2019 г.</t>
      </is>
    </oc>
    <nc r="A1" t="inlineStr">
      <is>
        <t xml:space="preserve">                     Анализ исполнения бюджета Москакасинского сельского поселения на 01.03.2019 г.</t>
      </is>
    </nc>
  </rcc>
  <rcc rId="31276" sId="9">
    <oc r="D3" t="inlineStr">
      <is>
        <t>исполнен на 01.02.2019 г.</t>
      </is>
    </oc>
    <nc r="D3" t="inlineStr">
      <is>
        <t>исполнен на 01.03.2019 г.</t>
      </is>
    </nc>
  </rcc>
  <rcc rId="31277" sId="9">
    <oc r="D54" t="inlineStr">
      <is>
        <t>исполнено на 01.02.2019 г.</t>
      </is>
    </oc>
    <nc r="D54" t="inlineStr">
      <is>
        <t>исполнено на 01.03.2019 г.</t>
      </is>
    </nc>
  </rcc>
  <rcc rId="31278" sId="10">
    <oc r="A1" t="inlineStr">
      <is>
        <t xml:space="preserve">                     Анализ исполнения бюджета Орининского сельского поселения на 01.02.2019 г.</t>
      </is>
    </oc>
    <nc r="A1" t="inlineStr">
      <is>
        <t xml:space="preserve">                     Анализ исполнения бюджета Орининского сельского поселения на 01.03.2019 г.</t>
      </is>
    </nc>
  </rcc>
  <rcc rId="31279" sId="10">
    <oc r="D3" t="inlineStr">
      <is>
        <t>исполнен на 01.02.2019 г.</t>
      </is>
    </oc>
    <nc r="D3" t="inlineStr">
      <is>
        <t>исполнен на 01.03.2019 г.</t>
      </is>
    </nc>
  </rcc>
  <rcc rId="31280" sId="10">
    <oc r="D54" t="inlineStr">
      <is>
        <t>исполнено на 01.02.2019 г.</t>
      </is>
    </oc>
    <nc r="D54" t="inlineStr">
      <is>
        <t>исполнено на 01.03.2019 г.</t>
      </is>
    </nc>
  </rcc>
  <rcc rId="31281" sId="11">
    <oc r="A1" t="inlineStr">
      <is>
        <t xml:space="preserve">                     Анализ исполнения бюджета Сятракасинского сельского поселения на 01.02.2019 г.</t>
      </is>
    </oc>
    <nc r="A1" t="inlineStr">
      <is>
        <t xml:space="preserve">                     Анализ исполнения бюджета Сятракасинского сельского поселения на 01.03.2019 г.</t>
      </is>
    </nc>
  </rcc>
  <rcc rId="31282" sId="11">
    <oc r="D3" t="inlineStr">
      <is>
        <t>исполнен на 01.02.2019 г.</t>
      </is>
    </oc>
    <nc r="D3" t="inlineStr">
      <is>
        <t>исполнен на 01.03.2019 г.</t>
      </is>
    </nc>
  </rcc>
  <rcc rId="31283" sId="11">
    <oc r="D54" t="inlineStr">
      <is>
        <t>исполнено на 01.02.2019 г.</t>
      </is>
    </oc>
    <nc r="D54" t="inlineStr">
      <is>
        <t>исполнено на 01.03.2019 г.</t>
      </is>
    </nc>
  </rcc>
  <rcc rId="31284" sId="12">
    <oc r="A1" t="inlineStr">
      <is>
        <t xml:space="preserve">                     Анализ исполнения бюджета Тораевского сельского поселения на 01.02.2019 г.</t>
      </is>
    </oc>
    <nc r="A1" t="inlineStr">
      <is>
        <t xml:space="preserve">                     Анализ исполнения бюджета Тораевского сельского поселения на 01.03.2019 г.</t>
      </is>
    </nc>
  </rcc>
  <rcc rId="31285" sId="12">
    <oc r="D3" t="inlineStr">
      <is>
        <t>исполнен на 01.02.2019 г.</t>
      </is>
    </oc>
    <nc r="D3" t="inlineStr">
      <is>
        <t>исполнен на 01.03.2019 г.</t>
      </is>
    </nc>
  </rcc>
  <rcc rId="31286" sId="12">
    <oc r="D54" t="inlineStr">
      <is>
        <t>исполнено на 01.02.2019 г.</t>
      </is>
    </oc>
    <nc r="D54" t="inlineStr">
      <is>
        <t>исполнено на 01.03.2019 г.</t>
      </is>
    </nc>
  </rcc>
  <rcc rId="31287" sId="13">
    <oc r="A1" t="inlineStr">
      <is>
        <t xml:space="preserve">                     Анализ исполнения бюджета Хорнойского сельского поселения на 01.02.2019 г.</t>
      </is>
    </oc>
    <nc r="A1" t="inlineStr">
      <is>
        <t xml:space="preserve">                     Анализ исполнения бюджета Хорнойского сельского поселения на 01.03.2019 г.</t>
      </is>
    </nc>
  </rcc>
  <rcc rId="31288" sId="13">
    <oc r="D3" t="inlineStr">
      <is>
        <t>исполнен на 01.02.2019 г.</t>
      </is>
    </oc>
    <nc r="D3" t="inlineStr">
      <is>
        <t>исполнен на 01.03.2019 г.</t>
      </is>
    </nc>
  </rcc>
  <rcc rId="31289" sId="13">
    <oc r="D52" t="inlineStr">
      <is>
        <t>исполнено на 01.02.2019 г.</t>
      </is>
    </oc>
    <nc r="D52" t="inlineStr">
      <is>
        <t>исполнено на 01.03.2019 г.</t>
      </is>
    </nc>
  </rcc>
  <rcc rId="31290" sId="14">
    <oc r="A1" t="inlineStr">
      <is>
        <t xml:space="preserve">                     Анализ исполнения бюджета Чуманкасинского сельского поселения на 01.02.2019 г.</t>
      </is>
    </oc>
    <nc r="A1" t="inlineStr">
      <is>
        <t xml:space="preserve">                     Анализ исполнения бюджета Чуманкасинского сельского поселения на 01.03.2019 г.</t>
      </is>
    </nc>
  </rcc>
  <rcc rId="31291" sId="14">
    <oc r="D3" t="inlineStr">
      <is>
        <t>исполнен на 01.02.2019 г.</t>
      </is>
    </oc>
    <nc r="D3" t="inlineStr">
      <is>
        <t>исполнен на 01.03.2019 г.</t>
      </is>
    </nc>
  </rcc>
  <rcc rId="31292" sId="14">
    <oc r="D54" t="inlineStr">
      <is>
        <t>исполнено на 01.02.2019 г.</t>
      </is>
    </oc>
    <nc r="D54" t="inlineStr">
      <is>
        <t>исполнено на 01.03.2019 г.</t>
      </is>
    </nc>
  </rcc>
  <rcc rId="31293" sId="15">
    <oc r="A1" t="inlineStr">
      <is>
        <t xml:space="preserve">                     Анализ исполнения бюджета Шатьмапосинского сельского поселения на 01.02.2019 г.</t>
      </is>
    </oc>
    <nc r="A1" t="inlineStr">
      <is>
        <t xml:space="preserve">                     Анализ исполнения бюджета Шатьмапосинского сельского поселения на 01.03.2019 г.</t>
      </is>
    </nc>
  </rcc>
  <rcc rId="31294" sId="15">
    <oc r="D3" t="inlineStr">
      <is>
        <t>исполнен на 01.02.2019 г.</t>
      </is>
    </oc>
    <nc r="D3" t="inlineStr">
      <is>
        <t>исполнен на 01.03.2019 г.</t>
      </is>
    </nc>
  </rcc>
  <rcc rId="31295" sId="15">
    <oc r="D54" t="inlineStr">
      <is>
        <t>исполнено на 01.02.2019 г.</t>
      </is>
    </oc>
    <nc r="D54" t="inlineStr">
      <is>
        <t>исполнено на 01.03.2019 г.</t>
      </is>
    </nc>
  </rcc>
  <rcc rId="31296" sId="16">
    <oc r="A1" t="inlineStr">
      <is>
        <t xml:space="preserve">                     Анализ исполнения бюджета Юнгинского сельского поселения на 01.02.2019 г.</t>
      </is>
    </oc>
    <nc r="A1" t="inlineStr">
      <is>
        <t xml:space="preserve">                     Анализ исполнения бюджета Юнгинского сельского поселения на 01.03.2019 г.</t>
      </is>
    </nc>
  </rcc>
  <rcc rId="31297" sId="16">
    <oc r="D3" t="inlineStr">
      <is>
        <t>исполнен на 01.02.2019 г.</t>
      </is>
    </oc>
    <nc r="D3" t="inlineStr">
      <is>
        <t>исполнен на 01.03.2019 г.</t>
      </is>
    </nc>
  </rcc>
  <rcc rId="31298" sId="16">
    <oc r="D53" t="inlineStr">
      <is>
        <t>исполнено на 01.02.2019 г.</t>
      </is>
    </oc>
    <nc r="D53" t="inlineStr">
      <is>
        <t>исполнено на 01.03.2019 г.</t>
      </is>
    </nc>
  </rcc>
  <rcc rId="31299" sId="17">
    <oc r="A1" t="inlineStr">
      <is>
        <t xml:space="preserve">                     Анализ исполнения бюджета Юськасинского сельского поселения на 01.02.2019 г.</t>
      </is>
    </oc>
    <nc r="A1" t="inlineStr">
      <is>
        <t xml:space="preserve">                     Анализ исполнения бюджета Юськасинского сельского поселения на 01.03.2019 г.</t>
      </is>
    </nc>
  </rcc>
  <rcc rId="31300" sId="17">
    <oc r="D3" t="inlineStr">
      <is>
        <t>исполнен на 01.02.2019 г.</t>
      </is>
    </oc>
    <nc r="D3" t="inlineStr">
      <is>
        <t>исполнен на 01.03.2019 г.</t>
      </is>
    </nc>
  </rcc>
  <rcc rId="31301" sId="18">
    <oc r="A1" t="inlineStr">
      <is>
        <t xml:space="preserve">                     Анализ исполнения бюджета Ярабайкасинского сельского поселения на 01.02.2019 г.</t>
      </is>
    </oc>
    <nc r="A1" t="inlineStr">
      <is>
        <t xml:space="preserve">                     Анализ исполнения бюджета Ярабайкасинского сельского поселения на 01.03.2019 г.</t>
      </is>
    </nc>
  </rcc>
  <rcc rId="31302" sId="18">
    <oc r="D3" t="inlineStr">
      <is>
        <t>исполнен на 01.02.2019 г.</t>
      </is>
    </oc>
    <nc r="D3" t="inlineStr">
      <is>
        <t>исполнен на 01.03.2019 г.</t>
      </is>
    </nc>
  </rcc>
  <rcc rId="31303" sId="18">
    <oc r="D55" t="inlineStr">
      <is>
        <t>исполнено на 01.02.2019 г.</t>
      </is>
    </oc>
    <nc r="D55" t="inlineStr">
      <is>
        <t>исполнено на 01.03.2019 г.</t>
      </is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Яро!$19:$24,Яро!$28:$30,Яро!$43:$43,Яро!$54:$54,Яро!$56:$58,Яро!$64:$65,Яро!$74:$74,Яро!$81:$83,Яро!$86:$89,Яро!$91:$93</formula>
    <oldFormula>Яро!$19:$24,Яро!$28:$30,Яро!$43:$43,Яро!$54:$54,Яро!$56:$58,Яро!$64:$65,Яро!$74:$74,Яро!$81:$83,Яро!$86:$89,Яро!$91:$93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12.xml><?xml version="1.0" encoding="utf-8"?>
<revisions xmlns="http://schemas.openxmlformats.org/spreadsheetml/2006/main" xmlns:r="http://schemas.openxmlformats.org/officeDocument/2006/relationships">
  <rcc rId="35463" sId="11" numFmtId="4">
    <oc r="D6">
      <v>20.542850000000001</v>
    </oc>
    <nc r="D6">
      <v>26.415610000000001</v>
    </nc>
  </rcc>
  <rcc rId="35464" sId="11" numFmtId="4">
    <oc r="D8">
      <v>47.250070000000001</v>
    </oc>
    <nc r="D8">
      <v>67.509299999999996</v>
    </nc>
  </rcc>
  <rcc rId="35465" sId="11" numFmtId="4">
    <oc r="D9">
      <v>0.32058999999999999</v>
    </oc>
    <nc r="D9">
      <v>0.47171000000000002</v>
    </nc>
  </rcc>
  <rcc rId="35466" sId="11" numFmtId="4">
    <oc r="D10">
      <v>69.400949999999995</v>
    </oc>
    <nc r="D10">
      <v>98.982529999999997</v>
    </nc>
  </rcc>
  <rcc rId="35467" sId="11" numFmtId="4">
    <oc r="D11">
      <v>-10.293799999999999</v>
    </oc>
    <nc r="D11">
      <v>-13.286350000000001</v>
    </nc>
  </rcc>
  <rcc rId="35468" sId="11" numFmtId="4">
    <oc r="D13">
      <v>4.3853999999999997</v>
    </oc>
    <nc r="D13">
      <v>13.5954</v>
    </nc>
  </rcc>
  <rcc rId="35469" sId="11" numFmtId="4">
    <oc r="D15">
      <v>1.32443</v>
    </oc>
    <nc r="D15">
      <v>5.8067399999999996</v>
    </nc>
  </rcc>
  <rcc rId="35470" sId="11" numFmtId="4">
    <oc r="D16">
      <v>111.48408999999999</v>
    </oc>
    <nc r="D16">
      <v>144.12299999999999</v>
    </nc>
  </rcc>
  <rcc rId="35471" sId="11" numFmtId="4">
    <oc r="D18">
      <v>0.6</v>
    </oc>
    <nc r="D18">
      <v>2.1749999999999998</v>
    </nc>
  </rcc>
  <rcc rId="35472" sId="11" numFmtId="4">
    <oc r="D27">
      <v>0</v>
    </oc>
    <nc r="D27">
      <v>21.01</v>
    </nc>
  </rcc>
  <rcc rId="35473" sId="11" numFmtId="4">
    <oc r="D28">
      <v>1.12896</v>
    </oc>
    <nc r="D28">
      <v>1.6934400000000001</v>
    </nc>
  </rcc>
  <rcc rId="35474" sId="11" numFmtId="4">
    <oc r="D41">
      <v>477</v>
    </oc>
    <nc r="D41">
      <v>715.5</v>
    </nc>
  </rcc>
  <rcc rId="35475" sId="11" numFmtId="4">
    <oc r="D43">
      <v>0</v>
    </oc>
    <nc r="D43">
      <v>132.63399999999999</v>
    </nc>
  </rcc>
  <rcc rId="35476" sId="11" numFmtId="4">
    <oc r="D44">
      <v>29.666</v>
    </oc>
    <nc r="D44">
      <v>44.499000000000002</v>
    </nc>
  </rcc>
  <rcc rId="35477" sId="11" numFmtId="4">
    <oc r="D49">
      <v>0</v>
    </oc>
    <nc r="D49">
      <v>224.82400000000001</v>
    </nc>
  </rcc>
  <rcc rId="35478" sId="11" numFmtId="34">
    <oc r="D58">
      <v>137.48031</v>
    </oc>
    <nc r="D58">
      <v>233.30271999999999</v>
    </nc>
  </rcc>
  <rcc rId="35479" sId="11" numFmtId="34">
    <oc r="D65">
      <v>18.68656</v>
    </oc>
    <nc r="D65">
      <v>34.253120000000003</v>
    </nc>
  </rcc>
  <rcc rId="35480" sId="11" numFmtId="34">
    <oc r="C75">
      <v>2175.9340000000002</v>
    </oc>
    <nc r="C75">
      <v>2938.9528500000001</v>
    </nc>
  </rcc>
  <rcc rId="35481" sId="11" numFmtId="34">
    <oc r="D75">
      <v>15.072100000000001</v>
    </oc>
    <nc r="D75">
      <v>186.72681</v>
    </nc>
  </rcc>
  <rcc rId="35482" sId="11" numFmtId="34">
    <oc r="C76">
      <v>50</v>
    </oc>
    <nc r="C76">
      <v>250</v>
    </nc>
  </rcc>
  <rcc rId="35483" sId="11" numFmtId="34">
    <oc r="D76">
      <v>0</v>
    </oc>
    <nc r="D76">
      <v>22.8</v>
    </nc>
  </rcc>
  <rcc rId="35484" sId="11" numFmtId="34">
    <oc r="D80">
      <v>9.5</v>
    </oc>
    <nc r="D80">
      <v>17</v>
    </nc>
  </rcc>
  <rcc rId="35485" sId="11" numFmtId="34">
    <oc r="D82">
      <v>358.69609000000003</v>
    </oc>
    <nc r="D82">
      <v>580.41615000000002</v>
    </nc>
  </rcc>
  <rcc rId="35486" sId="11" numFmtId="34">
    <oc r="D89">
      <v>0</v>
    </oc>
    <nc r="D89">
      <v>1.599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c rId="37694" sId="4" numFmtId="4">
    <oc r="D78">
      <v>69</v>
    </oc>
    <nc r="D78">
      <v>92.388000000000005</v>
    </nc>
  </rcc>
  <rcc rId="37695" sId="4" numFmtId="4">
    <oc r="D76">
      <v>44.932310000000001</v>
    </oc>
    <nc r="D76">
      <v>90.822460000000007</v>
    </nc>
  </rcc>
  <rcc rId="37696" sId="4" numFmtId="4">
    <oc r="D71">
      <v>19.056629999999998</v>
    </oc>
    <nc r="D71">
      <v>158.80862999999999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1.xml><?xml version="1.0" encoding="utf-8"?>
<revisions xmlns="http://schemas.openxmlformats.org/spreadsheetml/2006/main" xmlns:r="http://schemas.openxmlformats.org/officeDocument/2006/relationships">
  <rfmt sheetId="1" sqref="F24">
    <dxf>
      <numFmt numFmtId="2" formatCode="0.00"/>
    </dxf>
  </rfmt>
  <rfmt sheetId="1" sqref="F24">
    <dxf>
      <numFmt numFmtId="186" formatCode="0.000"/>
    </dxf>
  </rfmt>
  <rfmt sheetId="1" sqref="F24">
    <dxf>
      <numFmt numFmtId="175" formatCode="0.0000"/>
    </dxf>
  </rfmt>
  <rfmt sheetId="1" sqref="F24">
    <dxf>
      <numFmt numFmtId="168" formatCode="0.00000"/>
    </dxf>
  </rfmt>
  <rfmt sheetId="1" sqref="F24">
    <dxf>
      <numFmt numFmtId="175" formatCode="0.0000"/>
    </dxf>
  </rfmt>
  <rfmt sheetId="1" sqref="F24">
    <dxf>
      <numFmt numFmtId="186" formatCode="0.000"/>
    </dxf>
  </rfmt>
  <rcc rId="35058" sId="1" numFmtId="4">
    <oc r="C24">
      <v>534077.89099999995</v>
    </oc>
    <nc r="C24">
      <v>558552.51428999996</v>
    </nc>
  </rcc>
  <rcc rId="35059" sId="1" numFmtId="4">
    <oc r="D24">
      <v>15493.445</v>
    </oc>
    <nc r="D24">
      <v>27893.89676</v>
    </nc>
  </rcc>
  <rcc rId="35060" sId="2">
    <oc r="B5" t="inlineStr">
      <is>
        <t>об исполнении бюджетов поселений  Моргаушского района  на 1 ноября 2018 г.</t>
      </is>
    </oc>
    <nc r="B5" t="inlineStr">
      <is>
        <t>об исполнении бюджетов поселений  Моргаушского района  на 1 марта 2019 г.</t>
      </is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211.xml><?xml version="1.0" encoding="utf-8"?>
<revisions xmlns="http://schemas.openxmlformats.org/spreadsheetml/2006/main" xmlns:r="http://schemas.openxmlformats.org/officeDocument/2006/relationships">
  <rcc rId="33676" sId="12" numFmtId="4">
    <oc r="D15">
      <v>4.6781300000000003</v>
    </oc>
    <nc r="D15">
      <v>4.7229999999999999</v>
    </nc>
  </rcc>
  <rcc rId="33677" sId="12">
    <oc r="G51">
      <f>D51-495.90904</f>
    </oc>
    <nc r="G51"/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Мор!$A$1:$F$100</formula>
    <oldFormula>Мор!$A$1:$F$100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Мор!$17:$17,Мор!$21:$21,Мор!$23:$23,Мор!$37:$37,Мор!$44:$44,Мор!$46:$47,Мор!$49:$50,Мор!$57:$57,Мор!$59:$60,Мор!$67:$68,Мор!$82:$87,Мор!$90:$96</formula>
    <oldFormula>Мор!$17:$17,Мор!$21:$21,Мор!$23:$23,Мор!$37:$37,Мор!$44:$44,Мор!$46:$47,Мор!$49:$50,Мор!$57:$57,Мор!$59:$60,Мор!$67:$68,Мор!$82:$87,Мор!$90:$96</oldFormula>
  </rdn>
  <rdn rId="0" localSheetId="9" customView="1" name="Z_1A52382B_3765_4E8C_903F_6B8919B7242E_.wvu.Rows" hidden="1" oldHidden="1">
    <formula>Мос!$19:$24,Мос!$44:$44,Мос!$57:$57,Мос!$59:$60,Мос!$67:$68,Мос!$80:$80,Мос!$84:$88,Мос!$93:$98</formula>
    <oldFormula>Мос!$19:$24,Мос!$44:$44,Мос!$57:$57,Мос!$59:$60,Мос!$67:$68,Мос!$80:$80,Мос!$84:$88,Мос!$93:$98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Тор!$A$1:$F$101</formula>
    <oldFormula>Тор!$A$1:$F$101</oldFormula>
  </rdn>
  <rdn rId="0" localSheetId="12" customView="1" name="Z_1A52382B_3765_4E8C_903F_6B8919B7242E_.wvu.Rows" hidden="1" oldHidden="1">
    <formula>Тор!$19:$19,Тор!$50:$50,Тор!$57:$57,Тор!$59:$60,Тор!$67:$68,Тор!$74:$74,Тор!$78:$79,Тор!$82:$93</formula>
    <oldFormula>Тор!$19:$19,Тор!$50:$50,Тор!$57:$57,Тор!$59:$60,Тор!$67:$68,Тор!$74:$74,Тор!$78:$79,Тор!$82:$93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222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Справка!$33:$34</formula>
    <oldFormula>Справка!$33:$34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2221.xml><?xml version="1.0" encoding="utf-8"?>
<revisions xmlns="http://schemas.openxmlformats.org/spreadsheetml/2006/main" xmlns:r="http://schemas.openxmlformats.org/officeDocument/2006/relationships">
  <rrc rId="36941" sId="2" ref="A34:XFD34" action="deleteRow">
    <undo index="0" exp="ref" v="1" dr="EU34" r="EU35" sId="2"/>
    <undo index="0" exp="ref" v="1" dr="ET34" r="ET35" sId="2"/>
    <undo index="0" exp="ref" v="1" dr="DT34" r="DT35" sId="2"/>
    <undo index="0" exp="ref" v="1" dr="DE34" r="DE35" sId="2"/>
    <undo index="0" exp="ref" v="1" dr="DD34" r="DD35" sId="2"/>
    <undo index="0" exp="ref" v="1" dr="DC34" r="DC35" sId="2"/>
    <undo index="0" exp="ref" v="1" dr="DB34" r="DB35" sId="2"/>
    <undo index="0" exp="ref" v="1" dr="DA34" r="DA35" sId="2"/>
    <undo index="0" exp="ref" v="1" dr="CZ34" r="CZ35" sId="2"/>
    <undo index="0" exp="ref" v="1" dr="CY34" r="CY35" sId="2"/>
    <undo index="0" exp="ref" v="1" dr="CX34" r="CX35" sId="2"/>
    <undo index="0" exp="ref" v="1" dr="CV34" r="CV35" sId="2"/>
    <undo index="0" exp="ref" v="1" dr="CU34" r="CU35" sId="2"/>
    <undo index="0" exp="ref" v="1" dr="CP34" r="CP35" sId="2"/>
    <undo index="0" exp="ref" v="1" dr="BY34" r="BY35" sId="2"/>
    <undo index="0" exp="ref" v="1" dr="BX34" r="BX35" sId="2"/>
    <undo index="0" exp="ref" v="1" dr="BW34" r="BW35" sId="2"/>
    <undo index="0" exp="ref" v="1" dr="BV34" r="BV35" sId="2"/>
    <undo index="0" exp="ref" v="1" dr="BU34" r="BU35" sId="2"/>
    <undo index="0" exp="ref" v="1" dr="BT34" r="BT35" sId="2"/>
    <undo index="0" exp="ref" v="1" dr="BQ34" r="BQ35" sId="2"/>
    <undo index="0" exp="ref" v="1" dr="BM34" r="BM35" sId="2"/>
    <undo index="0" exp="ref" v="1" dr="BL34" r="BL35" sId="2"/>
    <undo index="0" exp="ref" v="1" dr="BK34" r="BK35" sId="2"/>
    <undo index="0" exp="ref" v="1" dr="BJ34" r="BJ35" sId="2"/>
    <undo index="0" exp="ref" v="1" dr="BI34" r="BI35" sId="2"/>
    <undo index="0" exp="ref" v="1" dr="BH34" r="BH35" sId="2"/>
    <undo index="0" exp="ref" v="1" dr="BD34" r="BD35" sId="2"/>
    <undo index="0" exp="ref" v="1" dr="BC34" r="BC35" sId="2"/>
    <undo index="0" exp="ref" v="1" dr="BB34" r="BB35" sId="2"/>
    <undo index="0" exp="ref" v="1" dr="AX34" r="AX35" sId="2"/>
    <undo index="0" exp="ref" v="1" dr="AW34" r="AW35" sId="2"/>
    <undo index="0" exp="ref" v="1" dr="AV34" r="AV35" sId="2"/>
    <undo index="0" exp="ref" v="1" dr="AN34" r="AN35" sId="2"/>
    <undo index="0" exp="ref" v="1" dr="AM34" r="AM35" sId="2"/>
    <undo index="0" exp="ref" v="1" dr="AK34" r="AK35" sId="2"/>
    <undo index="0" exp="ref" v="1" dr="AJ34" r="AJ35" sId="2"/>
    <undo index="0" exp="ref" v="1" dr="U34" r="U35" sId="2"/>
    <undo index="8" exp="area" ref3D="1" dr="$CX$1:$DF$1048576" dn="Z_61528DAC_5C4C_48F4_ADE2_8A724B05A086_.wvu.Cols" sId="2"/>
    <undo index="6" exp="area" ref3D="1" dr="$BT$1:$BY$1048576" dn="Z_61528DAC_5C4C_48F4_ADE2_8A724B05A086_.wvu.Cols" sId="2"/>
    <undo index="4" exp="area" ref3D="1" dr="$BH$1:$BP$1048576" dn="Z_61528DAC_5C4C_48F4_ADE2_8A724B05A086_.wvu.Cols" sId="2"/>
    <undo index="2" exp="area" ref3D="1" dr="$BB$1:$BD$1048576" dn="Z_61528DAC_5C4C_48F4_ADE2_8A724B05A086_.wvu.Cols" sId="2"/>
    <undo index="1" exp="area" ref3D="1" dr="$AV$1:$AX$1048576" dn="Z_61528DAC_5C4C_48F4_ADE2_8A724B05A086_.wvu.Cols" sId="2"/>
    <undo index="8" exp="area" ref3D="1" dr="$CX$1:$DF$1048576" dn="Z_1A52382B_3765_4E8C_903F_6B8919B7242E_.wvu.Cols" sId="2"/>
    <undo index="6" exp="area" ref3D="1" dr="$BT$1:$BY$1048576" dn="Z_1A52382B_3765_4E8C_903F_6B8919B7242E_.wvu.Cols" sId="2"/>
    <undo index="4" exp="area" ref3D="1" dr="$BH$1:$BM$1048576" dn="Z_1A52382B_3765_4E8C_903F_6B8919B7242E_.wvu.Cols" sId="2"/>
    <undo index="2" exp="area" ref3D="1" dr="$BB$1:$BD$1048576" dn="Z_1A52382B_3765_4E8C_903F_6B8919B7242E_.wvu.Cols" sId="2"/>
    <undo index="1" exp="area" ref3D="1" dr="$AV$1:$AX$1048576" dn="Z_1A52382B_3765_4E8C_903F_6B8919B7242E_.wvu.Cols" sId="2"/>
    <undo index="8" exp="area" ref3D="1" dr="$CX$1:$DF$1048576" dn="Z_B31C8DB7_3E78_4144_A6B5_8DE36DE63F0E_.wvu.Cols" sId="2"/>
    <undo index="6" exp="area" ref3D="1" dr="$BT$1:$BY$1048576" dn="Z_B31C8DB7_3E78_4144_A6B5_8DE36DE63F0E_.wvu.Cols" sId="2"/>
    <undo index="4" exp="area" ref3D="1" dr="$BH$1:$BM$1048576" dn="Z_B31C8DB7_3E78_4144_A6B5_8DE36DE63F0E_.wvu.Cols" sId="2"/>
    <undo index="2" exp="area" ref3D="1" dr="$BB$1:$BD$1048576" dn="Z_B31C8DB7_3E78_4144_A6B5_8DE36DE63F0E_.wvu.Cols" sId="2"/>
    <undo index="1" exp="area" ref3D="1" dr="$AV$1:$AX$1048576" dn="Z_B31C8DB7_3E78_4144_A6B5_8DE36DE63F0E_.wvu.Cols" sId="2"/>
    <undo index="2" exp="area" ref3D="1" dr="$A$35:$XFD$35" dn="Z_B31C8DB7_3E78_4144_A6B5_8DE36DE63F0E_.wvu.Rows" sId="2"/>
    <undo index="8" exp="area" ref3D="1" dr="$CX$1:$DF$1048576" dn="Z_B30CE22D_C12F_4E12_8BB9_3AAE0A6991CC_.wvu.Cols" sId="2"/>
    <undo index="6" exp="area" ref3D="1" dr="$BT$1:$BY$1048576" dn="Z_B30CE22D_C12F_4E12_8BB9_3AAE0A6991CC_.wvu.Cols" sId="2"/>
    <undo index="4" exp="area" ref3D="1" dr="$BH$1:$BP$1048576" dn="Z_B30CE22D_C12F_4E12_8BB9_3AAE0A6991CC_.wvu.Cols" sId="2"/>
    <undo index="2" exp="area" ref3D="1" dr="$BB$1:$BD$1048576" dn="Z_B30CE22D_C12F_4E12_8BB9_3AAE0A6991CC_.wvu.Cols" sId="2"/>
    <undo index="1" exp="area" ref3D="1" dr="$AV$1:$AX$1048576" dn="Z_B30CE22D_C12F_4E12_8BB9_3AAE0A6991CC_.wvu.Cols" sId="2"/>
    <undo index="8" exp="area" ref3D="1" dr="$CX$1:$DF$1048576" dn="Z_A54C432C_6C68_4B53_A75C_446EB3A61B2B_.wvu.Cols" sId="2"/>
    <undo index="6" exp="area" ref3D="1" dr="$BT$1:$BY$1048576" dn="Z_A54C432C_6C68_4B53_A75C_446EB3A61B2B_.wvu.Cols" sId="2"/>
    <undo index="4" exp="area" ref3D="1" dr="$BH$1:$BP$1048576" dn="Z_A54C432C_6C68_4B53_A75C_446EB3A61B2B_.wvu.Cols" sId="2"/>
    <undo index="2" exp="area" ref3D="1" dr="$BB$1:$BD$1048576" dn="Z_A54C432C_6C68_4B53_A75C_446EB3A61B2B_.wvu.Cols" sId="2"/>
    <undo index="1" exp="area" ref3D="1" dr="$AV$1:$AX$1048576" dn="Z_A54C432C_6C68_4B53_A75C_446EB3A61B2B_.wvu.Cols" sId="2"/>
    <undo index="2" exp="area" ref3D="1" dr="$A$35:$XFD$35" dn="Z_5BFCA170_DEAE_4D2C_98A0_1E68B427AC01_.wvu.Rows" sId="2"/>
    <undo index="8" exp="area" ref3D="1" dr="$CX$1:$DF$1048576" dn="Z_5BFCA170_DEAE_4D2C_98A0_1E68B427AC01_.wvu.Cols" sId="2"/>
    <undo index="6" exp="area" ref3D="1" dr="$BT$1:$BY$1048576" dn="Z_5BFCA170_DEAE_4D2C_98A0_1E68B427AC01_.wvu.Cols" sId="2"/>
    <undo index="4" exp="area" ref3D="1" dr="$BH$1:$BM$1048576" dn="Z_5BFCA170_DEAE_4D2C_98A0_1E68B427AC01_.wvu.Cols" sId="2"/>
    <undo index="2" exp="area" ref3D="1" dr="$BB$1:$BD$1048576" dn="Z_5BFCA170_DEAE_4D2C_98A0_1E68B427AC01_.wvu.Cols" sId="2"/>
    <undo index="1" exp="area" ref3D="1" dr="$AV$1:$AX$1048576" dn="Z_5BFCA170_DEAE_4D2C_98A0_1E68B427AC01_.wvu.Cols" sId="2"/>
    <undo index="8" exp="area" ref3D="1" dr="$CX$1:$DF$1048576" dn="Z_42584DC0_1D41_4C93_9B38_C388E7B8DAC4_.wvu.Cols" sId="2"/>
    <undo index="6" exp="area" ref3D="1" dr="$BT$1:$BY$1048576" dn="Z_42584DC0_1D41_4C93_9B38_C388E7B8DAC4_.wvu.Cols" sId="2"/>
    <undo index="4" exp="area" ref3D="1" dr="$BH$1:$BP$1048576" dn="Z_42584DC0_1D41_4C93_9B38_C388E7B8DAC4_.wvu.Cols" sId="2"/>
    <undo index="2" exp="area" ref3D="1" dr="$BB$1:$BD$1048576" dn="Z_42584DC0_1D41_4C93_9B38_C388E7B8DAC4_.wvu.Cols" sId="2"/>
    <undo index="1" exp="area" ref3D="1" dr="$AV$1:$AX$1048576" dn="Z_42584DC0_1D41_4C93_9B38_C388E7B8DAC4_.wvu.Cols" sId="2"/>
    <undo index="8" exp="area" ref3D="1" dr="$CX$1:$DF$1048576" dn="Z_3DCB9AAA_F09C_4EA6_B992_F93E466D374A_.wvu.Cols" sId="2"/>
    <undo index="6" exp="area" ref3D="1" dr="$BT$1:$BY$1048576" dn="Z_3DCB9AAA_F09C_4EA6_B992_F93E466D374A_.wvu.Cols" sId="2"/>
    <undo index="4" exp="area" ref3D="1" dr="$BH$1:$BM$1048576" dn="Z_3DCB9AAA_F09C_4EA6_B992_F93E466D374A_.wvu.Cols" sId="2"/>
    <undo index="2" exp="area" ref3D="1" dr="$BB$1:$BD$1048576" dn="Z_3DCB9AAA_F09C_4EA6_B992_F93E466D374A_.wvu.Cols" sId="2"/>
    <undo index="1" exp="area" ref3D="1" dr="$AV$1:$AX$1048576" dn="Z_3DCB9AAA_F09C_4EA6_B992_F93E466D374A_.wvu.Cols" sId="2"/>
    <undo index="8" exp="area" ref3D="1" dr="$CX$1:$DF$1048576" dn="Z_1718F1EE_9F48_4DBE_9531_3B70F9C4A5DD_.wvu.Cols" sId="2"/>
    <undo index="6" exp="area" ref3D="1" dr="$BT$1:$BY$1048576" dn="Z_1718F1EE_9F48_4DBE_9531_3B70F9C4A5DD_.wvu.Cols" sId="2"/>
    <undo index="4" exp="area" ref3D="1" dr="$BH$1:$BP$1048576" dn="Z_1718F1EE_9F48_4DBE_9531_3B70F9C4A5DD_.wvu.Cols" sId="2"/>
    <undo index="2" exp="area" ref3D="1" dr="$BB$1:$BD$1048576" dn="Z_1718F1EE_9F48_4DBE_9531_3B70F9C4A5DD_.wvu.Cols" sId="2"/>
    <undo index="1" exp="area" ref3D="1" dr="$AV$1:$AX$1048576" dn="Z_1718F1EE_9F48_4DBE_9531_3B70F9C4A5DD_.wvu.Cols" sId="2"/>
    <rfmt sheetId="2" xfDxf="1" sqref="A34:XFD34" start="0" length="0">
      <dxf>
        <font>
          <sz val="12"/>
        </font>
        <fill>
          <patternFill patternType="solid">
            <bgColor indexed="9"/>
          </patternFill>
        </fill>
      </dxf>
    </rfmt>
    <rcc rId="0" sId="2">
      <nc r="C34">
        <v>99789.987420000005</v>
      </nc>
    </rcc>
    <rcc rId="0" sId="2" dxf="1" numFmtId="4">
      <nc r="D34">
        <v>4915.8261499999999</v>
      </nc>
      <ndxf>
        <numFmt numFmtId="174" formatCode="0.000000"/>
        <fill>
          <patternFill patternType="none">
            <bgColor indexed="65"/>
          </patternFill>
        </fill>
      </ndxf>
    </rcc>
    <rcc rId="0" sId="2">
      <nc r="F34">
        <v>40989.07879</v>
      </nc>
    </rcc>
    <rcc rId="0" sId="2">
      <nc r="G34">
        <v>2380.04315</v>
      </nc>
    </rcc>
    <rcc rId="0" sId="2" dxf="1" numFmtId="4">
      <nc r="I34">
        <v>5296.7</v>
      </nc>
      <ndxf>
        <numFmt numFmtId="166" formatCode="0.0"/>
      </ndxf>
    </rcc>
    <rcc rId="0" sId="2" dxf="1" numFmtId="4">
      <nc r="J34">
        <v>276.67489</v>
      </nc>
      <ndxf>
        <numFmt numFmtId="168" formatCode="0.00000"/>
      </ndxf>
    </rcc>
    <rcc rId="0" sId="2">
      <nc r="L34">
        <v>3048.8850000000002</v>
      </nc>
    </rcc>
    <rcc rId="0" sId="2">
      <nc r="M34">
        <v>406.27186</v>
      </nc>
    </rcc>
    <rcc rId="0" sId="2">
      <nc r="O34">
        <v>32.24</v>
      </nc>
    </rcc>
    <rcc rId="0" sId="2">
      <nc r="P34">
        <v>36.792310000000001</v>
      </nc>
    </rcc>
    <rcc rId="0" sId="2">
      <nc r="R34">
        <v>5091.2667000000001</v>
      </nc>
    </rcc>
    <rcc rId="0" sId="2">
      <nc r="S34">
        <v>5572.9574499999999</v>
      </nc>
    </rcc>
    <rcc rId="0" sId="2">
      <nc r="U34">
        <v>0</v>
      </nc>
    </rcc>
    <rcc rId="0" sId="2">
      <nc r="V34">
        <v>-855.96907999999996</v>
      </nc>
    </rcc>
    <rcc rId="0" sId="2">
      <nc r="X34">
        <v>470</v>
      </nc>
    </rcc>
    <rcc rId="0" sId="2" dxf="1" numFmtId="4">
      <nc r="Y34">
        <v>425.55243999999999</v>
      </nc>
      <ndxf>
        <numFmt numFmtId="172" formatCode="#,##0.00000"/>
      </ndxf>
    </rcc>
    <rcc rId="0" sId="2">
      <nc r="AA34">
        <v>3021.4</v>
      </nc>
    </rcc>
    <rcc rId="0" sId="2">
      <nc r="AB34">
        <v>3950.0036799999998</v>
      </nc>
    </rcc>
    <rcc rId="0" sId="2">
      <nc r="AD34">
        <v>17949.2</v>
      </nc>
    </rcc>
    <rcc rId="0" sId="2">
      <nc r="AE34">
        <v>17271.836920000002</v>
      </nc>
    </rcc>
    <rcc rId="0" sId="2">
      <nc r="AG34">
        <v>162.00200000000001</v>
      </nc>
    </rcc>
    <rcc rId="0" sId="2">
      <nc r="AH34">
        <v>149.37821</v>
      </nc>
    </rcc>
    <rcc rId="0" sId="2">
      <nc r="AK34">
        <v>0</v>
      </nc>
    </rcc>
    <rfmt sheetId="2" sqref="AN34" start="0" length="0">
      <dxf>
        <numFmt numFmtId="172" formatCode="#,##0.00000"/>
      </dxf>
    </rfmt>
    <rcc rId="0" sId="2">
      <nc r="AP34">
        <v>1611.4</v>
      </nc>
    </rcc>
    <rcc rId="0" sId="2">
      <nc r="AQ34">
        <v>30.011389999999999</v>
      </nc>
    </rcc>
    <rcc rId="0" sId="2">
      <nc r="AS34">
        <v>243.7</v>
      </nc>
    </rcc>
    <rcc rId="0" sId="2">
      <nc r="AT34">
        <v>13.41733</v>
      </nc>
    </rcc>
    <rcc rId="0" sId="2">
      <nc r="AY34">
        <v>0</v>
      </nc>
    </rcc>
    <rcc rId="0" sId="2">
      <nc r="AZ34">
        <v>6.6837</v>
      </nc>
    </rcc>
    <rcc rId="0" sId="2">
      <nc r="BE34">
        <v>2440.3637899999999</v>
      </nc>
    </rcc>
    <rcc rId="0" sId="2">
      <nc r="BF34">
        <v>6.399</v>
      </nc>
    </rcc>
    <rcc rId="0" sId="2">
      <nc r="BN34">
        <v>3.9539</v>
      </nc>
    </rcc>
    <rcc rId="0" sId="2">
      <nc r="BO34">
        <v>48.393389999999997</v>
      </nc>
    </rcc>
    <rcc rId="0" sId="2" dxf="1" numFmtId="4">
      <nc r="BR34">
        <v>-103.28801</v>
      </nc>
      <ndxf>
        <numFmt numFmtId="175" formatCode="0.0000"/>
      </ndxf>
    </rcc>
    <rcc rId="0" sId="2">
      <nc r="BZ34">
        <v>58800.908629999998</v>
      </nc>
    </rcc>
    <rcc rId="0" sId="2">
      <nc r="CA34">
        <v>2535.7829999999999</v>
      </nc>
    </rcc>
    <rcc rId="0" sId="2">
      <nc r="CC34">
        <v>28718.624</v>
      </nc>
    </rcc>
    <rcc rId="0" sId="2">
      <nc r="CD34">
        <v>28718.624</v>
      </nc>
    </rcc>
    <rcc rId="0" sId="2">
      <nc r="CF34">
        <v>6269.9521000000004</v>
      </nc>
    </rcc>
    <rcc rId="0" sId="2">
      <nc r="CG34">
        <v>6269.9521000000004</v>
      </nc>
    </rcc>
    <rcc rId="0" sId="2" dxf="1" numFmtId="4">
      <nc r="CI34">
        <v>28037.654859999999</v>
      </nc>
      <ndxf>
        <numFmt numFmtId="175" formatCode="0.0000"/>
      </ndxf>
    </rcc>
    <rcc rId="0" sId="2">
      <nc r="CJ34">
        <v>27622.658149999999</v>
      </nc>
    </rcc>
    <rcc rId="0" sId="2">
      <nc r="CL34">
        <v>2124.3000000000002</v>
      </nc>
    </rcc>
    <rcc rId="0" sId="2">
      <nc r="CM34">
        <v>2124.3000000000002</v>
      </nc>
    </rcc>
    <rcc rId="0" sId="2">
      <nc r="CO34">
        <v>1006.06691</v>
      </nc>
    </rcc>
    <rcc rId="0" sId="2">
      <nc r="CP34">
        <v>960</v>
      </nc>
    </rcc>
    <rcc rId="0" sId="2">
      <nc r="CR34">
        <v>3214.2710000000002</v>
      </nc>
    </rcc>
    <rcc rId="0" sId="2">
      <nc r="CS34">
        <v>4801.5048299999999</v>
      </nc>
    </rcc>
    <rcc rId="0" sId="2">
      <nc r="CU34">
        <v>0</v>
      </nc>
    </rcc>
    <rcc rId="0" sId="2">
      <nc r="CV34">
        <v>-488.56979000000001</v>
      </nc>
    </rcc>
    <rcc rId="0" sId="2" dxf="1" numFmtId="4">
      <nc r="DG34">
        <v>112858.98794000001</v>
      </nc>
      <ndxf>
        <numFmt numFmtId="166" formatCode="0.0"/>
      </ndxf>
    </rcc>
    <rcc rId="0" sId="2" dxf="1" numFmtId="4">
      <nc r="DH34">
        <v>108278.22908</v>
      </nc>
      <ndxf>
        <numFmt numFmtId="166" formatCode="0.0"/>
      </ndxf>
    </rcc>
    <rfmt sheetId="2" sqref="DI34" start="0" length="0">
      <dxf>
        <numFmt numFmtId="166" formatCode="0.0"/>
      </dxf>
    </rfmt>
    <rcc rId="0" sId="2" dxf="1" numFmtId="4">
      <nc r="DJ34">
        <v>23034.230220000001</v>
      </nc>
      <ndxf>
        <numFmt numFmtId="166" formatCode="0.0"/>
      </ndxf>
    </rcc>
    <rcc rId="0" sId="2" dxf="1" numFmtId="4">
      <nc r="DK34">
        <v>22358.213759999999</v>
      </nc>
      <ndxf>
        <numFmt numFmtId="166" formatCode="0.0"/>
      </ndxf>
    </rcc>
    <rfmt sheetId="2" sqref="DL34" start="0" length="0">
      <dxf>
        <numFmt numFmtId="166" formatCode="0.0"/>
      </dxf>
    </rfmt>
    <rcc rId="0" sId="2" dxf="1" numFmtId="4">
      <nc r="DM34">
        <v>22586.01872</v>
      </nc>
      <ndxf>
        <numFmt numFmtId="166" formatCode="0.0"/>
      </ndxf>
    </rcc>
    <rcc rId="0" sId="2" dxf="1" numFmtId="4">
      <nc r="DN34">
        <v>22001.032299999999</v>
      </nc>
      <ndxf>
        <numFmt numFmtId="166" formatCode="0.0"/>
      </ndxf>
    </rcc>
    <rfmt sheetId="2" sqref="DO34" start="0" length="0">
      <dxf>
        <numFmt numFmtId="166" formatCode="0.0"/>
      </dxf>
    </rfmt>
    <rcc rId="0" sId="2" dxf="1" numFmtId="4">
      <nc r="DP34">
        <v>168.8</v>
      </nc>
      <ndxf>
        <numFmt numFmtId="166" formatCode="0.0"/>
      </ndxf>
    </rcc>
    <rcc rId="0" sId="2" dxf="1" numFmtId="4">
      <nc r="DQ34">
        <v>168.8</v>
      </nc>
      <ndxf>
        <numFmt numFmtId="166" formatCode="0.0"/>
      </ndxf>
    </rcc>
    <rfmt sheetId="2" sqref="DR34" start="0" length="0">
      <dxf>
        <numFmt numFmtId="166" formatCode="0.0"/>
      </dxf>
    </rfmt>
    <rcc rId="0" sId="2" dxf="1" numFmtId="4">
      <nc r="DS34">
        <v>78.010000000000005</v>
      </nc>
      <ndxf>
        <numFmt numFmtId="166" formatCode="0.0"/>
      </ndxf>
    </rcc>
    <rcc rId="0" sId="2" dxf="1" numFmtId="4">
      <nc r="DT34">
        <v>0</v>
      </nc>
      <ndxf>
        <numFmt numFmtId="166" formatCode="0.0"/>
      </ndxf>
    </rcc>
    <rfmt sheetId="2" sqref="DU34" start="0" length="0">
      <dxf>
        <numFmt numFmtId="166" formatCode="0.0"/>
      </dxf>
    </rfmt>
    <rcc rId="0" sId="2" dxf="1" numFmtId="4">
      <nc r="DV34">
        <v>201.4015</v>
      </nc>
      <ndxf>
        <numFmt numFmtId="166" formatCode="0.0"/>
      </ndxf>
    </rcc>
    <rcc rId="0" sId="2" dxf="1" numFmtId="4">
      <nc r="DW34">
        <v>188.38146</v>
      </nc>
      <ndxf>
        <numFmt numFmtId="166" formatCode="0.0"/>
      </ndxf>
    </rcc>
    <rfmt sheetId="2" sqref="DX34" start="0" length="0">
      <dxf>
        <numFmt numFmtId="166" formatCode="0.0"/>
      </dxf>
    </rfmt>
    <rcc rId="0" sId="2" dxf="1" numFmtId="4">
      <nc r="DY34">
        <v>2049</v>
      </nc>
      <ndxf>
        <numFmt numFmtId="166" formatCode="0.0"/>
      </ndxf>
    </rcc>
    <rcc rId="0" sId="2" dxf="1" numFmtId="4">
      <nc r="DZ34">
        <v>2049</v>
      </nc>
      <ndxf>
        <numFmt numFmtId="166" formatCode="0.0"/>
      </ndxf>
    </rcc>
    <rfmt sheetId="2" sqref="EA34" start="0" length="0">
      <dxf>
        <numFmt numFmtId="166" formatCode="0.0"/>
      </dxf>
    </rfmt>
    <rcc rId="0" sId="2" dxf="1" numFmtId="4">
      <nc r="EB34">
        <v>377.04791</v>
      </nc>
      <ndxf>
        <numFmt numFmtId="166" formatCode="0.0"/>
      </ndxf>
    </rcc>
    <rcc rId="0" sId="2" dxf="1" numFmtId="4">
      <nc r="EC34">
        <v>344.73154</v>
      </nc>
      <ndxf>
        <numFmt numFmtId="166" formatCode="0.0"/>
      </ndxf>
    </rcc>
    <rfmt sheetId="2" sqref="ED34" start="0" length="0">
      <dxf>
        <numFmt numFmtId="166" formatCode="0.0"/>
      </dxf>
    </rfmt>
    <rcc rId="0" sId="2" dxf="1" numFmtId="4">
      <nc r="EE34">
        <v>35524.43995</v>
      </nc>
      <ndxf>
        <numFmt numFmtId="166" formatCode="0.0"/>
      </ndxf>
    </rcc>
    <rcc rId="0" sId="2" dxf="1" numFmtId="4">
      <nc r="EF34">
        <v>33119.829539999999</v>
      </nc>
      <ndxf>
        <numFmt numFmtId="166" formatCode="0.0"/>
      </ndxf>
    </rcc>
    <rfmt sheetId="2" sqref="EG34" start="0" length="0">
      <dxf>
        <numFmt numFmtId="166" formatCode="0.0"/>
      </dxf>
    </rfmt>
    <rcc rId="0" sId="2" dxf="1" numFmtId="4">
      <nc r="EH34">
        <v>19030.135760000001</v>
      </nc>
      <ndxf>
        <numFmt numFmtId="166" formatCode="0.0"/>
      </ndxf>
    </rcc>
    <rcc rId="0" sId="2" dxf="1" numFmtId="4">
      <nc r="EI34">
        <v>18116.910820000001</v>
      </nc>
      <ndxf>
        <numFmt numFmtId="166" formatCode="0.0"/>
      </ndxf>
    </rcc>
    <rfmt sheetId="2" sqref="EJ34" start="0" length="0">
      <dxf>
        <numFmt numFmtId="166" formatCode="0.0"/>
      </dxf>
    </rfmt>
    <rcc rId="0" sId="2" dxf="1" numFmtId="4">
      <nc r="EK34">
        <v>32642.129099999998</v>
      </nc>
      <ndxf>
        <numFmt numFmtId="166" formatCode="0.0"/>
      </ndxf>
    </rcc>
    <rcc rId="0" sId="2" dxf="1" numFmtId="4">
      <nc r="EL34">
        <v>32101.003420000001</v>
      </nc>
      <ndxf>
        <numFmt numFmtId="166" formatCode="0.0"/>
      </ndxf>
    </rcc>
    <rfmt sheetId="2" sqref="EM34" start="0" length="0">
      <dxf>
        <numFmt numFmtId="166" formatCode="0.0"/>
      </dxf>
    </rfmt>
    <rcc rId="0" sId="2" dxf="1" numFmtId="4">
      <nc r="EN34">
        <v>14</v>
      </nc>
      <ndxf>
        <numFmt numFmtId="166" formatCode="0.0"/>
      </ndxf>
    </rcc>
    <rcc rId="0" sId="2" dxf="1" numFmtId="4">
      <nc r="EO34">
        <v>14</v>
      </nc>
      <ndxf>
        <numFmt numFmtId="166" formatCode="0.0"/>
      </ndxf>
    </rcc>
    <rfmt sheetId="2" sqref="EP34" start="0" length="0">
      <dxf>
        <numFmt numFmtId="166" formatCode="0.0"/>
      </dxf>
    </rfmt>
    <rcc rId="0" sId="2" dxf="1" numFmtId="4">
      <nc r="EQ34">
        <v>188.005</v>
      </nc>
      <ndxf>
        <numFmt numFmtId="166" formatCode="0.0"/>
      </ndxf>
    </rcc>
    <rcc rId="0" sId="2" dxf="1" numFmtId="4">
      <nc r="ER34">
        <v>174.54</v>
      </nc>
      <ndxf>
        <numFmt numFmtId="166" formatCode="0.0"/>
      </ndxf>
    </rcc>
    <rfmt sheetId="2" sqref="ES34" start="0" length="0">
      <dxf>
        <numFmt numFmtId="166" formatCode="0.0"/>
      </dxf>
    </rfmt>
    <rcc rId="0" sId="2" dxf="1" numFmtId="4">
      <nc r="ET34">
        <v>0</v>
      </nc>
      <ndxf>
        <numFmt numFmtId="166" formatCode="0.0"/>
      </ndxf>
    </rcc>
    <rcc rId="0" sId="2" dxf="1" numFmtId="4">
      <nc r="EU34">
        <v>0</v>
      </nc>
      <ndxf>
        <numFmt numFmtId="166" formatCode="0.0"/>
      </ndxf>
    </rcc>
    <rfmt sheetId="2" sqref="EV34" start="0" length="0">
      <dxf>
        <numFmt numFmtId="166" formatCode="0.0"/>
      </dxf>
    </rfmt>
    <rcc rId="0" sId="2">
      <nc r="EW34">
        <v>-5262.1164699999999</v>
      </nc>
    </rcc>
    <rcc rId="0" sId="2">
      <nc r="EX34">
        <v>944.07369000000006</v>
      </nc>
    </rcc>
  </rrc>
  <rcc rId="36942" sId="2" numFmtId="4">
    <oc r="C34">
      <v>114331.11476</v>
    </oc>
    <nc r="C34">
      <v>135443.00868999999</v>
    </nc>
  </rcc>
  <rcc rId="36943" sId="2" numFmtId="4">
    <oc r="D34">
      <v>9916.9025999999994</v>
    </oc>
    <nc r="D34">
      <v>18902.42123</v>
    </nc>
  </rcc>
  <rcc rId="36944" sId="2" numFmtId="4">
    <oc r="F34">
      <v>39284.527269999999</v>
    </oc>
    <nc r="F34">
      <v>39371.26857</v>
    </nc>
  </rcc>
  <rcc rId="36945" sId="2" numFmtId="4">
    <oc r="G34">
      <v>3988.4219199999998</v>
    </oc>
    <nc r="G34">
      <v>6589.7753499999999</v>
    </nc>
  </rcc>
  <rcc rId="36946" sId="2" numFmtId="4">
    <oc r="J34">
      <v>733.00216999999998</v>
    </oc>
    <nc r="J34">
      <v>1172.6205299999999</v>
    </nc>
  </rcc>
  <rcc rId="36947" sId="2" numFmtId="4">
    <oc r="M34">
      <v>737.52859999999998</v>
    </oc>
    <nc r="M34">
      <v>1053.7562</v>
    </nc>
  </rcc>
  <rcc rId="36948" sId="2" numFmtId="4">
    <oc r="P34">
      <v>5.0042400000000002</v>
    </oc>
    <nc r="P34">
      <v>7.3626500000000004</v>
    </nc>
  </rcc>
  <rcc rId="36949" sId="2" numFmtId="4">
    <oc r="S34">
      <v>1083.28297</v>
    </oc>
    <nc r="S34">
      <v>1545.0240200000001</v>
    </nc>
  </rcc>
  <rcc rId="36950" sId="2" numFmtId="4">
    <oc r="V34">
      <v>-160.67634000000001</v>
    </oc>
    <nc r="V34">
      <v>-207.38727</v>
    </nc>
  </rcc>
  <rcc rId="36951" sId="2" numFmtId="4">
    <oc r="Y34">
      <v>22.887070000000001</v>
    </oc>
    <nc r="Y34">
      <v>262.66601000000003</v>
    </nc>
  </rcc>
  <rcc rId="36952" sId="2" numFmtId="4">
    <oc r="AB34">
      <v>150.52557999999999</v>
    </oc>
    <nc r="AB34">
      <v>514.52205000000004</v>
    </nc>
  </rcc>
  <rcc rId="36953" sId="2" numFmtId="4">
    <oc r="AD34">
      <v>17575</v>
    </oc>
    <nc r="AD34">
      <v>17719.37729</v>
    </nc>
  </rcc>
  <rcc rId="36954" sId="2" numFmtId="4">
    <oc r="AE34">
      <v>1141.7193</v>
    </oc>
    <nc r="AE34">
      <v>1534.11312</v>
    </nc>
  </rcc>
  <rcc rId="36955" sId="2" numFmtId="4">
    <oc r="AH34">
      <v>14.46</v>
    </oc>
    <nc r="AH34">
      <v>27.885000000000002</v>
    </nc>
  </rcc>
  <rcc rId="36956" sId="2" numFmtId="4">
    <oc r="AQ34">
      <v>72.138999999999996</v>
    </oc>
    <nc r="AQ34">
      <v>188.85153</v>
    </nc>
  </rcc>
  <rcc rId="36957" sId="2" numFmtId="4">
    <oc r="AT34">
      <v>67.404660000000007</v>
    </oc>
    <nc r="AT34">
      <v>127.99169999999999</v>
    </nc>
  </rcc>
  <rcc rId="36958" sId="2" numFmtId="4">
    <oc r="AY34">
      <v>130</v>
    </oc>
    <nc r="AY34">
      <v>230</v>
    </nc>
  </rcc>
  <rcc rId="36959" sId="2" numFmtId="4">
    <oc r="AZ34">
      <v>80.516080000000002</v>
    </oc>
    <nc r="AZ34">
      <v>304.22726</v>
    </nc>
  </rcc>
  <rcc rId="36960" sId="2" numFmtId="4">
    <oc r="BE34">
      <v>605.81227000000001</v>
    </oc>
    <nc r="BE34">
      <v>448.17628000000002</v>
    </nc>
  </rcc>
  <rcc rId="36961" sId="2" numFmtId="4">
    <oc r="BZ34">
      <v>75046.587490000005</v>
    </oc>
    <nc r="BZ34">
      <v>96071.740120000002</v>
    </nc>
  </rcc>
  <rcc rId="36962" sId="2" numFmtId="4">
    <oc r="CA34">
      <v>5928.4806799999997</v>
    </oc>
    <nc r="CA34">
      <v>12312.64588</v>
    </nc>
  </rcc>
  <rcc rId="36963" sId="2" numFmtId="4">
    <oc r="CD34">
      <v>4715.5659999999998</v>
    </oc>
    <nc r="CD34">
      <v>7073.3490000000002</v>
    </nc>
  </rcc>
  <rcc rId="36964" sId="2" numFmtId="4">
    <oc r="CF34">
      <v>5014</v>
    </oc>
    <nc r="CF34">
      <v>6651.5</v>
    </nc>
  </rcc>
  <rcc rId="36965" sId="2" numFmtId="4">
    <oc r="CG34">
      <v>0</v>
    </oc>
    <nc r="CG34">
      <v>337.5</v>
    </nc>
  </rcc>
  <rcc rId="36966" sId="2" numFmtId="4">
    <oc r="CI34">
      <v>36145.425360000001</v>
    </oc>
    <nc r="CI34">
      <v>51550.873789999998</v>
    </nc>
  </rcc>
  <rcc rId="36967" sId="2" numFmtId="4">
    <nc r="CJ34">
      <v>3043.5369999999998</v>
    </nc>
  </rcc>
  <rcc rId="36968" sId="2" numFmtId="4">
    <oc r="CM34">
      <v>356</v>
    </oc>
    <nc r="CM34">
      <v>534</v>
    </nc>
  </rcc>
  <rcc rId="36969" sId="2" numFmtId="4">
    <oc r="CO34">
      <v>76.638130000000004</v>
    </oc>
    <nc r="CO34">
      <v>3926.6381299999998</v>
    </nc>
  </rcc>
  <rcc rId="36970" sId="2" numFmtId="4">
    <oc r="CR34">
      <v>3315.424</v>
    </oc>
    <nc r="CR34">
      <v>3447.6282000000001</v>
    </nc>
  </rcc>
  <rcc rId="36971" sId="2" numFmtId="4">
    <oc r="CS34">
      <v>856.91467999999998</v>
    </oc>
    <nc r="CS34">
      <v>1324.2598800000001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211.xml><?xml version="1.0" encoding="utf-8"?>
<revisions xmlns="http://schemas.openxmlformats.org/spreadsheetml/2006/main" xmlns:r="http://schemas.openxmlformats.org/officeDocument/2006/relationships">
  <rrc rId="33475" sId="7" ref="A70:XFD70" action="insertRow">
    <undo index="26" exp="area" ref3D="1" dr="$A$141:$XFD$141" dn="Z_B30CE22D_C12F_4E12_8BB9_3AAE0A6991CC_.wvu.Rows" sId="7"/>
    <undo index="24" exp="area" ref3D="1" dr="$A$88:$XFD$95" dn="Z_B30CE22D_C12F_4E12_8BB9_3AAE0A6991CC_.wvu.Rows" sId="7"/>
    <undo index="22" exp="area" ref3D="1" dr="$A$81:$XFD$85" dn="Z_B30CE22D_C12F_4E12_8BB9_3AAE0A6991CC_.wvu.Rows" sId="7"/>
    <undo index="20" exp="area" ref3D="1" dr="$A$76:$XFD$77" dn="Z_B30CE22D_C12F_4E12_8BB9_3AAE0A6991CC_.wvu.Rows" sId="7"/>
    <undo index="26" exp="area" ref3D="1" dr="$A$141:$XFD$141" dn="Z_A54C432C_6C68_4B53_A75C_446EB3A61B2B_.wvu.Rows" sId="7"/>
    <undo index="24" exp="area" ref3D="1" dr="$A$88:$XFD$95" dn="Z_A54C432C_6C68_4B53_A75C_446EB3A61B2B_.wvu.Rows" sId="7"/>
    <undo index="22" exp="area" ref3D="1" dr="$A$81:$XFD$85" dn="Z_A54C432C_6C68_4B53_A75C_446EB3A61B2B_.wvu.Rows" sId="7"/>
    <undo index="20" exp="area" ref3D="1" dr="$A$76:$XFD$77" dn="Z_A54C432C_6C68_4B53_A75C_446EB3A61B2B_.wvu.Rows" sId="7"/>
    <undo index="26" exp="area" ref3D="1" dr="$A$141:$XFD$141" dn="Z_61528DAC_5C4C_48F4_ADE2_8A724B05A086_.wvu.Rows" sId="7"/>
    <undo index="24" exp="area" ref3D="1" dr="$A$88:$XFD$95" dn="Z_61528DAC_5C4C_48F4_ADE2_8A724B05A086_.wvu.Rows" sId="7"/>
    <undo index="22" exp="area" ref3D="1" dr="$A$81:$XFD$85" dn="Z_61528DAC_5C4C_48F4_ADE2_8A724B05A086_.wvu.Rows" sId="7"/>
    <undo index="20" exp="area" ref3D="1" dr="$A$76:$XFD$77" dn="Z_61528DAC_5C4C_48F4_ADE2_8A724B05A086_.wvu.Rows" sId="7"/>
    <undo index="12" exp="area" ref3D="1" dr="$A$88:$XFD$95" dn="Z_5BFCA170_DEAE_4D2C_98A0_1E68B427AC01_.wvu.Rows" sId="7"/>
    <undo index="10" exp="area" ref3D="1" dr="$A$82:$XFD$84" dn="Z_5BFCA170_DEAE_4D2C_98A0_1E68B427AC01_.wvu.Rows" sId="7"/>
    <undo index="22" exp="area" ref3D="1" dr="$A$88:$XFD$95" dn="Z_42584DC0_1D41_4C93_9B38_C388E7B8DAC4_.wvu.Rows" sId="7"/>
    <undo index="20" exp="area" ref3D="1" dr="$A$81:$XFD$85" dn="Z_42584DC0_1D41_4C93_9B38_C388E7B8DAC4_.wvu.Rows" sId="7"/>
    <undo index="18" exp="area" ref3D="1" dr="$A$76:$XFD$77" dn="Z_42584DC0_1D41_4C93_9B38_C388E7B8DAC4_.wvu.Rows" sId="7"/>
    <undo index="12" exp="area" ref3D="1" dr="$A$88:$XFD$95" dn="Z_3DCB9AAA_F09C_4EA6_B992_F93E466D374A_.wvu.Rows" sId="7"/>
    <undo index="10" exp="area" ref3D="1" dr="$A$82:$XFD$84" dn="Z_3DCB9AAA_F09C_4EA6_B992_F93E466D374A_.wvu.Rows" sId="7"/>
    <undo index="12" exp="area" ref3D="1" dr="$A$88:$XFD$95" dn="Z_1A52382B_3765_4E8C_903F_6B8919B7242E_.wvu.Rows" sId="7"/>
    <undo index="10" exp="area" ref3D="1" dr="$A$82:$XFD$84" dn="Z_1A52382B_3765_4E8C_903F_6B8919B7242E_.wvu.Rows" sId="7"/>
    <undo index="24" exp="area" ref3D="1" dr="$A$141:$XFD$141" dn="Z_1718F1EE_9F48_4DBE_9531_3B70F9C4A5DD_.wvu.Rows" sId="7"/>
    <undo index="22" exp="area" ref3D="1" dr="$A$88:$XFD$95" dn="Z_1718F1EE_9F48_4DBE_9531_3B70F9C4A5DD_.wvu.Rows" sId="7"/>
    <undo index="20" exp="area" ref3D="1" dr="$A$81:$XFD$85" dn="Z_1718F1EE_9F48_4DBE_9531_3B70F9C4A5DD_.wvu.Rows" sId="7"/>
    <undo index="18" exp="area" ref3D="1" dr="$A$76:$XFD$77" dn="Z_1718F1EE_9F48_4DBE_9531_3B70F9C4A5DD_.wvu.Rows" sId="7"/>
  </rrc>
  <rcc rId="33476" sId="7">
    <nc r="A70" t="inlineStr">
      <is>
        <t>0314</t>
      </is>
    </nc>
  </rcc>
  <rcc rId="33477" sId="7">
    <nc r="B70" t="inlineStr">
      <is>
        <t>Другие вопросы в облости национальной безопасности</t>
      </is>
    </nc>
  </rcc>
  <rcc rId="33478" sId="7" numFmtId="34">
    <nc r="C70">
      <v>2</v>
    </nc>
  </rcc>
  <rcc rId="33479" sId="7">
    <oc r="C65">
      <f>C68+C69</f>
    </oc>
    <nc r="C65">
      <f>C68+C69+C70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Сун!$A$1:$F$103</formula>
    <oldFormula>Сун!$A$1:$F$103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Мор!$A$1:$F$100</formula>
    <oldFormula>Мор!$A$1:$F$100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61528DAC_5C4C_48F4_ADE2_8A724B05A086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2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3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24.xml><?xml version="1.0" encoding="utf-8"?>
<revisions xmlns="http://schemas.openxmlformats.org/spreadsheetml/2006/main" xmlns:r="http://schemas.openxmlformats.org/officeDocument/2006/relationships">
  <rcc rId="37453" sId="1" numFmtId="4">
    <oc r="C32">
      <v>201223.10735999999</v>
    </oc>
    <nc r="C32">
      <v>219608.45301</v>
    </nc>
  </rcc>
  <rcc rId="37454" sId="1" numFmtId="4">
    <oc r="D32">
      <v>1168.1639600000001</v>
    </oc>
    <nc r="D32">
      <v>11919.658789999999</v>
    </nc>
  </rcc>
  <rcc rId="37455" sId="1" numFmtId="4">
    <oc r="C33">
      <v>21849.657739999999</v>
    </oc>
    <nc r="C33">
      <v>25335.451799999999</v>
    </nc>
  </rcc>
  <rcc rId="37456" sId="1" numFmtId="4">
    <oc r="D33">
      <v>858.20357000000001</v>
    </oc>
    <nc r="D33">
      <v>2068.3483700000002</v>
    </nc>
  </rcc>
  <rcc rId="37457" sId="1" numFmtId="4">
    <oc r="C36">
      <v>55522.677900000002</v>
    </oc>
    <nc r="C36">
      <v>62617.364909999997</v>
    </nc>
  </rcc>
  <rcc rId="37458" sId="1" numFmtId="4">
    <oc r="D36">
      <v>6846.0030999999999</v>
    </oc>
    <nc r="D36">
      <v>10425.782740000001</v>
    </nc>
  </rcc>
  <rcc rId="37459" sId="1" numFmtId="4">
    <oc r="D37">
      <f>G37+J37</f>
    </oc>
    <nc r="D37">
      <v>1553.97371</v>
    </nc>
  </rcc>
  <rcc rId="37460" sId="1" numFmtId="4">
    <oc r="D38">
      <v>953.83375000000001</v>
    </oc>
    <nc r="D38">
      <v>1862.94075</v>
    </nc>
  </rcc>
  <rcc rId="37461" sId="1" numFmtId="4">
    <oc r="C24">
      <v>555237.09028999996</v>
    </oc>
    <nc r="C24">
      <v>598113.49531000003</v>
    </nc>
  </rcc>
  <rcc rId="37462" sId="1" numFmtId="4">
    <oc r="D24">
      <v>56077.482080000002</v>
    </oc>
    <nc r="D24">
      <v>94322.961429999996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Справка!$33:$34</formula>
    <oldFormula>Справка!$33:$34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2241.xml><?xml version="1.0" encoding="utf-8"?>
<revisions xmlns="http://schemas.openxmlformats.org/spreadsheetml/2006/main" xmlns:r="http://schemas.openxmlformats.org/officeDocument/2006/relationships"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Тор!$19:$24,Тор!$32:$39,Тор!$46:$47,Тор!$49:$50,Тор!$57:$57,Тор!$59:$60,Тор!$67:$68,Тор!$75:$75,Тор!$79:$80,Тор!$84:$96</formula>
    <oldFormula>Тор!$19:$24,Тор!$32:$39,Тор!$46:$47,Тор!$49:$50,Тор!$57:$57,Тор!$59:$60,Тор!$67:$68,Тор!$75:$75,Тор!$79:$80,Тор!$84:$96</oldFormula>
  </rdn>
  <rdn rId="0" localSheetId="13" customView="1" name="Z_1A52382B_3765_4E8C_903F_6B8919B7242E_.wvu.PrintArea" hidden="1" oldHidden="1">
    <formula>Хор!$A$1:$F$99</formula>
    <oldFormula>Хор!$A$1:$F$99</oldFormula>
  </rdn>
  <rdn rId="0" localSheetId="13" customView="1" name="Z_1A52382B_3765_4E8C_903F_6B8919B7242E_.wvu.Rows" hidden="1" oldHidden="1">
    <formula>Хор!$19:$24,Хор!$28:$36,Хор!$40:$40,Хор!$46:$48,Хор!$55:$55,Хор!$57:$59,Хор!$65:$66,Хор!$72:$72,Хор!$76:$77,Хор!$81:$85,Хор!$88:$95</formula>
    <oldFormula>Хор!$19:$24,Хор!$28:$36,Хор!$40:$40,Хор!$46:$48,Хор!$55:$55,Хор!$57:$59,Хор!$65:$66,Хор!$72:$72,Хор!$76:$77,Хор!$81:$85,Хор!$88:$95</oldFormula>
  </rdn>
  <rdn rId="0" localSheetId="14" customView="1" name="Z_1A52382B_3765_4E8C_903F_6B8919B7242E_.wvu.PrintArea" hidden="1" oldHidden="1">
    <formula>Чум!$A$1:$F$101</formula>
    <oldFormula>Чум!$A$1:$F$101</oldFormula>
  </rdn>
  <rdn rId="0" localSheetId="14" customView="1" name="Z_1A52382B_3765_4E8C_903F_6B8919B7242E_.wvu.Rows" hidden="1" oldHidden="1">
    <formula>Чум!$19:$21,Чум!$23:$24,Чум!$28:$28,Чум!$31:$39,Чум!$47:$49,Чум!$57:$57,Чум!$59:$60,Чум!$67:$68,Чум!$78:$79,Чум!$83:$87,Чум!$90:$97</formula>
    <oldFormula>Чум!$19:$21,Чум!$23:$24,Чум!$28:$28,Чум!$31:$39,Чум!$47:$49,Чум!$57:$57,Чум!$59:$60,Чум!$67:$68,Чум!$78:$79,Чум!$83:$87,Чум!$90:$97</oldFormula>
  </rdn>
  <rdn rId="0" localSheetId="15" customView="1" name="Z_1A52382B_3765_4E8C_903F_6B8919B7242E_.wvu.PrintArea" hidden="1" oldHidden="1">
    <formula>Шать!$A$1:$F$101</formula>
    <oldFormula>Шать!$A$1:$F$101</oldFormula>
  </rdn>
  <rdn rId="0" localSheetId="15" customView="1" name="Z_1A52382B_3765_4E8C_903F_6B8919B7242E_.wvu.Rows" hidden="1" oldHidden="1">
    <formula>Шать!$19:$24,Шать!$31:$39,Шать!$46:$49,Шать!$57:$57,Шать!$59:$60,Шать!$67:$68,Шать!$78:$79,Шать!$83:$87,Шать!$90:$97</formula>
    <oldFormula>Шать!$19:$24,Шать!$31:$39,Шать!$46:$49,Шать!$57:$57,Шать!$59:$60,Шать!$67:$68,Шать!$78:$79,Шать!$83:$87,Шать!$90:$97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Юнг!$19:$24,Юнг!$31:$38,Юнг!$45:$49,Юнг!$56:$56,Юнг!$58:$59,Юнг!$66:$67,Юнг!$77:$77,Юнг!$82:$86,Юнг!$89:$96</formula>
    <oldFormula>Юнг!$19:$24,Юнг!$31:$38,Юнг!$45:$49,Юнг!$56:$56,Юнг!$58:$59,Юнг!$66:$67,Юнг!$77:$77,Юнг!$82:$86,Юнг!$89:$96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Юсь!$20:$24,Юсь!$36:$36,Юсь!$40:$40,Юсь!$44:$49,Юсь!$58:$58,Юсь!$60:$61,Юсь!$68:$69,Юсь!$79:$80,Юсь!$84:$88,Юсь!$91:$98</formula>
    <oldFormula>Юсь!$20:$24,Юсь!$36:$36,Юсь!$40:$40,Юсь!$44:$49,Юсь!$58:$58,Юсь!$60:$61,Юсь!$68:$69,Юсь!$79:$80,Юсь!$84:$88,Юсь!$91:$98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Яра!$19:$24,Яра!$46:$46,Яра!$48:$51,Яра!$58:$58,Яра!$60:$61,Яра!$68:$69,Яра!$79:$80,Яра!$84:$88,Яра!$91:$98</formula>
    <oldFormula>Яра!$19:$24,Яра!$46:$46,Яра!$48:$51,Яра!$58:$58,Яра!$60:$61,Яра!$68:$69,Яра!$79:$80,Яра!$84:$88,Яра!$91:$98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225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Справка!$33:$34</formula>
    <oldFormula>Справка!$33:$34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225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cc rId="37899" sId="9" numFmtId="34">
    <oc r="D59">
      <v>364.16136</v>
    </oc>
    <nc r="D59">
      <v>588.76473999999996</v>
    </nc>
  </rcc>
  <rcc rId="37900" sId="9" numFmtId="34">
    <oc r="D66">
      <v>33.986879999999999</v>
    </oc>
    <nc r="D66">
      <v>54.289560000000002</v>
    </nc>
  </rcc>
  <rcc rId="37901" sId="9" numFmtId="34">
    <oc r="D74">
      <v>0</v>
    </oc>
    <nc r="D74">
      <v>1.3405</v>
    </nc>
  </rcc>
  <rcc rId="37902" sId="9" numFmtId="34">
    <oc r="D75">
      <v>49.006700000000002</v>
    </oc>
    <nc r="D75">
      <v>89.025700000000001</v>
    </nc>
  </rcc>
  <rcc rId="37903" sId="9" numFmtId="34">
    <oc r="D76">
      <v>111.89272</v>
    </oc>
    <nc r="D76">
      <v>199.80771999999999</v>
    </nc>
  </rcc>
  <rcc rId="37904" sId="9" numFmtId="34">
    <oc r="D81">
      <v>106.12133</v>
    </oc>
    <nc r="D81">
      <v>142.36712</v>
    </nc>
  </rcc>
  <rcc rId="37905" sId="9" numFmtId="34">
    <oc r="D84">
      <v>0</v>
    </oc>
    <nc r="D84">
      <v>235.28399999999999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31.xml><?xml version="1.0" encoding="utf-8"?>
<revisions xmlns="http://schemas.openxmlformats.org/spreadsheetml/2006/main" xmlns:r="http://schemas.openxmlformats.org/officeDocument/2006/relationships"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PrintArea" hidden="1" oldHidden="1">
    <formula>Чум!$A$1:$F$101</formula>
    <oldFormula>Чум!$A$1:$F$101</oldFormula>
  </rdn>
  <rdn rId="0" localSheetId="14" customView="1" name="Z_1A52382B_3765_4E8C_903F_6B8919B7242E_.wvu.Rows" hidden="1" oldHidden="1">
    <formula>Чум!$19:$21,Чум!$23:$24,Чум!$34:$39,Чум!$47:$49,Чум!$57:$57,Чум!$59:$60,Чум!$67:$68,Чум!$83:$87,Чум!$90:$97</formula>
    <oldFormula>Чум!$19:$21,Чум!$23:$24,Чум!$34:$39,Чум!$47:$49,Чум!$57:$57,Чум!$59:$60,Чум!$67:$68,Чум!$83:$87,Чум!$90:$97</oldFormula>
  </rdn>
  <rdn rId="0" localSheetId="15" customView="1" name="Z_1A52382B_3765_4E8C_903F_6B8919B7242E_.wvu.PrintArea" hidden="1" oldHidden="1">
    <formula>Шать!$A$1:$F$101</formula>
    <oldFormula>Шать!$A$1:$F$101</oldFormula>
  </rdn>
  <rdn rId="0" localSheetId="15" customView="1" name="Z_1A52382B_3765_4E8C_903F_6B8919B7242E_.wvu.Rows" hidden="1" oldHidden="1">
    <formula>Шать!$19:$24,Шать!$31:$39,Шать!$46:$49,Шать!$57:$57,Шать!$59:$60,Шать!$67:$68,Шать!$78:$79,Шать!$83:$87,Шать!$90:$97</formula>
    <oldFormula>Шать!$19:$24,Шать!$31:$39,Шать!$46:$49,Шать!$57:$57,Шать!$59:$60,Шать!$67:$68,Шать!$78:$79,Шать!$83:$87,Шать!$90:$97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Юнг!$19:$24,Юнг!$31:$38,Юнг!$45:$49,Юнг!$56:$56,Юнг!$58:$59,Юнг!$66:$67,Юнг!$77:$77,Юнг!$82:$86,Юнг!$89:$96</formula>
    <oldFormula>Юнг!$19:$24,Юнг!$31:$38,Юнг!$45:$49,Юнг!$56:$56,Юнг!$58:$59,Юнг!$66:$67,Юнг!$77:$77,Юнг!$82:$86,Юнг!$89:$96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Юсь!$20:$24,Юсь!$36:$36,Юсь!$40:$40,Юсь!$44:$49,Юсь!$58:$58,Юсь!$60:$61,Юсь!$68:$69,Юсь!$79:$80,Юсь!$84:$88,Юсь!$91:$98</formula>
    <oldFormula>Юсь!$20:$24,Юсь!$36:$36,Юсь!$40:$40,Юсь!$44:$49,Юсь!$58:$58,Юсь!$60:$61,Юсь!$68:$69,Юсь!$79:$80,Юсь!$84:$88,Юсь!$91:$98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Яра!$19:$24,Яра!$46:$46,Яра!$48:$51,Яра!$58:$58,Яра!$60:$61,Яра!$68:$69,Яра!$79:$80,Яра!$84:$88,Яра!$91:$98</formula>
    <oldFormula>Яра!$19:$24,Яра!$46:$46,Яра!$48:$51,Яра!$58:$58,Яра!$60:$61,Яра!$68:$69,Яра!$79:$80,Яра!$84:$88,Яра!$91:$98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2311.xml><?xml version="1.0" encoding="utf-8"?>
<revisions xmlns="http://schemas.openxmlformats.org/spreadsheetml/2006/main" xmlns:r="http://schemas.openxmlformats.org/officeDocument/2006/relationships">
  <rcc rId="34670" sId="8" numFmtId="4">
    <oc r="D6">
      <v>244.09619000000001</v>
    </oc>
    <nc r="D6">
      <v>243.81647000000001</v>
    </nc>
  </rcc>
  <rfmt sheetId="2" sqref="J14:J29">
    <dxf>
      <fill>
        <patternFill>
          <bgColor theme="0"/>
        </patternFill>
      </fill>
    </dxf>
  </rfmt>
  <rfmt sheetId="2" sqref="J14:J29">
    <dxf>
      <numFmt numFmtId="172" formatCode="#,##0.00000"/>
    </dxf>
  </rfmt>
  <rfmt sheetId="2" sqref="J14:J29">
    <dxf>
      <numFmt numFmtId="183" formatCode="#,##0.0000"/>
    </dxf>
  </rfmt>
  <rfmt sheetId="2" sqref="J14:J29">
    <dxf>
      <numFmt numFmtId="173" formatCode="#,##0.000"/>
    </dxf>
  </rfmt>
  <rfmt sheetId="2" sqref="J14:J29">
    <dxf>
      <numFmt numFmtId="4" formatCode="#,##0.00"/>
    </dxf>
  </rfmt>
  <rfmt sheetId="2" sqref="J14:J29">
    <dxf>
      <numFmt numFmtId="167" formatCode="#,##0.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3111.xml><?xml version="1.0" encoding="utf-8"?>
<revisions xmlns="http://schemas.openxmlformats.org/spreadsheetml/2006/main" xmlns:r="http://schemas.openxmlformats.org/officeDocument/2006/relationships">
  <rfmt sheetId="2" sqref="J31">
    <dxf>
      <numFmt numFmtId="4" formatCode="#,##0.00"/>
    </dxf>
  </rfmt>
  <rfmt sheetId="2" sqref="J31">
    <dxf>
      <numFmt numFmtId="173" formatCode="#,##0.000"/>
    </dxf>
  </rfmt>
  <rfmt sheetId="2" sqref="J31">
    <dxf>
      <numFmt numFmtId="183" formatCode="#,##0.0000"/>
    </dxf>
  </rfmt>
  <rfmt sheetId="2" sqref="J31">
    <dxf>
      <numFmt numFmtId="172" formatCode="#,##0.00000"/>
    </dxf>
  </rfmt>
  <rfmt sheetId="2" sqref="J31">
    <dxf>
      <numFmt numFmtId="180" formatCode="#,##0.00000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32.xml><?xml version="1.0" encoding="utf-8"?>
<revisions xmlns="http://schemas.openxmlformats.org/spreadsheetml/2006/main" xmlns:r="http://schemas.openxmlformats.org/officeDocument/2006/relationships"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232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Сун!$A$1:$F$103</formula>
    <oldFormula>Сун!$A$1:$F$103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Мор!$A$1:$F$100</formula>
    <oldFormula>Мор!$A$1:$F$100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61528DAC_5C4C_48F4_ADE2_8A724B05A086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3211.xml><?xml version="1.0" encoding="utf-8"?>
<revisions xmlns="http://schemas.openxmlformats.org/spreadsheetml/2006/main" xmlns:r="http://schemas.openxmlformats.org/officeDocument/2006/relationships"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Мор!$A$1:$F$100</formula>
    <oldFormula>Мор!$A$1:$F$100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Мор!$17:$17,Мор!$21:$21,Мор!$23:$23,Мор!$37:$37,Мор!$44:$44,Мор!$46:$47,Мор!$49:$50,Мор!$57:$57,Мор!$59:$60,Мор!$67:$68,Мор!$82:$87,Мор!$90:$96</formula>
    <oldFormula>Мор!$17:$17,Мор!$21:$21,Мор!$23:$23,Мор!$37:$37,Мор!$44:$44,Мор!$46:$47,Мор!$49:$50,Мор!$57:$57,Мор!$59:$60,Мор!$67:$68,Мор!$82:$87,Мор!$90:$96</oldFormula>
  </rdn>
  <rdn rId="0" localSheetId="9" customView="1" name="Z_1A52382B_3765_4E8C_903F_6B8919B7242E_.wvu.Rows" hidden="1" oldHidden="1">
    <formula>Мос!$19:$24,Мос!$44:$44,Мос!$57:$57,Мос!$59:$60,Мос!$67:$68,Мос!$80:$80,Мос!$84:$88,Мос!$93:$98</formula>
    <oldFormula>Мос!$19:$24,Мос!$44:$44,Мос!$57:$57,Мос!$59:$60,Мос!$67:$68,Мос!$80:$80,Мос!$84:$88,Мос!$93:$98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Тор!$A$1:$F$101</formula>
    <oldFormula>Тор!$A$1:$F$101</oldFormula>
  </rdn>
  <rdn rId="0" localSheetId="12" customView="1" name="Z_1A52382B_3765_4E8C_903F_6B8919B7242E_.wvu.Rows" hidden="1" oldHidden="1">
    <formula>Тор!$19:$19,Тор!$50:$50,Тор!$57:$57,Тор!$59:$60,Тор!$67:$68,Тор!$74:$74,Тор!$78:$79,Тор!$82:$93</formula>
    <oldFormula>Тор!$19:$19,Тор!$50:$50,Тор!$57:$57,Тор!$59:$60,Тор!$67:$68,Тор!$74:$74,Тор!$78:$79,Тор!$82:$93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232111.xml><?xml version="1.0" encoding="utf-8"?>
<revisions xmlns="http://schemas.openxmlformats.org/spreadsheetml/2006/main" xmlns:r="http://schemas.openxmlformats.org/officeDocument/2006/relationships">
  <rcc rId="33510" sId="10" numFmtId="4">
    <oc r="D6">
      <v>10.26676</v>
    </oc>
    <nc r="D6">
      <v>33.151679999999999</v>
    </nc>
  </rcc>
  <rcc rId="33511" sId="10" numFmtId="4">
    <oc r="D8">
      <v>21.10087</v>
    </oc>
    <nc r="D8">
      <v>38.305610000000001</v>
    </nc>
  </rcc>
  <rcc rId="33512" sId="10" numFmtId="4">
    <oc r="D9">
      <v>0.15755</v>
    </oc>
    <nc r="D9">
      <v>0.25990000000000002</v>
    </nc>
  </rcc>
  <rcc rId="33513" sId="10" numFmtId="4">
    <oc r="D10">
      <v>30.711390000000002</v>
    </oc>
    <nc r="D10">
      <v>56.263300000000001</v>
    </nc>
  </rcc>
  <rcc rId="33514" sId="10" numFmtId="4">
    <oc r="D11">
      <v>-3.6515499999999999</v>
    </oc>
    <nc r="D11">
      <v>-8.3451599999999999</v>
    </nc>
  </rcc>
  <rcc rId="33515" sId="10" numFmtId="4">
    <oc r="D15">
      <v>1.3729999999999999E-2</v>
    </oc>
    <nc r="D15">
      <v>2.4299999999999999E-2</v>
    </nc>
  </rcc>
  <rcc rId="33516" sId="10" numFmtId="4">
    <oc r="D16">
      <v>20.655670000000001</v>
    </oc>
    <nc r="D16">
      <v>41.612760000000002</v>
    </nc>
  </rcc>
  <rcc rId="33517" sId="10" numFmtId="4">
    <oc r="D28">
      <v>0</v>
    </oc>
    <nc r="D28">
      <v>4.5</v>
    </nc>
  </rcc>
  <rcc rId="33518" sId="10" numFmtId="4">
    <oc r="D30">
      <v>0</v>
    </oc>
    <nc r="D30">
      <v>10.68961</v>
    </nc>
  </rcc>
  <rcc rId="33519" sId="10" numFmtId="4">
    <oc r="D41">
      <v>121.875</v>
    </oc>
    <nc r="D41">
      <v>243.75</v>
    </nc>
  </rcc>
  <rcc rId="33520" sId="10" numFmtId="4">
    <oc r="C43">
      <v>764.07</v>
    </oc>
    <nc r="C43">
      <v>1125.08</v>
    </nc>
  </rcc>
  <rcc rId="33521" sId="10" numFmtId="4">
    <oc r="C45">
      <v>180.46100000000001</v>
    </oc>
    <nc r="C45">
      <v>182.40299999999999</v>
    </nc>
  </rcc>
  <rcc rId="33522" sId="10" numFmtId="4">
    <oc r="D45">
      <v>14.833</v>
    </oc>
    <nc r="D45">
      <v>29.666</v>
    </nc>
  </rcc>
  <rcc rId="33523" sId="10" numFmtId="34">
    <oc r="D58">
      <v>27.872409999999999</v>
    </oc>
    <nc r="D58">
      <v>125.19919</v>
    </nc>
  </rcc>
  <rcc rId="33524" sId="10" numFmtId="34">
    <oc r="D63">
      <v>0</v>
    </oc>
    <nc r="D63">
      <v>4.0345000000000004</v>
    </nc>
  </rcc>
  <rcc rId="33525" sId="10" numFmtId="34">
    <oc r="C65">
      <v>177.95</v>
    </oc>
    <nc r="C65">
      <v>179.892</v>
    </nc>
  </rcc>
  <rcc rId="33526" sId="10" numFmtId="34">
    <oc r="D65">
      <v>4</v>
    </oc>
    <nc r="D65">
      <v>18.689</v>
    </nc>
  </rcc>
  <rrc rId="33527" sId="10" ref="A71:XFD71" action="insertRow">
    <undo index="24" exp="area" ref3D="1" dr="$A$141:$XFD$141" dn="Z_B30CE22D_C12F_4E12_8BB9_3AAE0A6991CC_.wvu.Rows" sId="10"/>
    <undo index="22" exp="area" ref3D="1" dr="$A$90:$XFD$97" dn="Z_B30CE22D_C12F_4E12_8BB9_3AAE0A6991CC_.wvu.Rows" sId="10"/>
    <undo index="20" exp="area" ref3D="1" dr="$A$83:$XFD$87" dn="Z_B30CE22D_C12F_4E12_8BB9_3AAE0A6991CC_.wvu.Rows" sId="10"/>
    <undo index="18" exp="area" ref3D="1" dr="$A$80:$XFD$80" dn="Z_B30CE22D_C12F_4E12_8BB9_3AAE0A6991CC_.wvu.Rows" sId="10"/>
    <undo index="16" exp="area" ref3D="1" dr="$A$77:$XFD$78" dn="Z_B30CE22D_C12F_4E12_8BB9_3AAE0A6991CC_.wvu.Rows" sId="10"/>
    <undo index="24" exp="area" ref3D="1" dr="$A$141:$XFD$141" dn="Z_A54C432C_6C68_4B53_A75C_446EB3A61B2B_.wvu.Rows" sId="10"/>
    <undo index="22" exp="area" ref3D="1" dr="$A$90:$XFD$97" dn="Z_A54C432C_6C68_4B53_A75C_446EB3A61B2B_.wvu.Rows" sId="10"/>
    <undo index="20" exp="area" ref3D="1" dr="$A$83:$XFD$87" dn="Z_A54C432C_6C68_4B53_A75C_446EB3A61B2B_.wvu.Rows" sId="10"/>
    <undo index="18" exp="area" ref3D="1" dr="$A$80:$XFD$80" dn="Z_A54C432C_6C68_4B53_A75C_446EB3A61B2B_.wvu.Rows" sId="10"/>
    <undo index="16" exp="area" ref3D="1" dr="$A$77:$XFD$78" dn="Z_A54C432C_6C68_4B53_A75C_446EB3A61B2B_.wvu.Rows" sId="10"/>
    <undo index="24" exp="area" ref3D="1" dr="$A$141:$XFD$141" dn="Z_61528DAC_5C4C_48F4_ADE2_8A724B05A086_.wvu.Rows" sId="10"/>
    <undo index="22" exp="area" ref3D="1" dr="$A$90:$XFD$97" dn="Z_61528DAC_5C4C_48F4_ADE2_8A724B05A086_.wvu.Rows" sId="10"/>
    <undo index="20" exp="area" ref3D="1" dr="$A$83:$XFD$87" dn="Z_61528DAC_5C4C_48F4_ADE2_8A724B05A086_.wvu.Rows" sId="10"/>
    <undo index="18" exp="area" ref3D="1" dr="$A$80:$XFD$80" dn="Z_61528DAC_5C4C_48F4_ADE2_8A724B05A086_.wvu.Rows" sId="10"/>
    <undo index="16" exp="area" ref3D="1" dr="$A$77:$XFD$78" dn="Z_61528DAC_5C4C_48F4_ADE2_8A724B05A086_.wvu.Rows" sId="10"/>
    <undo index="20" exp="area" ref3D="1" dr="$A$90:$XFD$97" dn="Z_5BFCA170_DEAE_4D2C_98A0_1E68B427AC01_.wvu.Rows" sId="10"/>
    <undo index="18" exp="area" ref3D="1" dr="$A$82:$XFD$86" dn="Z_5BFCA170_DEAE_4D2C_98A0_1E68B427AC01_.wvu.Rows" sId="10"/>
    <undo index="16" exp="area" ref3D="1" dr="$A$80:$XFD$80" dn="Z_5BFCA170_DEAE_4D2C_98A0_1E68B427AC01_.wvu.Rows" sId="10"/>
    <undo index="14" exp="area" ref3D="1" dr="$A$77:$XFD$78" dn="Z_5BFCA170_DEAE_4D2C_98A0_1E68B427AC01_.wvu.Rows" sId="10"/>
    <undo index="24" exp="area" ref3D="1" dr="$A$90:$XFD$97" dn="Z_42584DC0_1D41_4C93_9B38_C388E7B8DAC4_.wvu.Rows" sId="10"/>
    <undo index="22" exp="area" ref3D="1" dr="$A$83:$XFD$87" dn="Z_42584DC0_1D41_4C93_9B38_C388E7B8DAC4_.wvu.Rows" sId="10"/>
    <undo index="20" exp="area" ref3D="1" dr="$A$80:$XFD$80" dn="Z_42584DC0_1D41_4C93_9B38_C388E7B8DAC4_.wvu.Rows" sId="10"/>
    <undo index="18" exp="area" ref3D="1" dr="$A$77:$XFD$78" dn="Z_42584DC0_1D41_4C93_9B38_C388E7B8DAC4_.wvu.Rows" sId="10"/>
    <undo index="20" exp="area" ref3D="1" dr="$A$90:$XFD$97" dn="Z_3DCB9AAA_F09C_4EA6_B992_F93E466D374A_.wvu.Rows" sId="10"/>
    <undo index="18" exp="area" ref3D="1" dr="$A$82:$XFD$86" dn="Z_3DCB9AAA_F09C_4EA6_B992_F93E466D374A_.wvu.Rows" sId="10"/>
    <undo index="16" exp="area" ref3D="1" dr="$A$80:$XFD$80" dn="Z_3DCB9AAA_F09C_4EA6_B992_F93E466D374A_.wvu.Rows" sId="10"/>
    <undo index="14" exp="area" ref3D="1" dr="$A$77:$XFD$78" dn="Z_3DCB9AAA_F09C_4EA6_B992_F93E466D374A_.wvu.Rows" sId="10"/>
    <undo index="20" exp="area" ref3D="1" dr="$A$90:$XFD$97" dn="Z_1A52382B_3765_4E8C_903F_6B8919B7242E_.wvu.Rows" sId="10"/>
    <undo index="18" exp="area" ref3D="1" dr="$A$82:$XFD$86" dn="Z_1A52382B_3765_4E8C_903F_6B8919B7242E_.wvu.Rows" sId="10"/>
    <undo index="16" exp="area" ref3D="1" dr="$A$80:$XFD$80" dn="Z_1A52382B_3765_4E8C_903F_6B8919B7242E_.wvu.Rows" sId="10"/>
    <undo index="14" exp="area" ref3D="1" dr="$A$77:$XFD$78" dn="Z_1A52382B_3765_4E8C_903F_6B8919B7242E_.wvu.Rows" sId="10"/>
    <undo index="24" exp="area" ref3D="1" dr="$A$141:$XFD$141" dn="Z_1718F1EE_9F48_4DBE_9531_3B70F9C4A5DD_.wvu.Rows" sId="10"/>
    <undo index="22" exp="area" ref3D="1" dr="$A$90:$XFD$97" dn="Z_1718F1EE_9F48_4DBE_9531_3B70F9C4A5DD_.wvu.Rows" sId="10"/>
    <undo index="20" exp="area" ref3D="1" dr="$A$83:$XFD$87" dn="Z_1718F1EE_9F48_4DBE_9531_3B70F9C4A5DD_.wvu.Rows" sId="10"/>
    <undo index="18" exp="area" ref3D="1" dr="$A$80:$XFD$80" dn="Z_1718F1EE_9F48_4DBE_9531_3B70F9C4A5DD_.wvu.Rows" sId="10"/>
    <undo index="16" exp="area" ref3D="1" dr="$A$77:$XFD$78" dn="Z_1718F1EE_9F48_4DBE_9531_3B70F9C4A5DD_.wvu.Rows" sId="10"/>
  </rrc>
  <rcc rId="33528" sId="10">
    <nc r="A71" t="inlineStr">
      <is>
        <t>0314</t>
      </is>
    </nc>
  </rcc>
  <rcc rId="33529" sId="10">
    <nc r="B71" t="inlineStr">
      <is>
        <t>Другие вопросы</t>
      </is>
    </nc>
  </rcc>
  <rcc rId="33530" sId="10" numFmtId="34">
    <nc r="C71">
      <v>2</v>
    </nc>
  </rcc>
  <rcc rId="33531" sId="10">
    <oc r="C66">
      <f>C70+C69+C68+C67</f>
    </oc>
    <nc r="C66">
      <f>C70+C69+C68+C67+C71</f>
    </nc>
  </rcc>
  <rcc rId="33532" sId="10" numFmtId="34">
    <oc r="C73">
      <v>6.25</v>
    </oc>
    <nc r="C73">
      <v>6.7024999999999997</v>
    </nc>
  </rcc>
  <rcc rId="33533" sId="10" numFmtId="34">
    <oc r="D74">
      <v>0</v>
    </oc>
    <nc r="D74">
      <v>10.69</v>
    </nc>
  </rcc>
  <rcc rId="33534" sId="10" numFmtId="34">
    <oc r="C75">
      <v>1213.605</v>
    </oc>
    <nc r="C75">
      <v>1574.615</v>
    </nc>
  </rcc>
  <rcc rId="33535" sId="10" numFmtId="34">
    <oc r="D75">
      <v>0</v>
    </oc>
    <nc r="D75">
      <v>21.11037</v>
    </nc>
  </rcc>
  <rcc rId="33536" sId="10" numFmtId="34">
    <oc r="D76">
      <v>0</v>
    </oc>
    <nc r="D76">
      <v>23</v>
    </nc>
  </rcc>
  <rcc rId="33537" sId="10" numFmtId="34">
    <oc r="D80">
      <v>0</v>
    </oc>
    <nc r="D80">
      <v>39.528669999999998</v>
    </nc>
  </rcc>
  <rcc rId="33538" sId="10" numFmtId="34">
    <oc r="D83">
      <v>131.1</v>
    </oc>
    <nc r="D83">
      <v>261.10000000000002</v>
    </nc>
  </rcc>
  <rcc rId="33539" sId="11" numFmtId="4">
    <oc r="D6">
      <v>16.177620000000001</v>
    </oc>
    <nc r="D6">
      <v>20.542850000000001</v>
    </nc>
  </rcc>
  <rcc rId="33540" sId="11" numFmtId="4">
    <oc r="D8">
      <v>26.02797</v>
    </oc>
    <nc r="D8">
      <v>47.250070000000001</v>
    </nc>
  </rcc>
  <rcc rId="33541" sId="11" numFmtId="4">
    <oc r="D9">
      <v>0.19434999999999999</v>
    </oc>
    <nc r="D9">
      <v>0.32058999999999999</v>
    </nc>
  </rcc>
  <rcc rId="33542" sId="11" numFmtId="4">
    <oc r="D10">
      <v>37.88259</v>
    </oc>
    <nc r="D10">
      <v>69.400949999999995</v>
    </nc>
  </rcc>
  <rcc rId="33543" sId="11" numFmtId="4">
    <oc r="D11">
      <v>-4.5042</v>
    </oc>
    <nc r="D11">
      <v>-10.293799999999999</v>
    </nc>
  </rcc>
  <rcc rId="33544" sId="11" numFmtId="4">
    <oc r="D13">
      <v>0</v>
    </oc>
    <nc r="D13">
      <v>4.3853999999999997</v>
    </nc>
  </rcc>
  <rcc rId="33545" sId="11" numFmtId="4">
    <oc r="D15">
      <v>-3.43946</v>
    </oc>
    <nc r="D15">
      <v>1.32443</v>
    </nc>
  </rcc>
  <rcc rId="33546" sId="11" numFmtId="4">
    <oc r="D16">
      <v>11.14644</v>
    </oc>
    <nc r="D16">
      <v>111.48408999999999</v>
    </nc>
  </rcc>
  <rcc rId="33547" sId="11" numFmtId="4">
    <oc r="D18">
      <v>0.5</v>
    </oc>
    <nc r="D18">
      <v>0.6</v>
    </nc>
  </rcc>
  <rcc rId="33548" sId="11" numFmtId="4">
    <oc r="D28">
      <v>0.56447999999999998</v>
    </oc>
    <nc r="D28">
      <v>1.12896</v>
    </nc>
  </rcc>
  <rcc rId="33549" sId="11" numFmtId="4">
    <oc r="D41">
      <v>238.5</v>
    </oc>
    <nc r="D41">
      <v>477</v>
    </nc>
  </rcc>
  <rcc rId="33550" sId="11" numFmtId="4">
    <oc r="C43">
      <v>941.25</v>
    </oc>
    <nc r="C43">
      <v>1385.9690000000001</v>
    </nc>
  </rcc>
  <rcc rId="33551" sId="11" numFmtId="4">
    <oc r="C44">
      <v>180.101</v>
    </oc>
    <nc r="C44">
      <v>182.04300000000001</v>
    </nc>
  </rcc>
  <rcc rId="33552" sId="11" numFmtId="4">
    <oc r="D44">
      <v>14.833</v>
    </oc>
    <nc r="D44">
      <v>29.666</v>
    </nc>
  </rcc>
  <rcc rId="33553" sId="11">
    <oc r="F51">
      <f>SUM(D51-C51)</f>
    </oc>
    <nc r="F51">
      <f>SUM(D51-C51)</f>
    </nc>
  </rcc>
  <rcc rId="33554" sId="11" numFmtId="4">
    <oc r="C49">
      <v>0</v>
    </oc>
    <nc r="C49">
      <v>224.8</v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Мор!$A$1:$F$100</formula>
    <oldFormula>Мор!$A$1:$F$100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Мор!$17:$17,Мор!$21:$21,Мор!$23:$23,Мор!$37:$37,Мор!$44:$44,Мор!$46:$47,Мор!$49:$50,Мор!$57:$57,Мор!$59:$60,Мор!$67:$68,Мор!$82:$87,Мор!$90:$96</formula>
    <oldFormula>Мор!$17:$17,Мор!$21:$21,Мор!$23:$23,Мор!$37:$37,Мор!$44:$44,Мор!$46:$47,Мор!$49:$50,Мор!$57:$57,Мор!$59:$60,Мор!$67:$68,Мор!$82:$87,Мор!$90:$96</oldFormula>
  </rdn>
  <rdn rId="0" localSheetId="9" customView="1" name="Z_1A52382B_3765_4E8C_903F_6B8919B7242E_.wvu.Rows" hidden="1" oldHidden="1">
    <formula>Мос!$19:$24,Мос!$44:$44,Мос!$57:$57,Мос!$59:$60,Мос!$67:$68,Мос!$80:$80,Мос!$84:$88,Мос!$93:$98</formula>
    <oldFormula>Мос!$19:$24,Мос!$44:$44,Мос!$57:$57,Мос!$59:$60,Мос!$67:$68,Мос!$80:$80,Мос!$84:$88,Мос!$93:$98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1A52382B_3765_4E8C_903F_6B8919B7242E_.wvu.Rows" hidden="1" oldHidden="1">
    <formula>Сят!$19:$19,Сят!$45:$47,Сят!$57:$57,Сят!$59:$60,Сят!$67:$68,Сят!$82:$85,Сят!$89:$96</formula>
    <oldFormula>Сят!$19:$19,Сят!$45:$47,Сят!$57:$57,Сят!$59:$60,Сят!$67:$68,Сят!$82:$85,Сят!$89:$96</oldFormula>
  </rdn>
  <rdn rId="0" localSheetId="12" customView="1" name="Z_1A52382B_3765_4E8C_903F_6B8919B7242E_.wvu.PrintArea" hidden="1" oldHidden="1">
    <formula>Тор!$A$1:$F$101</formula>
    <oldFormula>Тор!$A$1:$F$101</oldFormula>
  </rdn>
  <rdn rId="0" localSheetId="12" customView="1" name="Z_1A52382B_3765_4E8C_903F_6B8919B7242E_.wvu.Rows" hidden="1" oldHidden="1">
    <formula>Тор!$19:$19,Тор!$50:$50,Тор!$57:$57,Тор!$59:$60,Тор!$67:$68,Тор!$74:$74,Тор!$78:$79,Тор!$82:$93</formula>
    <oldFormula>Тор!$19:$19,Тор!$50:$50,Тор!$57:$57,Тор!$59:$60,Тор!$67:$68,Тор!$74:$74,Тор!$78:$79,Тор!$82:$93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23211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4.xml><?xml version="1.0" encoding="utf-8"?>
<revisions xmlns="http://schemas.openxmlformats.org/spreadsheetml/2006/main" xmlns:r="http://schemas.openxmlformats.org/officeDocument/2006/relationships">
  <rcc rId="38981" sId="3">
    <oc r="A2" t="inlineStr">
      <is>
        <t xml:space="preserve">                          Моргаушского района на 01.04.2019 г. </t>
      </is>
    </oc>
    <nc r="A2" t="inlineStr">
      <is>
        <t xml:space="preserve">                          Моргаушского района на 01.05.2019 г. </t>
      </is>
    </nc>
  </rcc>
  <rcc rId="38982" sId="3">
    <oc r="D3" t="inlineStr">
      <is>
        <t>исполнено на 01.04.2019 г.</t>
      </is>
    </oc>
    <nc r="D3" t="inlineStr">
      <is>
        <t>исполнено на 01.05.2019 г.</t>
      </is>
    </nc>
  </rcc>
  <rcc rId="38983" sId="3">
    <oc r="C4">
      <f>C5+C12+C16+C21+C23+C27+C7</f>
    </oc>
    <nc r="C4">
      <f>C5+C12+C16+C21+C23+C27+C7</f>
    </nc>
  </rcc>
  <rcc rId="38984" sId="3">
    <oc r="D4">
      <f>D5+D12+D16+D21+D23+D27+D7</f>
    </oc>
    <nc r="D4">
      <f>D5+D12+D16+D21+D23+D27+D7</f>
    </nc>
  </rcc>
  <rcc rId="38985" sId="3">
    <oc r="E4">
      <f>SUM(D4/C4*100)</f>
    </oc>
    <nc r="E4">
      <f>SUM(D4/C4*100)</f>
    </nc>
  </rcc>
  <rcc rId="38986" sId="3">
    <oc r="F4">
      <f>SUM(D4-C4)</f>
    </oc>
    <nc r="F4">
      <f>SUM(D4-C4)</f>
    </nc>
  </rcc>
  <rcc rId="38987" sId="3">
    <oc r="C5">
      <f>C6</f>
    </oc>
    <nc r="C5">
      <f>C6</f>
    </nc>
  </rcc>
  <rcc rId="38988" sId="3">
    <oc r="D5">
      <f>D6</f>
    </oc>
    <nc r="D5">
      <f>D6</f>
    </nc>
  </rcc>
  <rcc rId="38989" sId="3">
    <oc r="E5">
      <f>SUM(D5/C5*100)</f>
    </oc>
    <nc r="E5">
      <f>SUM(D5/C5*100)</f>
    </nc>
  </rcc>
  <rcc rId="38990" sId="3">
    <oc r="F5">
      <f>SUM(D5-C5)</f>
    </oc>
    <nc r="F5">
      <f>SUM(D5-C5)</f>
    </nc>
  </rcc>
  <rcc rId="38991" sId="3" numFmtId="4">
    <oc r="D6">
      <v>24203.88337</v>
    </oc>
    <nc r="D6">
      <v>34475.823929999999</v>
    </nc>
  </rcc>
  <rcc rId="38992" sId="3">
    <oc r="E6">
      <f>SUM(D6/C6*100)</f>
    </oc>
    <nc r="E6">
      <f>SUM(D6/C6*100)</f>
    </nc>
  </rcc>
  <rcc rId="38993" sId="3">
    <oc r="F6">
      <f>SUM(D6-C6)</f>
    </oc>
    <nc r="F6">
      <f>SUM(D6-C6)</f>
    </nc>
  </rcc>
  <rcc rId="38994" sId="3">
    <oc r="C7">
      <f>C8+C10+C9</f>
    </oc>
    <nc r="C7">
      <f>C8+C10+C9</f>
    </nc>
  </rcc>
  <rcc rId="38995" sId="3">
    <oc r="D7">
      <f>D8+D10+D9+D11</f>
    </oc>
    <nc r="D7">
      <f>D8+D10+D9+D11</f>
    </nc>
  </rcc>
  <rcc rId="38996" sId="3">
    <oc r="E7">
      <f>SUM(D7/C7*100)</f>
    </oc>
    <nc r="E7">
      <f>SUM(D7/C7*100)</f>
    </nc>
  </rcc>
  <rcc rId="38997" sId="3">
    <oc r="F7">
      <f>SUM(D7-C7)</f>
    </oc>
    <nc r="F7">
      <f>SUM(D7-C7)</f>
    </nc>
  </rcc>
  <rcc rId="38998" sId="3" numFmtId="4">
    <oc r="D8">
      <v>566.18907999999999</v>
    </oc>
    <nc r="D8">
      <v>763.47578999999996</v>
    </nc>
  </rcc>
  <rcc rId="38999" sId="3">
    <oc r="E8">
      <f>SUM(D8/C8*100)</f>
    </oc>
    <nc r="E8">
      <f>SUM(D8/C8*100)</f>
    </nc>
  </rcc>
  <rcc rId="39000" sId="3">
    <oc r="F8">
      <f>SUM(D8-C8)</f>
    </oc>
    <nc r="F8">
      <f>SUM(D8-C8)</f>
    </nc>
  </rcc>
  <rcc rId="39001" sId="3" numFmtId="4">
    <oc r="D9">
      <v>3.9559700000000002</v>
    </oc>
    <nc r="D9">
      <v>5.5729600000000001</v>
    </nc>
  </rcc>
  <rcc rId="39002" sId="3">
    <oc r="E9">
      <f>SUM(D9/C9*100)</f>
    </oc>
    <nc r="E9">
      <f>SUM(D9/C9*100)</f>
    </nc>
  </rcc>
  <rcc rId="39003" sId="3">
    <oc r="F9">
      <f>SUM(D9-C9)</f>
    </oc>
    <nc r="F9">
      <f>SUM(D9-C9)</f>
    </nc>
  </rcc>
  <rcc rId="39004" sId="3" numFmtId="4">
    <oc r="D10">
      <v>830.15002000000004</v>
    </oc>
    <nc r="D10">
      <v>1085.2457199999999</v>
    </nc>
  </rcc>
  <rcc rId="39005" sId="3">
    <oc r="E10">
      <f>SUM(D10/C10*100)</f>
    </oc>
    <nc r="E10">
      <f>SUM(D10/C10*100)</f>
    </nc>
  </rcc>
  <rcc rId="39006" sId="3">
    <oc r="F10">
      <f>SUM(D10-C10)</f>
    </oc>
    <nc r="F10">
      <f>SUM(D10-C10)</f>
    </nc>
  </rcc>
  <rcc rId="39007" sId="3" numFmtId="4">
    <oc r="D11">
      <v>-111.43031000000001</v>
    </oc>
    <nc r="D11">
      <v>-157.80839</v>
    </nc>
  </rcc>
  <rcc rId="39008" sId="3">
    <oc r="E11">
      <f>SUM(D11/C11*100)</f>
    </oc>
    <nc r="E11">
      <f>SUM(D11/C11*100)</f>
    </nc>
  </rcc>
  <rcc rId="39009" sId="3">
    <oc r="F11">
      <f>SUM(D11-C11)</f>
    </oc>
    <nc r="F11">
      <f>SUM(D11-C11)</f>
    </nc>
  </rcc>
  <rcc rId="39010" sId="3">
    <oc r="C12">
      <f>SUM(C13:C15)</f>
    </oc>
    <nc r="C12">
      <f>SUM(C13:C15)</f>
    </nc>
  </rcc>
  <rcc rId="39011" sId="3">
    <oc r="D12">
      <f>SUM(D13:D15)</f>
    </oc>
    <nc r="D12">
      <f>SUM(D13:D15)</f>
    </nc>
  </rcc>
  <rcc rId="39012" sId="3">
    <oc r="E12">
      <f>SUM(D12/C12*100)</f>
    </oc>
    <nc r="E12">
      <f>SUM(D12/C12*100)</f>
    </nc>
  </rcc>
  <rcc rId="39013" sId="3">
    <oc r="F12">
      <f>SUM(D12-C12)</f>
    </oc>
    <nc r="F12">
      <f>SUM(D12-C12)</f>
    </nc>
  </rcc>
  <rcc rId="39014" sId="3" numFmtId="4">
    <oc r="D13">
      <v>2528.6048000000001</v>
    </oc>
    <nc r="D13">
      <v>4805.2474000000002</v>
    </nc>
  </rcc>
  <rcc rId="39015" sId="3">
    <oc r="E13">
      <f>SUM(D13/C13*100)</f>
    </oc>
    <nc r="E13">
      <f>SUM(D13/C13*100)</f>
    </nc>
  </rcc>
  <rcc rId="39016" sId="3">
    <oc r="F13">
      <f>SUM(D13-C13)</f>
    </oc>
    <nc r="F13">
      <f>SUM(D13-C13)</f>
    </nc>
  </rcc>
  <rcc rId="39017" sId="3" numFmtId="4">
    <oc r="D14">
      <v>612.88738000000001</v>
    </oc>
    <nc r="D14">
      <v>1185.4441400000001</v>
    </nc>
  </rcc>
  <rcc rId="39018" sId="3">
    <oc r="E14">
      <f>SUM(D14/C14*100)</f>
    </oc>
    <nc r="E14">
      <f>SUM(D14/C14*100)</f>
    </nc>
  </rcc>
  <rcc rId="39019" sId="3">
    <oc r="F14">
      <f>SUM(D14-C14)</f>
    </oc>
    <nc r="F14">
      <f>SUM(D14-C14)</f>
    </nc>
  </rcc>
  <rcc rId="39020" sId="3" numFmtId="4">
    <oc r="D15">
      <v>39.706339999999997</v>
    </oc>
    <nc r="D15">
      <v>43.501339999999999</v>
    </nc>
  </rcc>
  <rcc rId="39021" sId="3">
    <oc r="E15">
      <f>SUM(D15/C15*100)</f>
    </oc>
    <nc r="E15">
      <f>SUM(D15/C15*100)</f>
    </nc>
  </rcc>
  <rcc rId="39022" sId="3">
    <oc r="F15">
      <f>SUM(D15-C15)</f>
    </oc>
    <nc r="F15">
      <f>SUM(D15-C15)</f>
    </nc>
  </rcc>
  <rcc rId="39023" sId="3">
    <oc r="C16">
      <f>SUM(C17:C20)</f>
    </oc>
    <nc r="C16">
      <f>SUM(C17:C20)</f>
    </nc>
  </rcc>
  <rcc rId="39024" sId="3">
    <oc r="D16">
      <f>SUM(D17:D20)</f>
    </oc>
    <nc r="D16">
      <f>SUM(D17:D20)</f>
    </nc>
  </rcc>
  <rcc rId="39025" sId="3">
    <oc r="E16">
      <f>SUM(D16/C16*100)</f>
    </oc>
    <nc r="E16">
      <f>SUM(D16/C16*100)</f>
    </nc>
  </rcc>
  <rcc rId="39026" sId="3">
    <oc r="F16">
      <f>SUM(D16-C16)</f>
    </oc>
    <nc r="F16">
      <f>SUM(D16-C16)</f>
    </nc>
  </rcc>
  <rcc rId="39027" sId="3">
    <oc r="E17">
      <f>SUM(D17/C17*100)</f>
    </oc>
    <nc r="E17">
      <f>SUM(D17/C17*100)</f>
    </nc>
  </rcc>
  <rcc rId="39028" sId="3">
    <oc r="F17">
      <f>SUM(D17-C17)</f>
    </oc>
    <nc r="F17">
      <f>SUM(D17-C17)</f>
    </nc>
  </rcc>
  <rcc rId="39029" sId="3">
    <oc r="E18">
      <f>SUM(D18/C18*100)</f>
    </oc>
    <nc r="E18">
      <f>SUM(D18/C18*100)</f>
    </nc>
  </rcc>
  <rcc rId="39030" sId="3">
    <oc r="F18">
      <f>SUM(D18-C18)</f>
    </oc>
    <nc r="F18">
      <f>SUM(D18-C18)</f>
    </nc>
  </rcc>
  <rcc rId="39031" sId="3" numFmtId="4">
    <oc r="D19">
      <v>209.37182999999999</v>
    </oc>
    <nc r="D19">
      <v>276.79453999999998</v>
    </nc>
  </rcc>
  <rcc rId="39032" sId="3">
    <oc r="E19">
      <f>SUM(D19/C19*100)</f>
    </oc>
    <nc r="E19">
      <f>SUM(D19/C19*100)</f>
    </nc>
  </rcc>
  <rcc rId="39033" sId="3">
    <oc r="F19">
      <f>SUM(D19-C19)</f>
    </oc>
    <nc r="F19">
      <f>SUM(D19-C19)</f>
    </nc>
  </rcc>
  <rcc rId="39034" sId="3">
    <oc r="E20">
      <f>SUM(D20/C20*100)</f>
    </oc>
    <nc r="E20">
      <f>SUM(D20/C20*100)</f>
    </nc>
  </rcc>
  <rcc rId="39035" sId="3">
    <oc r="F20">
      <f>SUM(D20-C20)</f>
    </oc>
    <nc r="F20">
      <f>SUM(D20-C20)</f>
    </nc>
  </rcc>
  <rcc rId="39036" sId="3">
    <oc r="C21">
      <f>SUM(C22)</f>
    </oc>
    <nc r="C21">
      <f>SUM(C22)</f>
    </nc>
  </rcc>
  <rcc rId="39037" sId="3">
    <oc r="D21">
      <f>SUM(D22)</f>
    </oc>
    <nc r="D21">
      <f>SUM(D22)</f>
    </nc>
  </rcc>
  <rcc rId="39038" sId="3">
    <oc r="E21">
      <f>SUM(D21/C21*100)</f>
    </oc>
    <nc r="E21">
      <f>SUM(D21/C21*100)</f>
    </nc>
  </rcc>
  <rcc rId="39039" sId="3">
    <oc r="F21">
      <f>SUM(D21-C21)</f>
    </oc>
    <nc r="F21">
      <f>SUM(D21-C21)</f>
    </nc>
  </rcc>
  <rcc rId="39040" sId="3" numFmtId="4">
    <oc r="D22">
      <v>355.36275999999998</v>
    </oc>
    <nc r="D22">
      <v>388.26675999999998</v>
    </nc>
  </rcc>
  <rcc rId="39041" sId="3">
    <oc r="E22">
      <f>SUM(D22/C22*100)</f>
    </oc>
    <nc r="E22">
      <f>SUM(D22/C22*100)</f>
    </nc>
  </rcc>
  <rcc rId="39042" sId="3">
    <oc r="F22">
      <f>SUM(D22-C22)</f>
    </oc>
    <nc r="F22">
      <f>SUM(D22-C22)</f>
    </nc>
  </rcc>
  <rcc rId="39043" sId="3">
    <oc r="C23">
      <f>C24+C25+C26</f>
    </oc>
    <nc r="C23">
      <f>C24+C25+C26</f>
    </nc>
  </rcc>
  <rcc rId="39044" sId="3">
    <oc r="D23">
      <f>D24+D25+D26</f>
    </oc>
    <nc r="D23">
      <f>D24+D25+D26</f>
    </nc>
  </rcc>
  <rcc rId="39045" sId="3">
    <oc r="E23">
      <f>SUM(D23/C23*100)</f>
    </oc>
    <nc r="E23">
      <f>SUM(D23/C23*100)</f>
    </nc>
  </rcc>
  <rcc rId="39046" sId="3">
    <oc r="F23">
      <f>SUM(D23-C23)</f>
    </oc>
    <nc r="F23">
      <f>SUM(D23-C23)</f>
    </nc>
  </rcc>
  <rcc rId="39047" sId="3" numFmtId="4">
    <oc r="D24">
      <v>422.17077</v>
    </oc>
    <nc r="D24">
      <v>601.50504999999998</v>
    </nc>
  </rcc>
  <rcc rId="39048" sId="3">
    <oc r="E24">
      <f>SUM(D24/C24*100)</f>
    </oc>
    <nc r="E24">
      <f>SUM(D24/C24*100)</f>
    </nc>
  </rcc>
  <rcc rId="39049" sId="3">
    <oc r="F24">
      <f>SUM(D24-C24)</f>
    </oc>
    <nc r="F24">
      <f>SUM(D24-C24)</f>
    </nc>
  </rcc>
  <rcc rId="39050" sId="3" numFmtId="4">
    <oc r="D25">
      <v>2.75</v>
    </oc>
    <nc r="D25">
      <v>3.75</v>
    </nc>
  </rcc>
  <rcc rId="39051" sId="3">
    <oc r="E25">
      <f>SUM(D25/C25*100)</f>
    </oc>
    <nc r="E25">
      <f>SUM(D25/C25*100)</f>
    </nc>
  </rcc>
  <rcc rId="39052" sId="3">
    <oc r="F25">
      <f>SUM(D25-C25)</f>
    </oc>
    <nc r="F25">
      <f>SUM(D25-C25)</f>
    </nc>
  </rcc>
  <rcc rId="39053" sId="3" numFmtId="4">
    <oc r="D26">
      <v>168.68</v>
    </oc>
    <nc r="D26">
      <v>236.655</v>
    </nc>
  </rcc>
  <rcc rId="39054" sId="3">
    <oc r="E26">
      <f>SUM(D26/C26*100)</f>
    </oc>
    <nc r="E26">
      <f>SUM(D26/C26*100)</f>
    </nc>
  </rcc>
  <rcc rId="39055" sId="3">
    <oc r="F26">
      <f>SUM(D26-C26)</f>
    </oc>
    <nc r="F26">
      <f>SUM(D26-C26)</f>
    </nc>
  </rcc>
  <rcc rId="39056" sId="3">
    <oc r="C27">
      <f>C28+C29+C30+C31</f>
    </oc>
    <nc r="C27">
      <f>C28+C29+C30+C31</f>
    </nc>
  </rcc>
  <rcc rId="39057" sId="3">
    <oc r="D27">
      <f>D28+D29+D30+D31</f>
    </oc>
    <nc r="D27">
      <f>D28+D29+D30+D31</f>
    </nc>
  </rcc>
  <rcc rId="39058" sId="3">
    <oc r="E27">
      <f>SUM(D27/C27*100)</f>
    </oc>
    <nc r="E27">
      <f>SUM(D27/C27*100)</f>
    </nc>
  </rcc>
  <rcc rId="39059" sId="3">
    <oc r="F27">
      <f>SUM(D27-C27)</f>
    </oc>
    <nc r="F27">
      <f>SUM(D27-C27)</f>
    </nc>
  </rcc>
  <rcc rId="39060" sId="3">
    <oc r="E28">
      <f>SUM(D28/C28*100)</f>
    </oc>
    <nc r="E28">
      <f>SUM(D28/C28*100)</f>
    </nc>
  </rcc>
  <rcc rId="39061" sId="3">
    <oc r="F28">
      <f>SUM(D28-C28)</f>
    </oc>
    <nc r="F28">
      <f>SUM(D28-C28)</f>
    </nc>
  </rcc>
  <rcc rId="39062" sId="3">
    <oc r="E29">
      <f>SUM(D29/C29*100)</f>
    </oc>
    <nc r="E29">
      <f>SUM(D29/C29*100)</f>
    </nc>
  </rcc>
  <rcc rId="39063" sId="3">
    <oc r="F29">
      <f>SUM(D29-C29)</f>
    </oc>
    <nc r="F29">
      <f>SUM(D29-C29)</f>
    </nc>
  </rcc>
  <rcc rId="39064" sId="3">
    <oc r="E30">
      <f>SUM(D30/C30*100)</f>
    </oc>
    <nc r="E30">
      <f>SUM(D30/C30*100)</f>
    </nc>
  </rcc>
  <rcc rId="39065" sId="3">
    <oc r="F30">
      <f>SUM(D30-C30)</f>
    </oc>
    <nc r="F30">
      <f>SUM(D30-C30)</f>
    </nc>
  </rcc>
  <rcc rId="39066" sId="3">
    <oc r="E31">
      <f>SUM(D31/C31*100)</f>
    </oc>
    <nc r="E31">
      <f>SUM(D31/C31*100)</f>
    </nc>
  </rcc>
  <rcc rId="39067" sId="3">
    <oc r="F31">
      <f>SUM(D31-C31)</f>
    </oc>
    <nc r="F31">
      <f>SUM(D31-C31)</f>
    </nc>
  </rcc>
  <rcc rId="39068" sId="3">
    <oc r="C32">
      <f>C33+C42+C44+C47+C50+C52+C69</f>
    </oc>
    <nc r="C32">
      <f>C33+C42+C44+C47+C50+C52+C69</f>
    </nc>
  </rcc>
  <rcc rId="39069" sId="3">
    <oc r="D32">
      <f>D33+D42+D44+D47+D50+D52+D69</f>
    </oc>
    <nc r="D32">
      <f>D33+D42+D44+D47+D50+D52+D69</f>
    </nc>
  </rcc>
  <rcc rId="39070" sId="3">
    <oc r="E32">
      <f>SUM(D32/C32*100)</f>
    </oc>
    <nc r="E32">
      <f>SUM(D32/C32*100)</f>
    </nc>
  </rcc>
  <rcc rId="39071" sId="3">
    <oc r="F32">
      <f>SUM(D32-C32)</f>
    </oc>
    <nc r="F32">
      <f>SUM(D32-C32)</f>
    </nc>
  </rcc>
  <rcc rId="39072" sId="3">
    <oc r="C33">
      <f>SUM(C34:C41)</f>
    </oc>
    <nc r="C33">
      <f>SUM(C34:C41)</f>
    </nc>
  </rcc>
  <rcc rId="39073" sId="3">
    <oc r="D33">
      <f>D35+D36+D37+D39+D38+D34+D41+D40</f>
    </oc>
    <nc r="D33">
      <f>D35+D36+D37+D39+D38+D34+D41+D40</f>
    </nc>
  </rcc>
  <rcc rId="39074" sId="3">
    <oc r="E33">
      <f>SUM(D33/C33*100)</f>
    </oc>
    <nc r="E33">
      <f>SUM(D33/C33*100)</f>
    </nc>
  </rcc>
  <rcc rId="39075" sId="3">
    <oc r="F33">
      <f>SUM(D33-C33)</f>
    </oc>
    <nc r="F33">
      <f>SUM(D33-C33)</f>
    </nc>
  </rcc>
  <rcc rId="39076" sId="3">
    <oc r="E34">
      <f>SUM(D34/C34*100)</f>
    </oc>
    <nc r="E34">
      <f>SUM(D34/C34*100)</f>
    </nc>
  </rcc>
  <rcc rId="39077" sId="3">
    <oc r="F34">
      <f>SUM(D34-C34)</f>
    </oc>
    <nc r="F34">
      <f>SUM(D34-C34)</f>
    </nc>
  </rcc>
  <rcc rId="39078" sId="3">
    <oc r="E35">
      <f>SUM(D35/C35*100)</f>
    </oc>
    <nc r="E35">
      <f>SUM(D35/C35*100)</f>
    </nc>
  </rcc>
  <rcc rId="39079" sId="3">
    <oc r="F35">
      <f>SUM(D35-C35)</f>
    </oc>
    <nc r="F35">
      <f>SUM(D35-C35)</f>
    </nc>
  </rcc>
  <rcc rId="39080" sId="3" numFmtId="4">
    <oc r="D36">
      <v>2869.57602</v>
    </oc>
    <nc r="D36">
      <v>3509.66815</v>
    </nc>
  </rcc>
  <rcc rId="39081" sId="3">
    <oc r="E36">
      <f>SUM(D36/C36*100)</f>
    </oc>
    <nc r="E36">
      <f>SUM(D36/C36*100)</f>
    </nc>
  </rcc>
  <rcc rId="39082" sId="3">
    <oc r="F36">
      <f>SUM(D36-C36)</f>
    </oc>
    <nc r="F36">
      <f>SUM(D36-C36)</f>
    </nc>
  </rcc>
  <rcc rId="39083" sId="3" numFmtId="4">
    <oc r="D37">
      <v>75.224419999999995</v>
    </oc>
    <nc r="D37">
      <v>95.455939999999998</v>
    </nc>
  </rcc>
  <rcc rId="39084" sId="3">
    <oc r="E37">
      <f>SUM(D37/C37*100)</f>
    </oc>
    <nc r="E37">
      <f>SUM(D37/C37*100)</f>
    </nc>
  </rcc>
  <rcc rId="39085" sId="3">
    <oc r="F37">
      <f>SUM(D37-C37)</f>
    </oc>
    <nc r="F37">
      <f>SUM(D37-C37)</f>
    </nc>
  </rcc>
  <rcc rId="39086" sId="3">
    <oc r="E38">
      <f>SUM(D38/C38*100)</f>
    </oc>
    <nc r="E38">
      <f>SUM(D38/C38*100)</f>
    </nc>
  </rcc>
  <rcc rId="39087" sId="3">
    <oc r="F38">
      <f>SUM(D38-C38)</f>
    </oc>
    <nc r="F38">
      <f>SUM(D38-C38)</f>
    </nc>
  </rcc>
  <rcc rId="39088" sId="3">
    <oc r="E39">
      <f>SUM(D39/C39*100)</f>
    </oc>
    <nc r="E39">
      <f>SUM(D39/C39*100)</f>
    </nc>
  </rcc>
  <rcc rId="39089" sId="3">
    <oc r="F39">
      <f>SUM(D39-C39)</f>
    </oc>
    <nc r="F39">
      <f>SUM(D39-C39)</f>
    </nc>
  </rcc>
  <rcc rId="39090" sId="3" numFmtId="4">
    <oc r="D40">
      <v>0</v>
    </oc>
    <nc r="D40">
      <v>0.31791000000000003</v>
    </nc>
  </rcc>
  <rcc rId="39091" sId="3">
    <oc r="E40">
      <f>SUM(D40/C40*100)</f>
    </oc>
    <nc r="E40">
      <f>SUM(D40/C40*100)</f>
    </nc>
  </rcc>
  <rcc rId="39092" sId="3">
    <oc r="F40">
      <f>SUM(D40-C40)</f>
    </oc>
    <nc r="F40">
      <f>SUM(D40-C40)</f>
    </nc>
  </rcc>
  <rcc rId="39093" sId="3" numFmtId="4">
    <oc r="D41">
      <v>92.718530000000001</v>
    </oc>
    <nc r="D41">
      <v>146.65777</v>
    </nc>
  </rcc>
  <rcc rId="39094" sId="3">
    <oc r="E41">
      <f>SUM(D41/C41*100)</f>
    </oc>
    <nc r="E41">
      <f>SUM(D41/C41*100)</f>
    </nc>
  </rcc>
  <rcc rId="39095" sId="3">
    <oc r="F41">
      <f>SUM(D41-C41)</f>
    </oc>
    <nc r="F41">
      <f>SUM(D41-C41)</f>
    </nc>
  </rcc>
  <rcc rId="39096" sId="3">
    <oc r="C42">
      <f>C43</f>
    </oc>
    <nc r="C42">
      <f>C43</f>
    </nc>
  </rcc>
  <rcc rId="39097" sId="3">
    <oc r="D42">
      <f>D43</f>
    </oc>
    <nc r="D42">
      <f>D43</f>
    </nc>
  </rcc>
  <rcc rId="39098" sId="3">
    <oc r="E42">
      <f>SUM(D42/C42*100)</f>
    </oc>
    <nc r="E42">
      <f>SUM(D42/C42*100)</f>
    </nc>
  </rcc>
  <rcc rId="39099" sId="3">
    <oc r="F42">
      <f>SUM(D42-C42)</f>
    </oc>
    <nc r="F42">
      <f>SUM(D42-C42)</f>
    </nc>
  </rcc>
  <rcc rId="39100" sId="3" numFmtId="4">
    <oc r="D43">
      <v>255.98585</v>
    </oc>
    <nc r="D43">
      <v>350.41818000000001</v>
    </nc>
  </rcc>
  <rcc rId="39101" sId="3">
    <oc r="E43">
      <f>SUM(D43/C43*100)</f>
    </oc>
    <nc r="E43">
      <f>SUM(D43/C43*100)</f>
    </nc>
  </rcc>
  <rcc rId="39102" sId="3">
    <oc r="F43">
      <f>SUM(D43-C43)</f>
    </oc>
    <nc r="F43">
      <f>SUM(D43-C43)</f>
    </nc>
  </rcc>
  <rcc rId="39103" sId="3">
    <oc r="C44">
      <f>C45+C46</f>
    </oc>
    <nc r="C44">
      <f>C45+C46</f>
    </nc>
  </rcc>
  <rcc rId="39104" sId="3">
    <oc r="D44">
      <f>D45+D46</f>
    </oc>
    <nc r="D44">
      <f>D45+D46</f>
    </nc>
  </rcc>
  <rcc rId="39105" sId="3">
    <oc r="E44">
      <f>SUM(D44/C44*100)</f>
    </oc>
    <nc r="E44">
      <f>SUM(D44/C44*100)</f>
    </nc>
  </rcc>
  <rcc rId="39106" sId="3">
    <oc r="F44">
      <f>SUM(D44-C44)</f>
    </oc>
    <nc r="F44">
      <f>SUM(D44-C44)</f>
    </nc>
  </rcc>
  <rcc rId="39107" sId="3">
    <oc r="E45">
      <f>SUM(D45/C45*100)</f>
    </oc>
    <nc r="E45">
      <f>SUM(D45/C45*100)</f>
    </nc>
  </rcc>
  <rcc rId="39108" sId="3">
    <oc r="F45">
      <f>SUM(D45-C45)</f>
    </oc>
    <nc r="F45">
      <f>SUM(D45-C45)</f>
    </nc>
  </rcc>
  <rcc rId="39109" sId="3">
    <oc r="F46">
      <f>SUM(D46-C46)</f>
    </oc>
    <nc r="F46">
      <f>SUM(D46-C46)</f>
    </nc>
  </rcc>
  <rcc rId="39110" sId="3">
    <oc r="C47">
      <f>C48+C49</f>
    </oc>
    <nc r="C47">
      <f>C48+C49</f>
    </nc>
  </rcc>
  <rcc rId="39111" sId="3">
    <oc r="D47">
      <f>D48+D49</f>
    </oc>
    <nc r="D47">
      <f>D48+D49</f>
    </nc>
  </rcc>
  <rcc rId="39112" sId="3">
    <oc r="E47">
      <f>SUM(D47/C47*100)</f>
    </oc>
    <nc r="E47">
      <f>SUM(D47/C47*100)</f>
    </nc>
  </rcc>
  <rcc rId="39113" sId="3">
    <oc r="F47">
      <f>SUM(D47-C47)</f>
    </oc>
    <nc r="F47">
      <f>SUM(D47-C47)</f>
    </nc>
  </rcc>
  <rcc rId="39114" sId="3">
    <oc r="E48">
      <f>SUM(D48/C48*100)</f>
    </oc>
    <nc r="E48">
      <f>SUM(D48/C48*100)</f>
    </nc>
  </rcc>
  <rcc rId="39115" sId="3">
    <oc r="F48">
      <f>SUM(D48-C48)</f>
    </oc>
    <nc r="F48">
      <f>SUM(D48-C48)</f>
    </nc>
  </rcc>
  <rcc rId="39116" sId="3" numFmtId="4">
    <oc r="D49">
      <v>444.35536000000002</v>
    </oc>
    <nc r="D49">
      <v>520.88229000000001</v>
    </nc>
  </rcc>
  <rcc rId="39117" sId="3">
    <oc r="E49">
      <f>SUM(D49/C49*100)</f>
    </oc>
    <nc r="E49">
      <f>SUM(D49/C49*100)</f>
    </nc>
  </rcc>
  <rcc rId="39118" sId="3">
    <oc r="F49">
      <f>SUM(D49-C49)</f>
    </oc>
    <nc r="F49">
      <f>SUM(D49-C49)</f>
    </nc>
  </rcc>
  <rcc rId="39119" sId="3">
    <oc r="C50">
      <f>C51</f>
    </oc>
    <nc r="C50">
      <f>C51</f>
    </nc>
  </rcc>
  <rcc rId="39120" sId="3">
    <oc r="D50">
      <f>D51</f>
    </oc>
    <nc r="D50">
      <f>D51</f>
    </nc>
  </rcc>
  <rcc rId="39121" sId="3">
    <oc r="E50">
      <f>SUM(D50/C50*100)</f>
    </oc>
    <nc r="E50">
      <f>SUM(D50/C50*100)</f>
    </nc>
  </rcc>
  <rcc rId="39122" sId="3">
    <oc r="F50">
      <f>SUM(D50-C50)</f>
    </oc>
    <nc r="F50">
      <f>SUM(D50-C50)</f>
    </nc>
  </rcc>
  <rcc rId="39123" sId="3">
    <oc r="E51">
      <f>SUM(D51/C51*100)</f>
    </oc>
    <nc r="E51">
      <f>SUM(D51/C51*100)</f>
    </nc>
  </rcc>
  <rcc rId="39124" sId="3">
    <oc r="F51">
      <f>SUM(D51-C51)</f>
    </oc>
    <nc r="F51">
      <f>SUM(D51-C51)</f>
    </nc>
  </rcc>
  <rcc rId="39125" sId="3">
    <oc r="C52">
      <f>C53+C54+C55+C56+C57+C58+C59+C60+C61+C62+C63+C64+C65+C66+C67+C68</f>
    </oc>
    <nc r="C52">
      <f>C53+C54+C55+C56+C57+C58+C59+C60+C61+C62+C63+C64+C65+C66+C67+C68</f>
    </nc>
  </rcc>
  <rcc rId="39126" sId="3">
    <oc r="D52">
      <f>D53+D54+D55+D56+D57+D58+D59+D60+D61+D62+D63+D64+D65+D66+D67+D68</f>
    </oc>
    <nc r="D52">
      <f>D53+D54+D55+D56+D57+D58+D59+D60+D61+D62+D63+D64+D65+D66+D67+D68</f>
    </nc>
  </rcc>
  <rcc rId="39127" sId="3">
    <oc r="E52">
      <f>SUM(D52/C52*100)</f>
    </oc>
    <nc r="E52">
      <f>SUM(D52/C52*100)</f>
    </nc>
  </rcc>
  <rcc rId="39128" sId="3">
    <oc r="F52">
      <f>SUM(D52-C52)</f>
    </oc>
    <nc r="F52">
      <f>SUM(D52-C52)</f>
    </nc>
  </rcc>
  <rcc rId="39129" sId="3">
    <oc r="E53">
      <f>SUM(D53/C53*100)</f>
    </oc>
    <nc r="E53">
      <f>SUM(D53/C53*100)</f>
    </nc>
  </rcc>
  <rcc rId="39130" sId="3">
    <oc r="F53">
      <f>SUM(D53-C53)</f>
    </oc>
    <nc r="F53">
      <f>SUM(D53-C53)</f>
    </nc>
  </rcc>
  <rcc rId="39131" sId="3" numFmtId="4">
    <oc r="D54">
      <v>3.4750000000000001</v>
    </oc>
    <nc r="D54">
      <v>4.95</v>
    </nc>
  </rcc>
  <rcc rId="39132" sId="3">
    <oc r="E54">
      <f>SUM(D54/C54*100)</f>
    </oc>
    <nc r="E54">
      <f>SUM(D54/C54*100)</f>
    </nc>
  </rcc>
  <rcc rId="39133" sId="3">
    <oc r="F54">
      <f>SUM(D54-C54)</f>
    </oc>
    <nc r="F54">
      <f>SUM(D54-C54)</f>
    </nc>
  </rcc>
  <rcc rId="39134" sId="3">
    <oc r="E55">
      <f>SUM(D55/C55*100)</f>
    </oc>
    <nc r="E55">
      <f>SUM(D55/C55*100)</f>
    </nc>
  </rcc>
  <rcc rId="39135" sId="3">
    <oc r="F55">
      <f>SUM(D55-C55)</f>
    </oc>
    <nc r="F55">
      <f>SUM(D55-C55)</f>
    </nc>
  </rcc>
  <rcc rId="39136" sId="3">
    <oc r="E56">
      <f>SUM(D56/C56*100)</f>
    </oc>
    <nc r="E56">
      <f>SUM(D56/C56*100)</f>
    </nc>
  </rcc>
  <rcc rId="39137" sId="3">
    <oc r="F56">
      <f>SUM(D56-C56)</f>
    </oc>
    <nc r="F56">
      <f>SUM(D56-C56)</f>
    </nc>
  </rcc>
  <rcc rId="39138" sId="3">
    <oc r="E57">
      <f>SUM(D57/C57*100)</f>
    </oc>
    <nc r="E57">
      <f>SUM(D57/C57*100)</f>
    </nc>
  </rcc>
  <rcc rId="39139" sId="3">
    <oc r="F57">
      <f>SUM(D57-C57)</f>
    </oc>
    <nc r="F57">
      <f>SUM(D57-C57)</f>
    </nc>
  </rcc>
  <rcc rId="39140" sId="3" numFmtId="4">
    <oc r="D58">
      <v>98.427080000000004</v>
    </oc>
    <nc r="D58">
      <v>135.00151</v>
    </nc>
  </rcc>
  <rcc rId="39141" sId="3">
    <oc r="E58">
      <f>SUM(D58/C58*100)</f>
    </oc>
    <nc r="E58">
      <f>SUM(D58/C58*100)</f>
    </nc>
  </rcc>
  <rcc rId="39142" sId="3">
    <oc r="F58">
      <f>SUM(D58-C58)</f>
    </oc>
    <nc r="F58">
      <f>SUM(D58-C58)</f>
    </nc>
  </rcc>
  <rcc rId="39143" sId="3" numFmtId="4">
    <oc r="D59">
      <v>0</v>
    </oc>
    <nc r="D59">
      <v>5</v>
    </nc>
  </rcc>
  <rcc rId="39144" sId="3">
    <oc r="E59">
      <f>SUM(D59/C59*100)</f>
    </oc>
    <nc r="E59">
      <f>SUM(D59/C59*100)</f>
    </nc>
  </rcc>
  <rcc rId="39145" sId="3">
    <oc r="F59">
      <f>SUM(D59-C59)</f>
    </oc>
    <nc r="F59">
      <f>SUM(D59-C59)</f>
    </nc>
  </rcc>
  <rcc rId="39146" sId="3" numFmtId="4">
    <oc r="D60">
      <v>0</v>
    </oc>
    <nc r="D60">
      <v>10</v>
    </nc>
  </rcc>
  <rcc rId="39147" sId="3">
    <oc r="E60">
      <f>SUM(D60/C60*100)</f>
    </oc>
    <nc r="E60">
      <f>SUM(D60/C60*100)</f>
    </nc>
  </rcc>
  <rcc rId="39148" sId="3">
    <oc r="F60">
      <f>SUM(D60-C60)</f>
    </oc>
    <nc r="F60">
      <f>SUM(D60-C60)</f>
    </nc>
  </rcc>
  <rcc rId="39149" sId="3" numFmtId="4">
    <oc r="D61">
      <v>54.926499999999997</v>
    </oc>
    <nc r="D61">
      <v>59.926499999999997</v>
    </nc>
  </rcc>
  <rcc rId="39150" sId="3">
    <oc r="E61">
      <f>SUM(D61/C61*100)</f>
    </oc>
    <nc r="E61">
      <f>SUM(D61/C61*100)</f>
    </nc>
  </rcc>
  <rcc rId="39151" sId="3">
    <oc r="F61">
      <f>SUM(D61-C61)</f>
    </oc>
    <nc r="F61">
      <f>SUM(D61-C61)</f>
    </nc>
  </rcc>
  <rcc rId="39152" sId="3">
    <oc r="E62">
      <f>SUM(D62/C62*100)</f>
    </oc>
    <nc r="E62">
      <f>SUM(D62/C62*100)</f>
    </nc>
  </rcc>
  <rcc rId="39153" sId="3">
    <oc r="F62">
      <f>SUM(D62-C62)</f>
    </oc>
    <nc r="F62">
      <f>SUM(D62-C62)</f>
    </nc>
  </rcc>
  <rcc rId="39154" sId="3" numFmtId="4">
    <oc r="D63">
      <v>48.141959999999997</v>
    </oc>
    <nc r="D63">
      <v>99.185209999999998</v>
    </nc>
  </rcc>
  <rcc rId="39155" sId="3">
    <oc r="E63">
      <f>SUM(D63/C63*100)</f>
    </oc>
    <nc r="E63">
      <f>SUM(D63/C63*100)</f>
    </nc>
  </rcc>
  <rcc rId="39156" sId="3">
    <oc r="F63">
      <f>SUM(D63-C63)</f>
    </oc>
    <nc r="F63">
      <f>SUM(D63-C63)</f>
    </nc>
  </rcc>
  <rcc rId="39157" sId="3" numFmtId="4">
    <oc r="D64">
      <v>122.5</v>
    </oc>
    <nc r="D64">
      <v>324.5</v>
    </nc>
  </rcc>
  <rcc rId="39158" sId="3">
    <oc r="E64">
      <f>SUM(D64/C64*100)</f>
    </oc>
    <nc r="E64">
      <f>SUM(D64/C64*100)</f>
    </nc>
  </rcc>
  <rcc rId="39159" sId="3">
    <oc r="F64">
      <f>SUM(D64-C64)</f>
    </oc>
    <nc r="F64">
      <f>SUM(D64-C64)</f>
    </nc>
  </rcc>
  <rcc rId="39160" sId="3" numFmtId="4">
    <oc r="D65">
      <v>54.716540000000002</v>
    </oc>
    <nc r="D65">
      <v>195.29803000000001</v>
    </nc>
  </rcc>
  <rcc rId="39161" sId="3">
    <oc r="E65">
      <f>SUM(D65/C65*100)</f>
    </oc>
    <nc r="E65">
      <f>SUM(D65/C65*100)</f>
    </nc>
  </rcc>
  <rcc rId="39162" sId="3">
    <oc r="F65">
      <f>SUM(D65-C65)</f>
    </oc>
    <nc r="F65">
      <f>SUM(D65-C65)</f>
    </nc>
  </rcc>
  <rcc rId="39163" sId="3">
    <oc r="E66">
      <f>SUM(D66/C66*100)</f>
    </oc>
    <nc r="E66">
      <f>SUM(D66/C66*100)</f>
    </nc>
  </rcc>
  <rcc rId="39164" sId="3">
    <oc r="F66">
      <f>SUM(D66-C66)</f>
    </oc>
    <nc r="F66">
      <f>SUM(D66-C66)</f>
    </nc>
  </rcc>
  <rcc rId="39165" sId="3" numFmtId="4">
    <oc r="D67">
      <v>0</v>
    </oc>
    <nc r="D67">
      <v>1.3480300000000001</v>
    </nc>
  </rcc>
  <rcc rId="39166" sId="3">
    <oc r="E67">
      <f>SUM(D67/C67*100)</f>
    </oc>
    <nc r="E67">
      <f>SUM(D67/C67*100)</f>
    </nc>
  </rcc>
  <rcc rId="39167" sId="3">
    <oc r="F67">
      <f>SUM(D67-C67)</f>
    </oc>
    <nc r="F67">
      <f>SUM(D67-C67)</f>
    </nc>
  </rcc>
  <rcc rId="39168" sId="3" numFmtId="4">
    <oc r="D68">
      <v>659.56470999999999</v>
    </oc>
    <nc r="D68">
      <v>861.06435999999997</v>
    </nc>
  </rcc>
  <rcc rId="39169" sId="3">
    <oc r="E68">
      <f>SUM(D68/C68*100)</f>
    </oc>
    <nc r="E68">
      <f>SUM(D68/C68*100)</f>
    </nc>
  </rcc>
  <rcc rId="39170" sId="3">
    <oc r="F68">
      <f>SUM(D68-C68)</f>
    </oc>
    <nc r="F68">
      <f>SUM(D68-C68)</f>
    </nc>
  </rcc>
  <rcc rId="39171" sId="3">
    <oc r="C69">
      <f>C70+C71</f>
    </oc>
    <nc r="C69">
      <f>C70+C71</f>
    </nc>
  </rcc>
  <rcc rId="39172" sId="3">
    <oc r="D69">
      <f>D70+D71</f>
    </oc>
    <nc r="D69">
      <f>D70+D71</f>
    </nc>
  </rcc>
  <rcc rId="39173" sId="3">
    <oc r="E69">
      <f>SUM(D69/C69*100)</f>
    </oc>
    <nc r="E69">
      <f>SUM(D69/C69*100)</f>
    </nc>
  </rcc>
  <rcc rId="39174" sId="3">
    <oc r="F69">
      <f>SUM(D69-C69)</f>
    </oc>
    <nc r="F69">
      <f>SUM(D69-C69)</f>
    </nc>
  </rcc>
  <rcc rId="39175" sId="3">
    <oc r="E70">
      <f>SUM(D70/C70*100)</f>
    </oc>
    <nc r="E70">
      <f>SUM(D70/C70*100)</f>
    </nc>
  </rcc>
  <rcc rId="39176" sId="3">
    <oc r="F70">
      <f>SUM(D70-C70)</f>
    </oc>
    <nc r="F70">
      <f>SUM(D70-C70)</f>
    </nc>
  </rcc>
  <rcc rId="39177" sId="3">
    <oc r="E71">
      <f>SUM(D71/C71*100)</f>
    </oc>
    <nc r="E71">
      <f>SUM(D71/C71*100)</f>
    </nc>
  </rcc>
  <rcc rId="39178" sId="3">
    <oc r="F71">
      <f>SUM(D71-C71)</f>
    </oc>
    <nc r="F71">
      <f>SUM(D71-C71)</f>
    </nc>
  </rcc>
  <rcc rId="39179" sId="3">
    <oc r="C72">
      <f>SUM(C4,C32)</f>
    </oc>
    <nc r="C72">
      <f>SUM(C4,C32)</f>
    </nc>
  </rcc>
  <rcc rId="39180" sId="3">
    <oc r="D72">
      <f>SUM(D4,D32)</f>
    </oc>
    <nc r="D72">
      <f>SUM(D4,D32)</f>
    </nc>
  </rcc>
  <rcc rId="39181" sId="3">
    <oc r="E72">
      <f>SUM(D72/C72*100)</f>
    </oc>
    <nc r="E72">
      <f>SUM(D72/C72*100)</f>
    </nc>
  </rcc>
  <rcc rId="39182" sId="3">
    <oc r="F72">
      <f>SUM(D72-C72)</f>
    </oc>
    <nc r="F72">
      <f>SUM(D72-C72)</f>
    </nc>
  </rcc>
  <rcc rId="39183" sId="3">
    <oc r="C73">
      <f>C74+C77+C78+C79+C81+C76+C80</f>
    </oc>
    <nc r="C73">
      <f>C74+C77+C78+C79+C81+C76+C80</f>
    </nc>
  </rcc>
  <rcc rId="39184" sId="3">
    <oc r="D73">
      <f>D74+D77+D78+D79+D81+D76+D80</f>
    </oc>
    <nc r="D73">
      <f>D74+D77+D78+D79+D81+D76+D80</f>
    </nc>
  </rcc>
  <rcc rId="39185" sId="3">
    <oc r="E73">
      <f>SUM(D73/C73*100)</f>
    </oc>
    <nc r="E73">
      <f>SUM(D73/C73*100)</f>
    </nc>
  </rcc>
  <rcc rId="39186" sId="3">
    <oc r="F73">
      <f>SUM(D73-C73)</f>
    </oc>
    <nc r="F73">
      <f>SUM(D73-C73)</f>
    </nc>
  </rcc>
  <rcc rId="39187" sId="3">
    <oc r="E74">
      <f>SUM(D74/C74*100)</f>
    </oc>
    <nc r="E74">
      <f>SUM(D74/C74*100)</f>
    </nc>
  </rcc>
  <rcc rId="39188" sId="3">
    <oc r="F74">
      <f>SUM(D74-C74)</f>
    </oc>
    <nc r="F74">
      <f>SUM(D74-C74)</f>
    </nc>
  </rcc>
  <rcc rId="39189" sId="3">
    <oc r="E75">
      <f>SUM(D75/C75*100)</f>
    </oc>
    <nc r="E75">
      <f>SUM(D75/C75*100)</f>
    </nc>
  </rcc>
  <rcc rId="39190" sId="3">
    <oc r="F75">
      <f>SUM(D75-C75)</f>
    </oc>
    <nc r="F75">
      <f>SUM(D75-C75)</f>
    </nc>
  </rcc>
  <rcc rId="39191" sId="3">
    <oc r="E76">
      <f>SUM(D76/C76*100)</f>
    </oc>
    <nc r="E76">
      <f>SUM(D76/C76*100)</f>
    </nc>
  </rcc>
  <rcc rId="39192" sId="3">
    <oc r="F76">
      <f>SUM(D76-C76)</f>
    </oc>
    <nc r="F76">
      <f>SUM(D76-C76)</f>
    </nc>
  </rcc>
  <rcc rId="39193" sId="3">
    <oc r="E77">
      <f>SUM(D77/C77*100)</f>
    </oc>
    <nc r="E77">
      <f>SUM(D77/C77*100)</f>
    </nc>
  </rcc>
  <rcc rId="39194" sId="3">
    <oc r="F77">
      <f>SUM(D77-C77)</f>
    </oc>
    <nc r="F77">
      <f>SUM(D77-C77)</f>
    </nc>
  </rcc>
  <rcc rId="39195" sId="3">
    <oc r="E78">
      <f>SUM(D78/C78*100)</f>
    </oc>
    <nc r="E78">
      <f>SUM(D78/C78*100)</f>
    </nc>
  </rcc>
  <rcc rId="39196" sId="3">
    <oc r="F78">
      <f>SUM(D78-C78)</f>
    </oc>
    <nc r="F78">
      <f>SUM(D78-C78)</f>
    </nc>
  </rcc>
  <rcc rId="39197" sId="3">
    <oc r="E79">
      <f>SUM(D79/C79*100)</f>
    </oc>
    <nc r="E79">
      <f>SUM(D79/C79*100)</f>
    </nc>
  </rcc>
  <rcc rId="39198" sId="3">
    <oc r="F79">
      <f>SUM(D79-C79)</f>
    </oc>
    <nc r="F79">
      <f>SUM(D79-C79)</f>
    </nc>
  </rcc>
  <rcc rId="39199" sId="3">
    <oc r="E80">
      <f>SUM(D80/C80*100)</f>
    </oc>
    <nc r="E80">
      <f>SUM(D80/C80*100)</f>
    </nc>
  </rcc>
  <rcc rId="39200" sId="3">
    <oc r="F80">
      <f>SUM(D80-C80)</f>
    </oc>
    <nc r="F80">
      <f>SUM(D80-C80)</f>
    </nc>
  </rcc>
  <rcc rId="39201" sId="3">
    <oc r="E81">
      <f>SUM(D81/C81*100)</f>
    </oc>
    <nc r="E81">
      <f>SUM(D81/C81*100)</f>
    </nc>
  </rcc>
  <rcc rId="39202" sId="3">
    <oc r="F81">
      <f>SUM(D81-C81)</f>
    </oc>
    <nc r="F81">
      <f>SUM(D81-C81)</f>
    </nc>
  </rcc>
  <rcc rId="39203" sId="3">
    <oc r="E82">
      <f>SUM(D82/C82*100)</f>
    </oc>
    <nc r="E82">
      <f>SUM(D82/C82*100)</f>
    </nc>
  </rcc>
  <rcc rId="39204" sId="3">
    <oc r="F82">
      <f>SUM(D82-C82)</f>
    </oc>
    <nc r="F82">
      <f>SUM(D82-C82)</f>
    </nc>
  </rcc>
  <rcc rId="39205" sId="3">
    <oc r="C83">
      <f>C72+C73</f>
    </oc>
    <nc r="C83">
      <f>C72+C73</f>
    </nc>
  </rcc>
  <rcc rId="39206" sId="3">
    <oc r="D83">
      <f>D72+D73</f>
    </oc>
    <nc r="D83">
      <f>D72+D73</f>
    </nc>
  </rcc>
  <rcc rId="39207" sId="3">
    <oc r="E83">
      <f>SUM(D83/C83*100)</f>
    </oc>
    <nc r="E83">
      <f>SUM(D83/C83*100)</f>
    </nc>
  </rcc>
  <rcc rId="39208" sId="3">
    <oc r="F83">
      <f>SUM(D84-C83)</f>
    </oc>
    <nc r="F83">
      <f>SUM(D84-C83)</f>
    </nc>
  </rcc>
  <rcc rId="39209" sId="3">
    <oc r="C84">
      <f>C83-C144</f>
    </oc>
    <nc r="C84">
      <f>C83-C144</f>
    </nc>
  </rcc>
  <rcc rId="39210" sId="3">
    <oc r="D84">
      <f>D83-D144</f>
    </oc>
    <nc r="D84">
      <f>D83-D144</f>
    </nc>
  </rcc>
  <rcc rId="39211" sId="3">
    <oc r="D86" t="inlineStr">
      <is>
        <t xml:space="preserve">исполнено на 01.04.2019 г. </t>
      </is>
    </oc>
    <nc r="D86" t="inlineStr">
      <is>
        <t xml:space="preserve">исполнено на 01.05.2019 г. </t>
      </is>
    </nc>
  </rcc>
  <rcc rId="39212" sId="3">
    <oc r="C88">
      <f>SUM(C89:C95)</f>
    </oc>
    <nc r="C88">
      <f>SUM(C89:C95)</f>
    </nc>
  </rcc>
  <rcc rId="39213" sId="3">
    <oc r="D88">
      <f>SUM(D89:D95)</f>
    </oc>
    <nc r="D88">
      <f>SUM(D89:D95)</f>
    </nc>
  </rcc>
  <rcc rId="39214" sId="3">
    <oc r="E88">
      <f>SUM(D88/C88*100)</f>
    </oc>
    <nc r="E88">
      <f>SUM(D88/C88*100)</f>
    </nc>
  </rcc>
  <rcc rId="39215" sId="3">
    <oc r="F88">
      <f>SUM(D88-C88)</f>
    </oc>
    <nc r="F88">
      <f>SUM(D88-C88)</f>
    </nc>
  </rcc>
  <rcc rId="39216" sId="3">
    <oc r="E89">
      <f>SUM(D89/C89*100)</f>
    </oc>
    <nc r="E89">
      <f>SUM(D89/C89*100)</f>
    </nc>
  </rcc>
  <rcc rId="39217" sId="3">
    <oc r="F89">
      <f>SUM(D89-C89)</f>
    </oc>
    <nc r="F89">
      <f>SUM(D89-C89)</f>
    </nc>
  </rcc>
  <rcc rId="39218" sId="3" numFmtId="4">
    <oc r="D90">
      <v>4419.5878300000004</v>
    </oc>
    <nc r="D90">
      <v>6471.5443500000001</v>
    </nc>
  </rcc>
  <rcc rId="39219" sId="3">
    <oc r="E90">
      <f>SUM(D90/C90*100)</f>
    </oc>
    <nc r="E90">
      <f>SUM(D90/C90*100)</f>
    </nc>
  </rcc>
  <rcc rId="39220" sId="3">
    <oc r="F90">
      <f>SUM(D90-C90)</f>
    </oc>
    <nc r="F90">
      <f>SUM(D90-C90)</f>
    </nc>
  </rcc>
  <rcc rId="39221" sId="3">
    <oc r="E91">
      <f>SUM(D91/C91*100)</f>
    </oc>
    <nc r="E91">
      <f>SUM(D91/C91*100)</f>
    </nc>
  </rcc>
  <rcc rId="39222" sId="3">
    <oc r="F91">
      <f>SUM(D91-C91)</f>
    </oc>
    <nc r="F91">
      <f>SUM(D91-C91)</f>
    </nc>
  </rcc>
  <rcc rId="39223" sId="3" numFmtId="4">
    <oc r="D92">
      <v>949.67205999999999</v>
    </oc>
    <nc r="D92">
      <v>1554.7537199999999</v>
    </nc>
  </rcc>
  <rcc rId="39224" sId="3">
    <oc r="E92">
      <f>SUM(D92/C92*100)</f>
    </oc>
    <nc r="E92">
      <f>SUM(D92/C92*100)</f>
    </nc>
  </rcc>
  <rcc rId="39225" sId="3">
    <oc r="F92">
      <f>SUM(D92-C92)</f>
    </oc>
    <nc r="F92">
      <f>SUM(D92-C92)</f>
    </nc>
  </rcc>
  <rcc rId="39226" sId="3">
    <oc r="E93">
      <f>SUM(D93/C93*100)</f>
    </oc>
    <nc r="E93">
      <f>SUM(D93/C93*100)</f>
    </nc>
  </rcc>
  <rcc rId="39227" sId="3">
    <oc r="F93">
      <f>SUM(D93-C93)</f>
    </oc>
    <nc r="F93">
      <f>SUM(D93-C93)</f>
    </nc>
  </rcc>
  <rcc rId="39228" sId="3" numFmtId="4">
    <oc r="C94">
      <v>557.95495000000005</v>
    </oc>
    <nc r="C94">
      <v>553.95495000000005</v>
    </nc>
  </rcc>
  <rcc rId="39229" sId="3">
    <oc r="E94">
      <f>SUM(D94/C94*100)</f>
    </oc>
    <nc r="E94">
      <f>SUM(D94/C94*100)</f>
    </nc>
  </rcc>
  <rcc rId="39230" sId="3">
    <oc r="F94">
      <f>SUM(D94-C94)</f>
    </oc>
    <nc r="F94">
      <f>SUM(D94-C94)</f>
    </nc>
  </rcc>
  <rcc rId="39231" sId="3" numFmtId="4">
    <oc r="D95">
      <v>4195.7</v>
    </oc>
    <nc r="D95">
      <v>5498.2</v>
    </nc>
  </rcc>
  <rcc rId="39232" sId="3">
    <oc r="E95">
      <f>SUM(D95/C95*100)</f>
    </oc>
    <nc r="E95">
      <f>SUM(D95/C95*100)</f>
    </nc>
  </rcc>
  <rcc rId="39233" sId="3">
    <oc r="F95">
      <f>SUM(D95-C95)</f>
    </oc>
    <nc r="F95">
      <f>SUM(D95-C95)</f>
    </nc>
  </rcc>
  <rcc rId="39234" sId="3">
    <oc r="C96">
      <f>C97</f>
    </oc>
    <nc r="C96">
      <f>C97</f>
    </nc>
  </rcc>
  <rcc rId="39235" sId="3">
    <oc r="D96">
      <f>D97</f>
    </oc>
    <nc r="D96">
      <f>D97</f>
    </nc>
  </rcc>
  <rcc rId="39236" sId="3">
    <oc r="E96">
      <f>SUM(D96/C96*100)</f>
    </oc>
    <nc r="E96">
      <f>SUM(D96/C96*100)</f>
    </nc>
  </rcc>
  <rcc rId="39237" sId="3">
    <oc r="F96">
      <f>SUM(D96-C96)</f>
    </oc>
    <nc r="F96">
      <f>SUM(D96-C96)</f>
    </nc>
  </rcc>
  <rcc rId="39238" sId="3" numFmtId="4">
    <oc r="D97">
      <v>534</v>
    </oc>
    <nc r="D97">
      <v>714.6</v>
    </nc>
  </rcc>
  <rcc rId="39239" sId="3">
    <oc r="E97">
      <f>SUM(D97/C97*100)</f>
    </oc>
    <nc r="E97">
      <f>SUM(D97/C97*100)</f>
    </nc>
  </rcc>
  <rcc rId="39240" sId="3">
    <oc r="F97">
      <f>SUM(D97-C97)</f>
    </oc>
    <nc r="F97">
      <f>SUM(D97-C97)</f>
    </nc>
  </rcc>
  <rcc rId="39241" sId="3">
    <oc r="C98">
      <f>SUM(C100:C103)</f>
    </oc>
    <nc r="C98">
      <f>SUM(C100:C103)</f>
    </nc>
  </rcc>
  <rcc rId="39242" sId="3">
    <oc r="D98">
      <f>SUM(D100:D103)</f>
    </oc>
    <nc r="D98">
      <f>SUM(D100:D103)</f>
    </nc>
  </rcc>
  <rcc rId="39243" sId="3">
    <oc r="E98">
      <f>SUM(D98/C98*100)</f>
    </oc>
    <nc r="E98">
      <f>SUM(D98/C98*100)</f>
    </nc>
  </rcc>
  <rcc rId="39244" sId="3">
    <oc r="F98">
      <f>SUM(D98-C98)</f>
    </oc>
    <nc r="F98">
      <f>SUM(D98-C98)</f>
    </nc>
  </rcc>
  <rcc rId="39245" sId="3">
    <oc r="E99">
      <f>SUM(D99/C99*100)</f>
    </oc>
    <nc r="E99">
      <f>SUM(D99/C99*100)</f>
    </nc>
  </rcc>
  <rcc rId="39246" sId="3">
    <oc r="F99">
      <f>SUM(D99-C99)</f>
    </oc>
    <nc r="F99">
      <f>SUM(D99-C99)</f>
    </nc>
  </rcc>
  <rcc rId="39247" sId="3" numFmtId="4">
    <oc r="D100">
      <v>350</v>
    </oc>
    <nc r="D100">
      <v>399.53379999999999</v>
    </nc>
  </rcc>
  <rcc rId="39248" sId="3">
    <oc r="E100">
      <f>SUM(D100/C100*100)</f>
    </oc>
    <nc r="E100">
      <f>SUM(D100/C100*100)</f>
    </nc>
  </rcc>
  <rcc rId="39249" sId="3">
    <oc r="F100">
      <f>SUM(D100-C100)</f>
    </oc>
    <nc r="F100">
      <f>SUM(D100-C100)</f>
    </nc>
  </rcc>
  <rcc rId="39250" sId="3" numFmtId="4">
    <oc r="D101">
      <v>440.76535000000001</v>
    </oc>
    <nc r="D101">
      <v>636.45542999999998</v>
    </nc>
  </rcc>
  <rcc rId="39251" sId="3">
    <oc r="E101">
      <f>SUM(D101/C101*100)</f>
    </oc>
    <nc r="E101">
      <f>SUM(D101/C101*100)</f>
    </nc>
  </rcc>
  <rcc rId="39252" sId="3">
    <oc r="F101">
      <f>SUM(D101-C101)</f>
    </oc>
    <nc r="F101">
      <f>SUM(D101-C101)</f>
    </nc>
  </rcc>
  <rcc rId="39253" sId="3">
    <oc r="E102">
      <f>SUM(D102/C102*100)</f>
    </oc>
    <nc r="E102">
      <f>SUM(D102/C102*100)</f>
    </nc>
  </rcc>
  <rcc rId="39254" sId="3">
    <oc r="F102">
      <f>SUM(D102-C102)</f>
    </oc>
    <nc r="F102">
      <f>SUM(D102-C102)</f>
    </nc>
  </rcc>
  <rcc rId="39255" sId="3" numFmtId="4">
    <oc r="D103">
      <v>47.149000000000001</v>
    </oc>
    <nc r="D103">
      <v>54.418999999999997</v>
    </nc>
  </rcc>
  <rcc rId="39256" sId="3">
    <oc r="E103">
      <f>SUM(D103/C103*100)</f>
    </oc>
    <nc r="E103">
      <f>SUM(D103/C103*100)</f>
    </nc>
  </rcc>
  <rcc rId="39257" sId="3">
    <oc r="F103">
      <f>SUM(D103-C103)</f>
    </oc>
    <nc r="F103">
      <f>SUM(D103-C103)</f>
    </nc>
  </rcc>
  <rcc rId="39258" sId="3">
    <oc r="C104">
      <f>SUM(C106:C109)</f>
    </oc>
    <nc r="C104">
      <f>SUM(C106:C109)</f>
    </nc>
  </rcc>
  <rcc rId="39259" sId="3">
    <oc r="D104">
      <f>SUM(D106:D109)</f>
    </oc>
    <nc r="D104">
      <f>SUM(D106:D109)</f>
    </nc>
  </rcc>
  <rcc rId="39260" sId="3">
    <oc r="E104">
      <f>SUM(D104/C104*100)</f>
    </oc>
    <nc r="E104">
      <f>SUM(D104/C104*100)</f>
    </nc>
  </rcc>
  <rcc rId="39261" sId="3">
    <oc r="F104">
      <f>SUM(D104-C104)</f>
    </oc>
    <nc r="F104">
      <f>SUM(D104-C104)</f>
    </nc>
  </rcc>
  <rcc rId="39262" sId="3">
    <oc r="E105">
      <f>SUM(D105/C105*100)</f>
    </oc>
    <nc r="E105">
      <f>SUM(D105/C105*100)</f>
    </nc>
  </rcc>
  <rcc rId="39263" sId="3">
    <oc r="F105">
      <f>SUM(D105-C105)</f>
    </oc>
    <nc r="F105">
      <f>SUM(D105-C105)</f>
    </nc>
  </rcc>
  <rcc rId="39264" sId="3" numFmtId="4">
    <oc r="D106">
      <v>1.35</v>
    </oc>
    <nc r="D106">
      <v>4.3369999999999997</v>
    </nc>
  </rcc>
  <rcc rId="39265" sId="3">
    <oc r="E106">
      <f>SUM(D106/C106*100)</f>
    </oc>
    <nc r="E106">
      <f>SUM(D106/C106*100)</f>
    </nc>
  </rcc>
  <rcc rId="39266" sId="3">
    <oc r="F106">
      <f>SUM(D106-C106)</f>
    </oc>
    <nc r="F106">
      <f>SUM(D106-C106)</f>
    </nc>
  </rcc>
  <rcc rId="39267" sId="3" numFmtId="4">
    <oc r="D108">
      <v>10655.173430000001</v>
    </oc>
    <nc r="D108">
      <v>14683.62959</v>
    </nc>
  </rcc>
  <rcc rId="39268" sId="3">
    <oc r="E108">
      <f>SUM(D108/C108*100)</f>
    </oc>
    <nc r="E108">
      <f>SUM(D108/C108*100)</f>
    </nc>
  </rcc>
  <rcc rId="39269" sId="3">
    <oc r="F108">
      <f>SUM(D108-C108)</f>
    </oc>
    <nc r="F108">
      <f>SUM(D108-C108)</f>
    </nc>
  </rcc>
  <rcc rId="39270" sId="3" numFmtId="4">
    <oc r="D109">
      <v>173.42699999999999</v>
    </oc>
    <nc r="D109">
      <v>288.66255999999998</v>
    </nc>
  </rcc>
  <rcc rId="39271" sId="3">
    <oc r="E109">
      <f>SUM(D109/C109*100)</f>
    </oc>
    <nc r="E109">
      <f>SUM(D109/C109*100)</f>
    </nc>
  </rcc>
  <rcc rId="39272" sId="3">
    <oc r="F109">
      <f>SUM(D109-C109)</f>
    </oc>
    <nc r="F109">
      <f>SUM(D109-C109)</f>
    </nc>
  </rcc>
  <rcc rId="39273" sId="3">
    <oc r="C110">
      <f>SUM(C111:C113)</f>
    </oc>
    <nc r="C110">
      <f>SUM(C111:C113)</f>
    </nc>
  </rcc>
  <rcc rId="39274" sId="3">
    <oc r="D110">
      <f>SUM(D111:D113)</f>
    </oc>
    <nc r="D110">
      <f>SUM(D111:D113)</f>
    </nc>
  </rcc>
  <rcc rId="39275" sId="3">
    <oc r="E110">
      <f>SUM(D110/C110*100)</f>
    </oc>
    <nc r="E110">
      <f>SUM(D110/C110*100)</f>
    </nc>
  </rcc>
  <rcc rId="39276" sId="3">
    <oc r="F110">
      <f>SUM(D110-C110)</f>
    </oc>
    <nc r="F110">
      <f>SUM(D110-C110)</f>
    </nc>
  </rcc>
  <rcc rId="39277" sId="3">
    <oc r="E111">
      <f>SUM(D111/C111*100)</f>
    </oc>
    <nc r="E111">
      <f>SUM(D111/C111*100)</f>
    </nc>
  </rcc>
  <rcc rId="39278" sId="3">
    <oc r="F111">
      <f>SUM(D111-C111)</f>
    </oc>
    <nc r="F111">
      <f>SUM(D111-C111)</f>
    </nc>
  </rcc>
  <rcc rId="39279" sId="3">
    <oc r="E112">
      <f>SUM(D112/C112*100)</f>
    </oc>
    <nc r="E112">
      <f>SUM(D112/C112*100)</f>
    </nc>
  </rcc>
  <rcc rId="39280" sId="3">
    <oc r="F112">
      <f>SUM(D112-C112)</f>
    </oc>
    <nc r="F112">
      <f>SUM(D112-C112)</f>
    </nc>
  </rcc>
  <rcc rId="39281" sId="3">
    <oc r="E113">
      <f>SUM(D113/C113*100)</f>
    </oc>
    <nc r="E113">
      <f>SUM(D113/C113*100)</f>
    </nc>
  </rcc>
  <rcc rId="39282" sId="3">
    <oc r="F113">
      <f>SUM(D113-C113)</f>
    </oc>
    <nc r="F113">
      <f>SUM(D113-C113)</f>
    </nc>
  </rcc>
  <rcc rId="39283" sId="3">
    <oc r="C114">
      <f>SUM(C115)</f>
    </oc>
    <nc r="C114">
      <f>SUM(C115)</f>
    </nc>
  </rcc>
  <rcc rId="39284" sId="3">
    <oc r="D114">
      <f>SUM(D115)</f>
    </oc>
    <nc r="D114">
      <f>SUM(D115)</f>
    </nc>
  </rcc>
  <rcc rId="39285" sId="3">
    <oc r="E114">
      <f>SUM(D114/C114*100)</f>
    </oc>
    <nc r="E114">
      <f>SUM(D114/C114*100)</f>
    </nc>
  </rcc>
  <rcc rId="39286" sId="3">
    <oc r="F114">
      <f>SUM(D114-C114)</f>
    </oc>
    <nc r="F114">
      <f>SUM(D114-C114)</f>
    </nc>
  </rcc>
  <rcc rId="39287" sId="3" numFmtId="4">
    <oc r="D115">
      <v>0</v>
    </oc>
    <nc r="D115">
      <v>32</v>
    </nc>
  </rcc>
  <rcc rId="39288" sId="3">
    <oc r="E115">
      <f>SUM(D115/C115*100)</f>
    </oc>
    <nc r="E115">
      <f>SUM(D115/C115*100)</f>
    </nc>
  </rcc>
  <rcc rId="39289" sId="3">
    <oc r="F115">
      <f>SUM(D115-C115)</f>
    </oc>
    <nc r="F115">
      <f>SUM(D115-C115)</f>
    </nc>
  </rcc>
  <rcc rId="39290" sId="3">
    <oc r="C116">
      <f>SUM(C117:C121)</f>
    </oc>
    <nc r="C116">
      <f>SUM(C117:C121)</f>
    </nc>
  </rcc>
  <rcc rId="39291" sId="3">
    <oc r="D116">
      <f>D117+D118+D120+D121+D119</f>
    </oc>
    <nc r="D116">
      <f>D117+D118+D120+D121+D119</f>
    </nc>
  </rcc>
  <rcc rId="39292" sId="3">
    <oc r="E116">
      <f>SUM(D116/C116*100)</f>
    </oc>
    <nc r="E116">
      <f>SUM(D116/C116*100)</f>
    </nc>
  </rcc>
  <rcc rId="39293" sId="3">
    <oc r="F116">
      <f>SUM(D116-C116)</f>
    </oc>
    <nc r="F116">
      <f>SUM(D116-C116)</f>
    </nc>
  </rcc>
  <rcc rId="39294" sId="3" numFmtId="4">
    <oc r="D117">
      <v>23463.733</v>
    </oc>
    <nc r="D117">
      <v>32780.2045</v>
    </nc>
  </rcc>
  <rcc rId="39295" sId="3">
    <oc r="E117">
      <f>SUM(D117/C117*100)</f>
    </oc>
    <nc r="E117">
      <f>SUM(D117/C117*100)</f>
    </nc>
  </rcc>
  <rcc rId="39296" sId="3">
    <oc r="F117">
      <f>SUM(D117-C117)</f>
    </oc>
    <nc r="F117">
      <f>SUM(D117-C117)</f>
    </nc>
  </rcc>
  <rcc rId="39297" sId="3" numFmtId="4">
    <oc r="D118">
      <v>66733.119630000001</v>
    </oc>
    <nc r="D118">
      <v>92477.857430000004</v>
    </nc>
  </rcc>
  <rcc rId="39298" sId="3">
    <oc r="E118">
      <f>SUM(D118/C118*100)</f>
    </oc>
    <nc r="E118">
      <f>SUM(D118/C118*100)</f>
    </nc>
  </rcc>
  <rcc rId="39299" sId="3">
    <oc r="F118">
      <f>SUM(D118-C118)</f>
    </oc>
    <nc r="F118">
      <f>SUM(D118-C118)</f>
    </nc>
  </rcc>
  <rcc rId="39300" sId="3" numFmtId="4">
    <oc r="C119">
      <v>19444.400000000001</v>
    </oc>
    <nc r="C119">
      <v>21460</v>
    </nc>
  </rcc>
  <rcc rId="39301" sId="3" numFmtId="4">
    <oc r="D119">
      <v>4981.8149999999996</v>
    </oc>
    <nc r="D119">
      <v>7952.2340000000004</v>
    </nc>
  </rcc>
  <rcc rId="39302" sId="3">
    <oc r="E119">
      <f>SUM(D119/C119*100)</f>
    </oc>
    <nc r="E119">
      <f>SUM(D119/C119*100)</f>
    </nc>
  </rcc>
  <rcc rId="39303" sId="3">
    <oc r="F119">
      <f>SUM(D119-C119)</f>
    </oc>
    <nc r="F119">
      <f>SUM(D119-C119)</f>
    </nc>
  </rcc>
  <rcc rId="39304" sId="3" numFmtId="4">
    <oc r="D120">
      <v>36.128</v>
    </oc>
    <nc r="D120">
      <v>653.60699999999997</v>
    </nc>
  </rcc>
  <rcc rId="39305" sId="3">
    <oc r="E120">
      <f>SUM(D120/C120*100)</f>
    </oc>
    <nc r="E120">
      <f>SUM(D120/C120*100)</f>
    </nc>
  </rcc>
  <rcc rId="39306" sId="3">
    <oc r="F120">
      <f>SUM(D120-C120)</f>
    </oc>
    <nc r="F120">
      <f>SUM(D120-C120)</f>
    </nc>
  </rcc>
  <rcc rId="39307" sId="3" numFmtId="4">
    <oc r="D121">
      <v>510.77967999999998</v>
    </oc>
    <nc r="D121">
      <v>672.81386999999995</v>
    </nc>
  </rcc>
  <rcc rId="39308" sId="3">
    <oc r="E121">
      <f>SUM(D121/C121*100)</f>
    </oc>
    <nc r="E121">
      <f>SUM(D121/C121*100)</f>
    </nc>
  </rcc>
  <rcc rId="39309" sId="3">
    <oc r="F121">
      <f>SUM(D121-C121)</f>
    </oc>
    <nc r="F121">
      <f>SUM(D121-C121)</f>
    </nc>
  </rcc>
  <rcc rId="39310" sId="3">
    <oc r="C122">
      <f>SUM(C123:C124)</f>
    </oc>
    <nc r="C122">
      <f>SUM(C123:C124)</f>
    </nc>
  </rcc>
  <rcc rId="39311" sId="3">
    <oc r="D122">
      <f>SUM(D123:D124)</f>
    </oc>
    <nc r="D122">
      <f>SUM(D123:D124)</f>
    </nc>
  </rcc>
  <rcc rId="39312" sId="3">
    <oc r="E122">
      <f>SUM(D122/C122*100)</f>
    </oc>
    <nc r="E122">
      <f>SUM(D122/C122*100)</f>
    </nc>
  </rcc>
  <rcc rId="39313" sId="3">
    <oc r="F122">
      <f>SUM(D122-C122)</f>
    </oc>
    <nc r="F122">
      <f>SUM(D122-C122)</f>
    </nc>
  </rcc>
  <rcc rId="39314" sId="3" numFmtId="4">
    <oc r="D123">
      <v>8895.04709</v>
    </oc>
    <nc r="D123">
      <v>12819.85873</v>
    </nc>
  </rcc>
  <rcc rId="39315" sId="3">
    <oc r="E123">
      <f>SUM(D123/C123*100)</f>
    </oc>
    <nc r="E123">
      <f>SUM(D123/C123*100)</f>
    </nc>
  </rcc>
  <rcc rId="39316" sId="3">
    <oc r="F123">
      <f>SUM(D123-C123)</f>
    </oc>
    <nc r="F123">
      <f>SUM(D123-C123)</f>
    </nc>
  </rcc>
  <rcc rId="39317" sId="3" numFmtId="4">
    <oc r="D124">
      <v>664.48586</v>
    </oc>
    <nc r="D124">
      <v>700.00779999999997</v>
    </nc>
  </rcc>
  <rcc rId="39318" sId="3">
    <oc r="E124">
      <f>SUM(D124/C124*100)</f>
    </oc>
    <nc r="E124">
      <f>SUM(D124/C124*100)</f>
    </nc>
  </rcc>
  <rcc rId="39319" sId="3">
    <oc r="F124">
      <f>SUM(D124-C124)</f>
    </oc>
    <nc r="F124">
      <f>SUM(D124-C124)</f>
    </nc>
  </rcc>
  <rcc rId="39320" sId="3">
    <oc r="C125">
      <f>SUM(C126:C129)</f>
    </oc>
    <nc r="C125">
      <f>SUM(C126:C129)</f>
    </nc>
  </rcc>
  <rcc rId="39321" sId="3">
    <oc r="D125">
      <f>D126+D127+D128+D129</f>
    </oc>
    <nc r="D125">
      <f>D126+D127+D128+D129</f>
    </nc>
  </rcc>
  <rcc rId="39322" sId="3">
    <oc r="E125">
      <f>SUM(D125/C125*100)</f>
    </oc>
    <nc r="E125">
      <f>SUM(D125/C125*100)</f>
    </nc>
  </rcc>
  <rcc rId="39323" sId="3">
    <oc r="F125">
      <f>SUM(D125-C125)</f>
    </oc>
    <nc r="F125">
      <f>SUM(D125-C125)</f>
    </nc>
  </rcc>
  <rcc rId="39324" sId="3" numFmtId="4">
    <oc r="D126">
      <v>9.7931399999999993</v>
    </oc>
    <nc r="D126">
      <v>14.68971</v>
    </nc>
  </rcc>
  <rcc rId="39325" sId="3">
    <oc r="E126">
      <f>SUM(D126/C126*100)</f>
    </oc>
    <nc r="E126">
      <f>SUM(D126/C126*100)</f>
    </nc>
  </rcc>
  <rcc rId="39326" sId="3">
    <oc r="F126">
      <f>SUM(D126-C126)</f>
    </oc>
    <nc r="F126">
      <f>SUM(D126-C126)</f>
    </nc>
  </rcc>
  <rcc rId="39327" sId="3" numFmtId="4">
    <oc r="D127">
      <v>1448.8350399999999</v>
    </oc>
    <nc r="D127">
      <v>1939.70254</v>
    </nc>
  </rcc>
  <rcc rId="39328" sId="3">
    <oc r="E127">
      <f>SUM(D127/C127*100)</f>
    </oc>
    <nc r="E127">
      <f>SUM(D127/C127*100)</f>
    </nc>
  </rcc>
  <rcc rId="39329" sId="3">
    <oc r="F127">
      <f>SUM(D127-C127)</f>
    </oc>
    <nc r="F127">
      <f>SUM(D127-C127)</f>
    </nc>
  </rcc>
  <rcc rId="39330" sId="3" numFmtId="4">
    <oc r="C128">
      <v>25474.16174</v>
    </oc>
    <nc r="C128">
      <v>26460.761740000002</v>
    </nc>
  </rcc>
  <rcc rId="39331" sId="3" numFmtId="4">
    <oc r="D128">
      <v>85.609089999999995</v>
    </oc>
    <nc r="D128">
      <v>21843.934929999999</v>
    </nc>
  </rcc>
  <rcc rId="39332" sId="3">
    <oc r="E128">
      <f>SUM(D128/C128*100)</f>
    </oc>
    <nc r="E128">
      <f>SUM(D128/C128*100)</f>
    </nc>
  </rcc>
  <rcc rId="39333" sId="3">
    <oc r="F128">
      <f>SUM(D128-C128)</f>
    </oc>
    <nc r="F128">
      <f>SUM(D128-C128)</f>
    </nc>
  </rcc>
  <rcc rId="39334" sId="3" numFmtId="4">
    <oc r="C129">
      <v>145.4</v>
    </oc>
    <nc r="C129">
      <v>149.4</v>
    </nc>
  </rcc>
  <rcc rId="39335" sId="3" numFmtId="4">
    <oc r="D129">
      <v>9.73644</v>
    </oc>
    <nc r="D129">
      <v>43.539839999999998</v>
    </nc>
  </rcc>
  <rcc rId="39336" sId="3">
    <oc r="E129">
      <f>SUM(D129/C129*100)</f>
    </oc>
    <nc r="E129">
      <f>SUM(D129/C129*100)</f>
    </nc>
  </rcc>
  <rcc rId="39337" sId="3">
    <oc r="F129">
      <f>SUM(D129-C129)</f>
    </oc>
    <nc r="F129">
      <f>SUM(D129-C129)</f>
    </nc>
  </rcc>
  <rcc rId="39338" sId="3">
    <oc r="C130">
      <f>C131+C132</f>
    </oc>
    <nc r="C130">
      <f>C131+C132</f>
    </nc>
  </rcc>
  <rcc rId="39339" sId="3">
    <oc r="D130">
      <f>D131+D132</f>
    </oc>
    <nc r="D130">
      <f>D131+D132</f>
    </nc>
  </rcc>
  <rcc rId="39340" sId="3">
    <oc r="E130">
      <f>SUM(D130/C130*100)</f>
    </oc>
    <nc r="E130">
      <f>SUM(D130/C130*100)</f>
    </nc>
  </rcc>
  <rcc rId="39341" sId="3">
    <oc r="F130">
      <f>F131+F132+F133+F134+F135</f>
    </oc>
    <nc r="F130">
      <f>F131+F132+F133+F134+F135</f>
    </nc>
  </rcc>
  <rcc rId="39342" sId="3" numFmtId="4">
    <oc r="D131">
      <v>169.80875</v>
    </oc>
    <nc r="D131">
      <v>200.22375</v>
    </nc>
  </rcc>
  <rcc rId="39343" sId="3">
    <oc r="E131">
      <f>SUM(D131/C131*100)</f>
    </oc>
    <nc r="E131">
      <f>SUM(D131/C131*100)</f>
    </nc>
  </rcc>
  <rcc rId="39344" sId="3">
    <oc r="F131">
      <f>SUM(D131-C131)</f>
    </oc>
    <nc r="F131">
      <f>SUM(D131-C131)</f>
    </nc>
  </rcc>
  <rcc rId="39345" sId="3" numFmtId="4">
    <oc r="D132">
      <v>1640.2660000000001</v>
    </oc>
    <nc r="D132">
      <v>2369.1979999999999</v>
    </nc>
  </rcc>
  <rcc rId="39346" sId="3">
    <oc r="E132">
      <f>SUM(D132/C132*100)</f>
    </oc>
    <nc r="E132">
      <f>SUM(D132/C132*100)</f>
    </nc>
  </rcc>
  <rcc rId="39347" sId="3">
    <oc r="F132">
      <f>SUM(D132-C132)</f>
    </oc>
    <nc r="F132">
      <f>SUM(D132-C132)</f>
    </nc>
  </rcc>
  <rcc rId="39348" sId="3">
    <oc r="C133">
      <f>SUM(C123:C124)</f>
    </oc>
    <nc r="C133">
      <f>SUM(C123:C124)</f>
    </nc>
  </rcc>
  <rcc rId="39349" sId="3">
    <oc r="E133">
      <f>SUM(D133/C133*100)</f>
    </oc>
    <nc r="E133">
      <f>SUM(D133/C133*100)</f>
    </nc>
  </rcc>
  <rcc rId="39350" sId="3">
    <oc r="E134">
      <f>SUM(D134/C134*100)</f>
    </oc>
    <nc r="E134">
      <f>SUM(D134/C134*100)</f>
    </nc>
  </rcc>
  <rcc rId="39351" sId="3">
    <oc r="E135">
      <f>SUM(D135/C135*100)</f>
    </oc>
    <nc r="E135">
      <f>SUM(D135/C135*100)</f>
    </nc>
  </rcc>
  <rcc rId="39352" sId="3">
    <oc r="C136">
      <f>C137</f>
    </oc>
    <nc r="C136">
      <f>C137</f>
    </nc>
  </rcc>
  <rcc rId="39353" sId="3">
    <oc r="D136">
      <f>D137</f>
    </oc>
    <nc r="D136">
      <f>D137</f>
    </nc>
  </rcc>
  <rcc rId="39354" sId="3">
    <oc r="E136">
      <f>SUM(D136/C136*100)</f>
    </oc>
    <nc r="E136">
      <f>SUM(D136/C136*100)</f>
    </nc>
  </rcc>
  <rcc rId="39355" sId="3">
    <oc r="F136">
      <f>SUM(D136-C136)</f>
    </oc>
    <nc r="F136">
      <f>SUM(D136-C136)</f>
    </nc>
  </rcc>
  <rcc rId="39356" sId="3">
    <oc r="E137">
      <f>SUM(D137/C137*100)</f>
    </oc>
    <nc r="E137">
      <f>SUM(D137/C137*100)</f>
    </nc>
  </rcc>
  <rcc rId="39357" sId="3">
    <oc r="F137">
      <f>SUM(D137-C137)</f>
    </oc>
    <nc r="F137">
      <f>SUM(D137-C137)</f>
    </nc>
  </rcc>
  <rcc rId="39358" sId="3">
    <oc r="C138">
      <f>C139</f>
    </oc>
    <nc r="C138">
      <f>C139</f>
    </nc>
  </rcc>
  <rcc rId="39359" sId="3">
    <oc r="F138">
      <f>SUM(D138-C138)</f>
    </oc>
    <nc r="F138">
      <f>SUM(D138-C138)</f>
    </nc>
  </rcc>
  <rcc rId="39360" sId="3">
    <oc r="F139">
      <f>SUM(D139-C139)</f>
    </oc>
    <nc r="F139">
      <f>SUM(D139-C139)</f>
    </nc>
  </rcc>
  <rcc rId="39361" sId="3">
    <oc r="C140">
      <f>C141+C142+C143</f>
    </oc>
    <nc r="C140">
      <f>C141+C142+C143</f>
    </nc>
  </rcc>
  <rcc rId="39362" sId="3">
    <oc r="D140">
      <f>D141+D142+D143</f>
    </oc>
    <nc r="D140">
      <f>D141+D142+D143</f>
    </nc>
  </rcc>
  <rcc rId="39363" sId="3">
    <oc r="E140">
      <f>SUM(D140/C140*100)</f>
    </oc>
    <nc r="E140">
      <f>SUM(D140/C140*100)</f>
    </nc>
  </rcc>
  <rcc rId="39364" sId="3">
    <oc r="F140">
      <f>SUM(D140-C140)</f>
    </oc>
    <nc r="F140">
      <f>SUM(D140-C140)</f>
    </nc>
  </rcc>
  <rcc rId="39365" sId="3" numFmtId="4">
    <oc r="D141">
      <v>7073.3490000000002</v>
    </oc>
    <nc r="D141">
      <v>9431.1319999999996</v>
    </nc>
  </rcc>
  <rcc rId="39366" sId="3">
    <oc r="E141">
      <f>SUM(D141/C141*100)</f>
    </oc>
    <nc r="E141">
      <f>SUM(D141/C141*100)</f>
    </nc>
  </rcc>
  <rcc rId="39367" sId="3">
    <oc r="F141">
      <f>SUM(D141-C141)</f>
    </oc>
    <nc r="F141">
      <f>SUM(D141-C141)</f>
    </nc>
  </rcc>
  <rcc rId="39368" sId="3" numFmtId="4">
    <oc r="D142">
      <v>337.5</v>
    </oc>
    <nc r="D142">
      <v>732.5</v>
    </nc>
  </rcc>
  <rcc rId="39369" sId="3">
    <oc r="E142">
      <f>SUM(D142/C142*100)</f>
    </oc>
    <nc r="E142">
      <f>SUM(D142/C142*100)</f>
    </nc>
  </rcc>
  <rcc rId="39370" sId="3">
    <oc r="F142">
      <f>SUM(D142-C142)</f>
    </oc>
    <nc r="F142">
      <f>SUM(D142-C142)</f>
    </nc>
  </rcc>
  <rcc rId="39371" sId="3">
    <oc r="E143">
      <f>SUM(D143/C143*100)</f>
    </oc>
    <nc r="E143">
      <f>SUM(D143/C143*100)</f>
    </nc>
  </rcc>
  <rcc rId="39372" sId="3">
    <oc r="F143">
      <f>SUM(D143-C143)</f>
    </oc>
    <nc r="F143">
      <f>SUM(D143-C143)</f>
    </nc>
  </rcc>
  <rcc rId="39373" sId="3">
    <oc r="C144">
      <f>C88+C96+C98+C104+C110+C114+C116+C122+C125+C130+C136+C138+C140</f>
    </oc>
    <nc r="C144">
      <f>C88+C96+C98+C104+C110+C114+C116+C122+C125+C130+C136+C138+C140</f>
    </nc>
  </rcc>
  <rcc rId="39374" sId="3">
    <oc r="D144">
      <f>D88+D96+D98+D104+D110+D114+D116+D122+D125+D130+D136+D138+D140</f>
    </oc>
    <nc r="D144">
      <f>D88+D96+D98+D104+D110+D114+D116+D122+D125+D130+D136+D138+D140</f>
    </nc>
  </rcc>
  <rcc rId="39375" sId="3">
    <oc r="E144">
      <f>SUM(D144/C144*100)</f>
    </oc>
    <nc r="E144">
      <f>SUM(D144/C144*100)</f>
    </nc>
  </rcc>
  <rcc rId="39376" sId="3">
    <oc r="F144">
      <f>SUM(D144-C144)</f>
    </oc>
    <nc r="F144">
      <f>SUM(D144-C144)</f>
    </nc>
  </rcc>
  <rcc rId="39377" sId="3">
    <oc r="A1" t="inlineStr">
      <is>
        <t xml:space="preserve">                     Анализ исполнения райбюджета</t>
      </is>
    </oc>
    <nc r="A1" t="inlineStr">
      <is>
        <t xml:space="preserve">                           Анализ исполнения райбюджета</t>
      </is>
    </nc>
  </rcc>
  <rcc rId="39378" sId="3" numFmtId="4">
    <oc r="D78">
      <v>81572.485430000001</v>
    </oc>
    <nc r="D78">
      <v>116052.71973</v>
    </nc>
  </rcc>
  <rcc rId="39379" sId="3" numFmtId="4">
    <oc r="D79">
      <v>5138.9260000000004</v>
    </oc>
    <nc r="D79">
      <v>7340.6760000000004</v>
    </nc>
  </rcc>
  <rcc rId="39380" sId="3" numFmtId="4">
    <oc r="C77">
      <v>231559.77531</v>
    </oc>
    <nc r="C77">
      <v>233576.27531</v>
    </nc>
  </rcc>
  <rcc rId="39381" sId="3" numFmtId="4">
    <oc r="D77">
      <v>9741.7759999999998</v>
    </oc>
    <nc r="D77">
      <v>32774.677739999999</v>
    </nc>
  </rcc>
  <rcc rId="39382" sId="3" numFmtId="4">
    <oc r="D76">
      <v>2526</v>
    </oc>
    <nc r="D76">
      <v>4210</v>
    </nc>
  </rcc>
  <rcc rId="39383" sId="3" numFmtId="4">
    <oc r="D74">
      <v>482.7</v>
    </oc>
    <nc r="D74">
      <v>6489.5</v>
    </nc>
  </rcc>
  <rcc rId="39384" sId="3" numFmtId="4">
    <oc r="D81">
      <v>-29040.5</v>
    </oc>
    <nc r="D81">
      <v>-29058.792000000001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41.xml><?xml version="1.0" encoding="utf-8"?>
<revisions xmlns="http://schemas.openxmlformats.org/spreadsheetml/2006/main" xmlns:r="http://schemas.openxmlformats.org/officeDocument/2006/relationships">
  <rcc rId="36109" sId="9">
    <oc r="A1" t="inlineStr">
      <is>
        <t xml:space="preserve">                     Анализ исполнения бюджета Москакасинского сельского поселения на 01.03.2019 г.</t>
      </is>
    </oc>
    <nc r="A1" t="inlineStr">
      <is>
        <t xml:space="preserve">                     Анализ исполнения бюджета Москакасинского сельского поселения на 01.04.2019 г.</t>
      </is>
    </nc>
  </rcc>
  <rcc rId="36110" sId="9">
    <oc r="D3" t="inlineStr">
      <is>
        <t>исполнен на 01.03.2019 г.</t>
      </is>
    </oc>
    <nc r="D3" t="inlineStr">
      <is>
        <t>исполнен на 01.04.2019 г.</t>
      </is>
    </nc>
  </rcc>
  <rcc rId="36111" sId="9">
    <oc r="D55" t="inlineStr">
      <is>
        <t>исполнено на 01.03.2019 г.</t>
      </is>
    </oc>
    <nc r="D55" t="inlineStr">
      <is>
        <t>исполнено на 01.04.2019 г.</t>
      </is>
    </nc>
  </rcc>
  <rcc rId="36112" sId="9" numFmtId="4">
    <oc r="D6">
      <v>227.76774</v>
    </oc>
    <nc r="D6">
      <v>337.89508999999998</v>
    </nc>
  </rcc>
  <rcc rId="36113" sId="9" numFmtId="4">
    <oc r="D8">
      <v>60.083399999999997</v>
    </oc>
    <nc r="D8">
      <v>85.845150000000004</v>
    </nc>
  </rcc>
  <rcc rId="36114" sId="9" numFmtId="4">
    <oc r="D9">
      <v>0.40767999999999999</v>
    </oc>
    <nc r="D9">
      <v>0.5998</v>
    </nc>
  </rcc>
  <rcc rId="36115" sId="9" numFmtId="4">
    <oc r="D10">
      <v>88.250579999999999</v>
    </oc>
    <nc r="D10">
      <v>125.86671</v>
    </nc>
  </rcc>
  <rcc rId="36116" sId="9" numFmtId="4">
    <oc r="D11">
      <v>-13.089639999999999</v>
    </oc>
    <nc r="D11">
      <v>-16.89499</v>
    </nc>
  </rcc>
  <rcc rId="36117" sId="9" numFmtId="4">
    <oc r="D13">
      <v>0.14399999999999999</v>
    </oc>
    <nc r="D13">
      <v>27.633299999999998</v>
    </nc>
  </rcc>
  <rcc rId="36118" sId="9" numFmtId="4">
    <oc r="D15">
      <v>5.0997899999999996</v>
    </oc>
    <nc r="D15">
      <v>6.9102199999999998</v>
    </nc>
  </rcc>
  <rcc rId="36119" sId="9" numFmtId="4">
    <oc r="D16">
      <v>113.77932</v>
    </oc>
    <nc r="D16">
      <v>167.86416</v>
    </nc>
  </rcc>
  <rcc rId="36120" sId="9" numFmtId="4">
    <oc r="C43">
      <v>2055.51044</v>
    </oc>
    <nc r="C43">
      <v>4758.9176399999997</v>
    </nc>
  </rcc>
  <rcc rId="36121" sId="9" numFmtId="4">
    <oc r="D43">
      <v>0</v>
    </oc>
    <nc r="D43">
      <v>87.915000000000006</v>
    </nc>
  </rcc>
  <rcc rId="36122" sId="9" numFmtId="4">
    <oc r="D45">
      <v>29.666</v>
    </oc>
    <nc r="D45">
      <v>44.499000000000002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411.xml><?xml version="1.0" encoding="utf-8"?>
<revisions xmlns="http://schemas.openxmlformats.org/spreadsheetml/2006/main" xmlns:r="http://schemas.openxmlformats.org/officeDocument/2006/relationships">
  <rcc rId="32723" sId="18" numFmtId="34">
    <oc r="C72">
      <v>0</v>
    </oc>
    <nc r="C72">
      <v>2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41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411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Яро!$19:$24,Яро!$28:$30,Яро!$43:$43,Яро!$54:$54,Яро!$56:$58,Яро!$64:$65,Яро!$74:$74,Яро!$81:$83,Яро!$86:$89,Яро!$91:$93</formula>
    <oldFormula>Яро!$19:$24,Яро!$28:$30,Яро!$43:$43,Яро!$54:$54,Яро!$56:$58,Яро!$64:$65,Яро!$74:$74,Яро!$81:$83,Яро!$86:$89,Яро!$91:$93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5.xml><?xml version="1.0" encoding="utf-8"?>
<revisions xmlns="http://schemas.openxmlformats.org/spreadsheetml/2006/main" xmlns:r="http://schemas.openxmlformats.org/officeDocument/2006/relationships">
  <rcc rId="38183" sId="15">
    <oc r="A1" t="inlineStr">
      <is>
        <t xml:space="preserve">                     Анализ исполнения бюджета Шатьмапосинского сельского поселения на 01.04.2019 г.</t>
      </is>
    </oc>
    <nc r="A1" t="inlineStr">
      <is>
        <t xml:space="preserve">                     Анализ исполнения бюджета Шатьмапосинского сельского поселения на 01.05.2019 г.</t>
      </is>
    </nc>
  </rcc>
  <rcc rId="38184" sId="15">
    <oc r="D3" t="inlineStr">
      <is>
        <t>исполнен на 01.04.2019 г.</t>
      </is>
    </oc>
    <nc r="D3" t="inlineStr">
      <is>
        <t>исполнен на 01.05.2019 г.</t>
      </is>
    </nc>
  </rcc>
  <rcc rId="38185" sId="15">
    <oc r="D54" t="inlineStr">
      <is>
        <t>исполнено на 01.04.2019 г.</t>
      </is>
    </oc>
    <nc r="D54" t="inlineStr">
      <is>
        <t>исполнено на 01.05.2019 г.</t>
      </is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PrintArea" hidden="1" oldHidden="1">
    <formula>Шать!$A$1:$F$101</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Юнг!$19:$24,Юнг!$38:$38,Юнг!$45:$49,Юнг!$56:$56,Юнг!$58:$60,Юнг!$66:$67,Юнг!$77:$78,Юнг!$82:$86,Юнг!$89:$96,Юнг!$142:$142</formula>
    <oldFormula>Юнг!$19:$24,Юнг!$38:$38,Юнг!$45:$49,Юнг!$56:$56,Юнг!$58:$60,Юнг!$66:$67,Юнг!$77:$78,Юнг!$82:$86,Юнг!$89:$96,Юнг!$142:$142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Яра!$19:$24,Яра!$46:$46,Яра!$48:$51,Яра!$58:$58,Яра!$60:$62,Яра!$68:$69,Яра!$79:$80,Яра!$84:$88,Яра!$91:$98,Яра!$143:$143</formula>
    <oldFormula>Яра!$19:$24,Яра!$46:$46,Яра!$48:$51,Яра!$58:$58,Яра!$60:$62,Яра!$68:$69,Яра!$79:$80,Яра!$84:$88,Яра!$91:$98,Яра!$143:$143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Яро!$19:$24,Яро!$28:$28,Яро!$34:$36,Яро!$43:$43,Яро!$46:$47,Яро!$54:$54,Яро!$56:$58,Яро!$64:$65,Яро!$75:$75,Яро!$80:$84,Яро!$87:$90,Яро!$92:$94</formula>
    <oldFormula>Яро!$19:$24,Яро!$28:$28,Яро!$34:$36,Яро!$43:$43,Яро!$46:$47,Яро!$54:$54,Яро!$56:$58,Яро!$64:$65,Яро!$75:$75,Яро!$80:$84,Яро!$87:$90,Яро!$92:$94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51.xml><?xml version="1.0" encoding="utf-8"?>
<revisions xmlns="http://schemas.openxmlformats.org/spreadsheetml/2006/main" xmlns:r="http://schemas.openxmlformats.org/officeDocument/2006/relationships">
  <rcc rId="37616" sId="4" numFmtId="4">
    <oc r="D6">
      <v>17.649239999999999</v>
    </oc>
    <nc r="D6">
      <v>31.202220000000001</v>
    </nc>
  </rcc>
  <rcc rId="37617" sId="4">
    <oc r="A1" t="inlineStr">
      <is>
        <t xml:space="preserve">                     Анализ исполнения бюджета Александровского сельского поселения на 01.04.2019 г.</t>
      </is>
    </oc>
    <nc r="A1" t="inlineStr">
      <is>
        <t xml:space="preserve">                     Анализ исполнения бюджета Александровского сельского поселения на 01.05.2019 г.</t>
      </is>
    </nc>
  </rcc>
  <rcc rId="37618" sId="4">
    <oc r="D3" t="inlineStr">
      <is>
        <t>исполнен на 01.04.2019 г.</t>
      </is>
    </oc>
    <nc r="D3" t="inlineStr">
      <is>
        <t>исполнен на 01.05.2019 г.</t>
      </is>
    </nc>
  </rcc>
  <rcc rId="37619" sId="4" numFmtId="4">
    <oc r="D8">
      <v>28.61505</v>
    </oc>
    <nc r="D8">
      <v>38.585889999999999</v>
    </nc>
  </rcc>
  <rcc rId="37620" sId="4" numFmtId="4">
    <oc r="D9">
      <v>0.19994000000000001</v>
    </oc>
    <nc r="D9">
      <v>0.28164</v>
    </nc>
  </rcc>
  <rcc rId="37621" sId="4" numFmtId="4">
    <oc r="D10">
      <v>41.955570000000002</v>
    </oc>
    <nc r="D10">
      <v>54.848039999999997</v>
    </nc>
  </rcc>
  <rcc rId="37622" sId="4" numFmtId="4">
    <oc r="D11">
      <v>-5.6316600000000001</v>
    </oc>
    <nc r="D11">
      <v>-7.9755900000000004</v>
    </nc>
  </rcc>
  <rcc rId="37623" sId="4" numFmtId="4">
    <oc r="D13">
      <v>0</v>
    </oc>
    <nc r="D13">
      <v>40.129199999999997</v>
    </nc>
  </rcc>
  <rcc rId="37624" sId="4" numFmtId="4">
    <oc r="D15">
      <v>10.111370000000001</v>
    </oc>
    <nc r="D15">
      <v>10.262420000000001</v>
    </nc>
  </rcc>
  <rcc rId="37625" sId="4" numFmtId="4">
    <oc r="D16">
      <v>14.068910000000001</v>
    </oc>
    <nc r="D16">
      <v>17.671659999999999</v>
    </nc>
  </rcc>
  <rcc rId="37626" sId="4" numFmtId="4">
    <oc r="D18">
      <v>0.1</v>
    </oc>
    <nc r="D18">
      <v>0.3</v>
    </nc>
  </rcc>
  <rcc rId="37627" sId="4" numFmtId="4">
    <oc r="D39">
      <v>300.17399999999998</v>
    </oc>
    <nc r="D39">
      <v>400.23200000000003</v>
    </nc>
  </rcc>
  <rcc rId="37628" sId="4" numFmtId="4">
    <oc r="D40">
      <v>27.5</v>
    </oc>
    <nc r="D40">
      <v>112.5</v>
    </nc>
  </rcc>
  <rcc rId="37629" sId="4" numFmtId="4">
    <oc r="D41">
      <v>87.12</v>
    </oc>
    <nc r="D41">
      <v>139.75200000000001</v>
    </nc>
  </rcc>
  <rcc rId="37630" sId="4" numFmtId="4">
    <oc r="D42">
      <v>22.251000000000001</v>
    </oc>
    <nc r="D42">
      <v>29.776</v>
    </nc>
  </rcc>
  <rcc rId="37631" sId="4">
    <oc r="D50" t="inlineStr">
      <is>
        <t>исполнено на 01.04.2019 г.</t>
      </is>
    </oc>
    <nc r="D50" t="inlineStr">
      <is>
        <t>исполнено на 01.05.2019 г.</t>
      </is>
    </nc>
  </rcc>
  <rcc rId="37632" sId="4" numFmtId="34">
    <oc r="D54">
      <v>190.81612000000001</v>
    </oc>
    <nc r="D54">
      <v>327.45265999999998</v>
    </nc>
  </rcc>
  <rfmt sheetId="4" sqref="D54">
    <dxf>
      <numFmt numFmtId="2" formatCode="0.00"/>
    </dxf>
  </rfmt>
  <rfmt sheetId="4" sqref="D52">
    <dxf>
      <numFmt numFmtId="2" formatCode="0.00"/>
    </dxf>
  </rfmt>
  <rfmt sheetId="4" sqref="C52">
    <dxf>
      <numFmt numFmtId="2" formatCode="0.00"/>
    </dxf>
  </rfmt>
  <rfmt sheetId="4" sqref="C54:D94">
    <dxf>
      <numFmt numFmtId="2" formatCode="0.0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511.xml><?xml version="1.0" encoding="utf-8"?>
<revisions xmlns="http://schemas.openxmlformats.org/spreadsheetml/2006/main" xmlns:r="http://schemas.openxmlformats.org/officeDocument/2006/relationships">
  <rfmt sheetId="2" sqref="AZ14:AZ30">
    <dxf>
      <fill>
        <patternFill>
          <bgColor theme="0"/>
        </patternFill>
      </fill>
    </dxf>
  </rfmt>
  <rfmt sheetId="2" sqref="AB14:AB29">
    <dxf>
      <fill>
        <patternFill>
          <bgColor rgb="FFFFFF00"/>
        </patternFill>
      </fill>
    </dxf>
  </rfmt>
  <rfmt sheetId="2" sqref="AB14:AB29">
    <dxf>
      <numFmt numFmtId="4" formatCode="#,##0.00"/>
    </dxf>
  </rfmt>
  <rfmt sheetId="2" sqref="AB14:AB29">
    <dxf>
      <numFmt numFmtId="173" formatCode="#,##0.000"/>
    </dxf>
  </rfmt>
  <rfmt sheetId="2" sqref="AB14:AB29">
    <dxf>
      <numFmt numFmtId="183" formatCode="#,##0.0000"/>
    </dxf>
  </rfmt>
  <rfmt sheetId="2" sqref="AB14:AB29">
    <dxf>
      <numFmt numFmtId="172" formatCode="#,##0.00000"/>
    </dxf>
  </rfmt>
  <rfmt sheetId="2" sqref="AB14:AB29">
    <dxf>
      <numFmt numFmtId="180" formatCode="#,##0.000000"/>
    </dxf>
  </rfmt>
  <rfmt sheetId="2" sqref="AB14">
    <dxf>
      <fill>
        <patternFill>
          <bgColor theme="0"/>
        </patternFill>
      </fill>
    </dxf>
  </rfmt>
  <rfmt sheetId="2" sqref="AB17">
    <dxf>
      <fill>
        <patternFill>
          <bgColor theme="0"/>
        </patternFill>
      </fill>
    </dxf>
  </rfmt>
  <rfmt sheetId="2" sqref="AB19">
    <dxf>
      <fill>
        <patternFill>
          <bgColor theme="0"/>
        </patternFill>
      </fill>
    </dxf>
  </rfmt>
  <rfmt sheetId="2" sqref="AB15">
    <dxf>
      <fill>
        <patternFill>
          <bgColor theme="0"/>
        </patternFill>
      </fill>
    </dxf>
  </rfmt>
  <rfmt sheetId="2" sqref="AB18">
    <dxf>
      <fill>
        <patternFill>
          <bgColor theme="0"/>
        </patternFill>
      </fill>
    </dxf>
  </rfmt>
  <rfmt sheetId="2" sqref="AB22">
    <dxf>
      <fill>
        <patternFill>
          <bgColor theme="0"/>
        </patternFill>
      </fill>
    </dxf>
  </rfmt>
  <rfmt sheetId="2" sqref="AB21">
    <dxf>
      <fill>
        <patternFill>
          <bgColor theme="0"/>
        </patternFill>
      </fill>
    </dxf>
  </rfmt>
  <rfmt sheetId="2" sqref="AB20">
    <dxf>
      <fill>
        <patternFill>
          <bgColor theme="0"/>
        </patternFill>
      </fill>
    </dxf>
  </rfmt>
  <rfmt sheetId="2" sqref="AB23">
    <dxf>
      <fill>
        <patternFill>
          <bgColor theme="0"/>
        </patternFill>
      </fill>
    </dxf>
  </rfmt>
  <rfmt sheetId="2" sqref="AB24">
    <dxf>
      <fill>
        <patternFill>
          <bgColor theme="0"/>
        </patternFill>
      </fill>
    </dxf>
  </rfmt>
  <rfmt sheetId="2" sqref="AB25">
    <dxf>
      <fill>
        <patternFill>
          <bgColor theme="0"/>
        </patternFill>
      </fill>
    </dxf>
  </rfmt>
  <rfmt sheetId="2" sqref="AB26">
    <dxf>
      <fill>
        <patternFill>
          <bgColor theme="0"/>
        </patternFill>
      </fill>
    </dxf>
  </rfmt>
  <rfmt sheetId="2" sqref="AB27">
    <dxf>
      <fill>
        <patternFill>
          <bgColor theme="0"/>
        </patternFill>
      </fill>
    </dxf>
  </rfmt>
  <rcc rId="34760" sId="6" numFmtId="4">
    <oc r="D15">
      <v>5.5675600000000003</v>
    </oc>
    <nc r="D15">
      <v>5.6575600000000001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5111.xml><?xml version="1.0" encoding="utf-8"?>
<revisions xmlns="http://schemas.openxmlformats.org/spreadsheetml/2006/main" xmlns:r="http://schemas.openxmlformats.org/officeDocument/2006/relationships">
  <rcc rId="32330" sId="18" numFmtId="4">
    <oc r="D13">
      <v>3.17</v>
    </oc>
    <nc r="D13">
      <v>3.1707000000000001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5112.xml><?xml version="1.0" encoding="utf-8"?>
<revisions xmlns="http://schemas.openxmlformats.org/spreadsheetml/2006/main" xmlns:r="http://schemas.openxmlformats.org/officeDocument/2006/relationships">
  <rcc rId="31969" sId="18" numFmtId="4">
    <oc r="D38">
      <v>38.87959</v>
    </oc>
    <nc r="D38">
      <v>0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512.xml><?xml version="1.0" encoding="utf-8"?>
<revisions xmlns="http://schemas.openxmlformats.org/spreadsheetml/2006/main" xmlns:r="http://schemas.openxmlformats.org/officeDocument/2006/relationships">
  <rcc rId="37547" sId="1">
    <oc r="D3" t="inlineStr">
      <is>
        <t>исполнено на 01.03.2019 г.</t>
      </is>
    </oc>
    <nc r="D3" t="inlineStr">
      <is>
        <t>исполнено на 01.04.2019 г.</t>
      </is>
    </nc>
  </rcc>
  <rcc rId="37548" sId="1">
    <oc r="G3" t="inlineStr">
      <is>
        <t>исполнено на 01.03.2019 г.</t>
      </is>
    </oc>
    <nc r="G3" t="inlineStr">
      <is>
        <t>исполнено на 01.04.2019 г.</t>
      </is>
    </nc>
  </rcc>
  <rcc rId="37549" sId="1">
    <oc r="J3" t="inlineStr">
      <is>
        <t>исполнено на 01.03.2019 г.</t>
      </is>
    </oc>
    <nc r="J3" t="inlineStr">
      <is>
        <t>исполнено на 01.04.2019 г.</t>
      </is>
    </nc>
  </rcc>
  <rcc rId="37550" sId="6">
    <oc r="A1" t="inlineStr">
      <is>
        <t xml:space="preserve">                     Анализ исполнения бюджета Ильинского сельского поселения на 01.03.2019 г.</t>
      </is>
    </oc>
    <nc r="A1" t="inlineStr">
      <is>
        <t xml:space="preserve">                     Анализ исполнения бюджета Ильинского сельского поселения на 01.04.2019 г.</t>
      </is>
    </nc>
  </rcc>
  <rcc rId="37551" sId="13">
    <oc r="A1" t="inlineStr">
      <is>
        <t xml:space="preserve">                     Анализ исполнения бюджета Хорнойского сельского поселения на 01.03.2019 г.</t>
      </is>
    </oc>
    <nc r="A1" t="inlineStr">
      <is>
        <t xml:space="preserve">                     Анализ исполнения бюджета Хорнойского сельского поселения на 01.04.2019 г.</t>
      </is>
    </nc>
  </rcc>
  <rcc rId="37552" sId="13">
    <oc r="D3" t="inlineStr">
      <is>
        <t>исполнен на 01.03.2019 г.</t>
      </is>
    </oc>
    <nc r="D3" t="inlineStr">
      <is>
        <t>исполнен на 01.04.2019 г.</t>
      </is>
    </nc>
  </rcc>
  <rcc rId="37553" sId="13">
    <oc r="D52" t="inlineStr">
      <is>
        <t>исполнено на 01.03.2019 г.</t>
      </is>
    </oc>
    <nc r="D52" t="inlineStr">
      <is>
        <t>исполнено на 01.04.2019 г.</t>
      </is>
    </nc>
  </rcc>
  <rcc rId="37554" sId="16">
    <oc r="A1" t="inlineStr">
      <is>
        <t xml:space="preserve">                     Анализ исполнения бюджета Юнгинского сельского поселения на 01.03.2019 г.</t>
      </is>
    </oc>
    <nc r="A1" t="inlineStr">
      <is>
        <t xml:space="preserve">                     Анализ исполнения бюджета Юнгинского сельского поселения на 01.04.2019 г.</t>
      </is>
    </nc>
  </rcc>
  <rcc rId="37555" sId="16">
    <oc r="D3" t="inlineStr">
      <is>
        <t>исполнен на 01.03.2019 г.</t>
      </is>
    </oc>
    <nc r="D3" t="inlineStr">
      <is>
        <t>исполнен на 01.04.2019 г.</t>
      </is>
    </nc>
  </rcc>
  <rcc rId="37556" sId="16">
    <oc r="D53" t="inlineStr">
      <is>
        <t>исполнено на 01.03.2019 г.</t>
      </is>
    </oc>
    <nc r="D53" t="inlineStr">
      <is>
        <t>исполнено на 01.04.2019 г.</t>
      </is>
    </nc>
  </rcc>
  <rcc rId="37557" sId="2">
    <oc r="B5" t="inlineStr">
      <is>
        <t>об исполнении бюджетов поселений  Моргаушского района  на 1 марта 2019 г.</t>
      </is>
    </oc>
    <nc r="B5" t="inlineStr">
      <is>
        <t>об исполнении бюджетов поселений  Моргаушского района  на 1апреля 2019 г.</t>
      </is>
    </nc>
  </rcc>
  <rfmt sheetId="2" sqref="CF31">
    <dxf>
      <numFmt numFmtId="180" formatCode="#,##0.000000"/>
    </dxf>
  </rfmt>
  <rfmt sheetId="2" sqref="CF31">
    <dxf>
      <numFmt numFmtId="172" formatCode="#,##0.00000"/>
    </dxf>
  </rfmt>
  <rfmt sheetId="2" sqref="CF31">
    <dxf>
      <numFmt numFmtId="183" formatCode="#,##0.0000"/>
    </dxf>
  </rfmt>
  <rfmt sheetId="2" sqref="CF31">
    <dxf>
      <numFmt numFmtId="173" formatCode="#,##0.000"/>
    </dxf>
  </rfmt>
  <rfmt sheetId="2" sqref="CF31">
    <dxf>
      <numFmt numFmtId="4" formatCode="#,##0.00"/>
    </dxf>
  </rfmt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Справка!$33:$34</formula>
    <oldFormula>Справка!$33:$34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25121.xml><?xml version="1.0" encoding="utf-8"?>
<revisions xmlns="http://schemas.openxmlformats.org/spreadsheetml/2006/main" xmlns:r="http://schemas.openxmlformats.org/officeDocument/2006/relationships"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2513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Сун!$A$1:$F$103</formula>
    <oldFormula>Сун!$A$1:$F$103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Мор!$A$1:$F$100</formula>
    <oldFormula>Мор!$A$1:$F$100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61528DAC_5C4C_48F4_ADE2_8A724B05A086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5131.xml><?xml version="1.0" encoding="utf-8"?>
<revisions xmlns="http://schemas.openxmlformats.org/spreadsheetml/2006/main" xmlns:r="http://schemas.openxmlformats.org/officeDocument/2006/relationships">
  <rcc rId="33734" sId="12" numFmtId="34">
    <oc r="D58">
      <v>30.058160000000001</v>
    </oc>
    <nc r="D58">
      <v>103.33208</v>
    </nc>
  </rcc>
  <rcc rId="33735" sId="12" numFmtId="34">
    <oc r="C63">
      <v>3.3940000000000001</v>
    </oc>
    <nc r="C63">
      <v>5.194</v>
    </nc>
  </rcc>
  <rcc rId="33736" sId="12" numFmtId="34">
    <oc r="D63">
      <v>0</v>
    </oc>
    <nc r="D63">
      <v>5.194</v>
    </nc>
  </rcc>
  <rcc rId="33737" sId="12" numFmtId="34">
    <oc r="C65">
      <v>177.95</v>
    </oc>
    <nc r="C65">
      <v>179.892</v>
    </nc>
  </rcc>
  <rcc rId="33738" sId="12" numFmtId="34">
    <oc r="D65">
      <v>4.5</v>
    </oc>
    <nc r="D65">
      <v>19.183409999999999</v>
    </nc>
  </rcc>
  <rcc rId="33739" sId="12" numFmtId="34">
    <oc r="C69">
      <v>2</v>
    </oc>
    <nc r="C69">
      <v>0.2</v>
    </nc>
  </rcc>
  <rcc rId="33740" sId="12" numFmtId="34">
    <oc r="C70">
      <v>2</v>
    </oc>
    <nc r="C70">
      <v>22</v>
    </nc>
  </rcc>
  <rrc rId="33741" sId="12" ref="A71:XFD71" action="insertRow">
    <undo index="14" exp="area" ref3D="1" dr="$A$82:$XFD$93" dn="Z_1A52382B_3765_4E8C_903F_6B8919B7242E_.wvu.Rows" sId="12"/>
    <undo index="12" exp="area" ref3D="1" dr="$A$78:$XFD$79" dn="Z_1A52382B_3765_4E8C_903F_6B8919B7242E_.wvu.Rows" sId="12"/>
    <undo index="10" exp="area" ref3D="1" dr="$A$74:$XFD$74" dn="Z_1A52382B_3765_4E8C_903F_6B8919B7242E_.wvu.Rows" sId="12"/>
    <undo index="22" exp="area" ref3D="1" dr="$A$142:$XFD$142" dn="Z_B30CE22D_C12F_4E12_8BB9_3AAE0A6991CC_.wvu.Rows" sId="12"/>
    <undo index="20" exp="area" ref3D="1" dr="$A$89:$XFD$95" dn="Z_B30CE22D_C12F_4E12_8BB9_3AAE0A6991CC_.wvu.Rows" sId="12"/>
    <undo index="18" exp="area" ref3D="1" dr="$A$85:$XFD$86" dn="Z_B30CE22D_C12F_4E12_8BB9_3AAE0A6991CC_.wvu.Rows" sId="12"/>
    <undo index="16" exp="area" ref3D="1" dr="$A$78:$XFD$79" dn="Z_B30CE22D_C12F_4E12_8BB9_3AAE0A6991CC_.wvu.Rows" sId="12"/>
    <undo index="14" exp="area" ref3D="1" dr="$A$74:$XFD$74" dn="Z_B30CE22D_C12F_4E12_8BB9_3AAE0A6991CC_.wvu.Rows" sId="12"/>
    <undo index="22" exp="area" ref3D="1" dr="$A$142:$XFD$142" dn="Z_61528DAC_5C4C_48F4_ADE2_8A724B05A086_.wvu.Rows" sId="12"/>
    <undo index="20" exp="area" ref3D="1" dr="$A$89:$XFD$95" dn="Z_61528DAC_5C4C_48F4_ADE2_8A724B05A086_.wvu.Rows" sId="12"/>
    <undo index="18" exp="area" ref3D="1" dr="$A$85:$XFD$86" dn="Z_61528DAC_5C4C_48F4_ADE2_8A724B05A086_.wvu.Rows" sId="12"/>
    <undo index="16" exp="area" ref3D="1" dr="$A$78:$XFD$79" dn="Z_61528DAC_5C4C_48F4_ADE2_8A724B05A086_.wvu.Rows" sId="12"/>
    <undo index="14" exp="area" ref3D="1" dr="$A$74:$XFD$74" dn="Z_61528DAC_5C4C_48F4_ADE2_8A724B05A086_.wvu.Rows" sId="12"/>
    <undo index="22" exp="area" ref3D="1" dr="$A$142:$XFD$142" dn="Z_A54C432C_6C68_4B53_A75C_446EB3A61B2B_.wvu.Rows" sId="12"/>
    <undo index="20" exp="area" ref3D="1" dr="$A$83:$XFD$95" dn="Z_A54C432C_6C68_4B53_A75C_446EB3A61B2B_.wvu.Rows" sId="12"/>
    <undo index="18" exp="area" ref3D="1" dr="$A$78:$XFD$79" dn="Z_A54C432C_6C68_4B53_A75C_446EB3A61B2B_.wvu.Rows" sId="12"/>
    <undo index="16" exp="area" ref3D="1" dr="$A$74:$XFD$74" dn="Z_A54C432C_6C68_4B53_A75C_446EB3A61B2B_.wvu.Rows" sId="12"/>
    <undo index="14" exp="area" ref3D="1" dr="$A$82:$XFD$93" dn="Z_5BFCA170_DEAE_4D2C_98A0_1E68B427AC01_.wvu.Rows" sId="12"/>
    <undo index="12" exp="area" ref3D="1" dr="$A$78:$XFD$79" dn="Z_5BFCA170_DEAE_4D2C_98A0_1E68B427AC01_.wvu.Rows" sId="12"/>
    <undo index="10" exp="area" ref3D="1" dr="$A$74:$XFD$74" dn="Z_5BFCA170_DEAE_4D2C_98A0_1E68B427AC01_.wvu.Rows" sId="12"/>
    <undo index="18" exp="area" ref3D="1" dr="$A$83:$XFD$95" dn="Z_42584DC0_1D41_4C93_9B38_C388E7B8DAC4_.wvu.Rows" sId="12"/>
    <undo index="16" exp="area" ref3D="1" dr="$A$78:$XFD$79" dn="Z_42584DC0_1D41_4C93_9B38_C388E7B8DAC4_.wvu.Rows" sId="12"/>
    <undo index="14" exp="area" ref3D="1" dr="$A$74:$XFD$74" dn="Z_42584DC0_1D41_4C93_9B38_C388E7B8DAC4_.wvu.Rows" sId="12"/>
    <undo index="14" exp="area" ref3D="1" dr="$A$82:$XFD$93" dn="Z_3DCB9AAA_F09C_4EA6_B992_F93E466D374A_.wvu.Rows" sId="12"/>
    <undo index="12" exp="area" ref3D="1" dr="$A$78:$XFD$79" dn="Z_3DCB9AAA_F09C_4EA6_B992_F93E466D374A_.wvu.Rows" sId="12"/>
    <undo index="10" exp="area" ref3D="1" dr="$A$74:$XFD$74" dn="Z_3DCB9AAA_F09C_4EA6_B992_F93E466D374A_.wvu.Rows" sId="12"/>
    <undo index="22" exp="area" ref3D="1" dr="$A$142:$XFD$142" dn="Z_1718F1EE_9F48_4DBE_9531_3B70F9C4A5DD_.wvu.Rows" sId="12"/>
    <undo index="20" exp="area" ref3D="1" dr="$A$83:$XFD$95" dn="Z_1718F1EE_9F48_4DBE_9531_3B70F9C4A5DD_.wvu.Rows" sId="12"/>
    <undo index="18" exp="area" ref3D="1" dr="$A$78:$XFD$79" dn="Z_1718F1EE_9F48_4DBE_9531_3B70F9C4A5DD_.wvu.Rows" sId="12"/>
    <undo index="16" exp="area" ref3D="1" dr="$A$74:$XFD$74" dn="Z_1718F1EE_9F48_4DBE_9531_3B70F9C4A5DD_.wvu.Rows" sId="12"/>
  </rrc>
  <rcc rId="33742" sId="12">
    <nc r="A71" t="inlineStr">
      <is>
        <t>0314</t>
      </is>
    </nc>
  </rcc>
  <rcc rId="33743" sId="12">
    <nc r="B71" t="inlineStr">
      <is>
        <t>Другие вопросы</t>
      </is>
    </nc>
  </rcc>
  <rcc rId="33744" sId="12">
    <oc r="C66">
      <f>C69+C70</f>
    </oc>
    <nc r="C66">
      <f>C69+C70+C71</f>
    </nc>
  </rcc>
  <rcc rId="33745" sId="12" numFmtId="34">
    <nc r="C71">
      <v>2</v>
    </nc>
  </rcc>
  <rfmt sheetId="12" sqref="C66:C72">
    <dxf>
      <numFmt numFmtId="176" formatCode="_(* #,##0.0000_);_(* \(#,##0.0000\);_(* &quot;-&quot;??_);_(@_)"/>
    </dxf>
  </rfmt>
  <rfmt sheetId="12" sqref="C66:C72">
    <dxf>
      <numFmt numFmtId="188" formatCode="_(* #,##0.000_);_(* \(#,##0.000\);_(* &quot;-&quot;??_);_(@_)"/>
    </dxf>
  </rfmt>
  <rfmt sheetId="12" sqref="C66:C72">
    <dxf>
      <numFmt numFmtId="165" formatCode="_(* #,##0.00_);_(* \(#,##0.00\);_(* &quot;-&quot;??_);_(@_)"/>
    </dxf>
  </rfmt>
  <rfmt sheetId="12" sqref="C66:C72">
    <dxf>
      <numFmt numFmtId="169" formatCode="_(* #,##0.0_);_(* \(#,##0.0\);_(* &quot;-&quot;??_);_(@_)"/>
    </dxf>
  </rfmt>
  <rcc rId="33746" sId="12" numFmtId="34">
    <oc r="C73">
      <v>3.75</v>
    </oc>
    <nc r="C73">
      <v>4.0214999999999996</v>
    </nc>
  </rcc>
  <rcc rId="33747" sId="12" numFmtId="34">
    <oc r="C74">
      <v>0</v>
    </oc>
    <nc r="C74">
      <v>100</v>
    </nc>
  </rcc>
  <rcc rId="33748" sId="12" numFmtId="34">
    <oc r="C76">
      <v>2182.9050000000002</v>
    </oc>
    <nc r="C76">
      <v>3308.4516100000001</v>
    </nc>
  </rcc>
  <rcc rId="33749" sId="12" numFmtId="34">
    <oc r="D76">
      <v>0</v>
    </oc>
    <nc r="D76">
      <v>38.559800000000003</v>
    </nc>
  </rcc>
  <rfmt sheetId="12" sqref="D72">
    <dxf>
      <numFmt numFmtId="176" formatCode="_(* #,##0.0000_);_(* \(#,##0.0000\);_(* &quot;-&quot;??_);_(@_)"/>
    </dxf>
  </rfmt>
  <rfmt sheetId="12" sqref="D72">
    <dxf>
      <numFmt numFmtId="188" formatCode="_(* #,##0.000_);_(* \(#,##0.000\);_(* &quot;-&quot;??_);_(@_)"/>
    </dxf>
  </rfmt>
  <rfmt sheetId="12" sqref="D72">
    <dxf>
      <numFmt numFmtId="165" formatCode="_(* #,##0.00_);_(* \(#,##0.00\);_(* &quot;-&quot;??_);_(@_)"/>
    </dxf>
  </rfmt>
  <rfmt sheetId="12" sqref="D72">
    <dxf>
      <numFmt numFmtId="169" formatCode="_(* #,##0.0_);_(* \(#,##0.0\);_(* &quot;-&quot;??_);_(@_)"/>
    </dxf>
  </rfmt>
  <rcc rId="33750" sId="12" numFmtId="34">
    <oc r="C81">
      <v>300</v>
    </oc>
    <nc r="C81">
      <v>329.7285</v>
    </nc>
  </rcc>
  <rcc rId="33751" sId="12" numFmtId="34">
    <oc r="D83">
      <v>99.091999999999999</v>
    </oc>
    <nc r="D83">
      <v>206.29599999999999</v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Мор!$A$1:$F$100</formula>
    <oldFormula>Мор!$A$1:$F$100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Мор!$17:$17,Мор!$21:$21,Мор!$23:$23,Мор!$37:$37,Мор!$44:$44,Мор!$46:$47,Мор!$49:$50,Мор!$57:$57,Мор!$59:$60,Мор!$67:$68,Мор!$82:$87,Мор!$90:$96</formula>
    <oldFormula>Мор!$17:$17,Мор!$21:$21,Мор!$23:$23,Мор!$37:$37,Мор!$44:$44,Мор!$46:$47,Мор!$49:$50,Мор!$57:$57,Мор!$59:$60,Мор!$67:$68,Мор!$82:$87,Мор!$90:$96</oldFormula>
  </rdn>
  <rdn rId="0" localSheetId="9" customView="1" name="Z_1A52382B_3765_4E8C_903F_6B8919B7242E_.wvu.Rows" hidden="1" oldHidden="1">
    <formula>Мос!$19:$24,Мос!$44:$44,Мос!$57:$57,Мос!$59:$60,Мос!$67:$68,Мос!$80:$80,Мос!$84:$88,Мос!$93:$98</formula>
    <oldFormula>Мос!$19:$24,Мос!$44:$44,Мос!$57:$57,Мос!$59:$60,Мос!$67:$68,Мос!$80:$80,Мос!$84:$88,Мос!$93:$98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Тор!$19:$19,Тор!$50:$50,Тор!$57:$57,Тор!$59:$60,Тор!$67:$68,Тор!$75:$75,Тор!$79:$80,Тор!$83:$94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2513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Сун!$A$1:$F$103</formula>
    <oldFormula>Сун!$A$1:$F$103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61528DAC_5C4C_48F4_ADE2_8A724B05A086_.wvu.PrintArea" hidden="1" oldHidden="1">
    <formula>Мор!$A$1:$F$100</formula>
    <oldFormula>Мор!$A$1:$F$100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61528DAC_5C4C_48F4_ADE2_8A724B05A086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513111.xml><?xml version="1.0" encoding="utf-8"?>
<revisions xmlns="http://schemas.openxmlformats.org/spreadsheetml/2006/main" xmlns:r="http://schemas.openxmlformats.org/officeDocument/2006/relationships">
  <rcc rId="32974" sId="17" numFmtId="34">
    <oc r="D59">
      <v>23.45</v>
    </oc>
    <nc r="D59">
      <v>116.29728</v>
    </nc>
  </rcc>
  <rcc rId="32975" sId="17" numFmtId="34">
    <oc r="C64">
      <v>4.5</v>
    </oc>
    <nc r="C64">
      <v>54.5</v>
    </nc>
  </rcc>
  <rcc rId="32976" sId="17" numFmtId="34">
    <oc r="D64">
      <v>0</v>
    </oc>
    <nc r="D64">
      <v>4.1920000000000002</v>
    </nc>
  </rcc>
  <rcc rId="32977" sId="17" numFmtId="34">
    <oc r="C66">
      <v>177.95</v>
    </oc>
    <nc r="C66">
      <v>179.892</v>
    </nc>
  </rcc>
  <rcc rId="32978" sId="17" numFmtId="34">
    <oc r="D66">
      <v>4</v>
    </oc>
    <nc r="D66">
      <v>18.689</v>
    </nc>
  </rcc>
  <rcc rId="32979" sId="17" numFmtId="34">
    <oc r="C73">
      <v>6.25</v>
    </oc>
    <nc r="C73">
      <v>6.7024999999999997</v>
    </nc>
  </rcc>
  <rcc rId="32980" sId="17" numFmtId="34">
    <oc r="C74">
      <v>50</v>
    </oc>
    <nc r="C74">
      <v>150</v>
    </nc>
  </rcc>
  <rcc rId="32981" sId="17" numFmtId="34">
    <oc r="D74">
      <v>35.366889999999998</v>
    </oc>
    <nc r="D74">
      <v>58.832000000000001</v>
    </nc>
  </rcc>
  <rcc rId="32982" sId="17" numFmtId="34">
    <oc r="C75">
      <v>1883.06</v>
    </oc>
    <nc r="C75">
      <v>1934.4069999999999</v>
    </nc>
  </rcc>
  <rcc rId="32983" sId="17" numFmtId="34">
    <oc r="D75">
      <v>0</v>
    </oc>
    <nc r="D75">
      <v>11.76</v>
    </nc>
  </rcc>
  <rcc rId="32984" sId="17" numFmtId="34">
    <oc r="C80">
      <v>397.16699999999997</v>
    </oc>
    <nc r="C80">
      <v>434.66699999999997</v>
    </nc>
  </rcc>
  <rcc rId="32985" sId="17" numFmtId="34">
    <oc r="D80">
      <v>0</v>
    </oc>
    <nc r="D80">
      <v>20.372610000000002</v>
    </nc>
  </rcc>
  <rcc rId="32986" sId="17" numFmtId="34">
    <oc r="C82">
      <v>2027</v>
    </oc>
    <nc r="C82">
      <v>2039.1780000000001</v>
    </nc>
  </rcc>
  <rcc rId="32987" sId="17" numFmtId="34">
    <oc r="D82">
      <v>127.2</v>
    </oc>
    <nc r="D82">
      <v>350.39087000000001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514.xml><?xml version="1.0" encoding="utf-8"?>
<revisions xmlns="http://schemas.openxmlformats.org/spreadsheetml/2006/main" xmlns:r="http://schemas.openxmlformats.org/officeDocument/2006/relationships">
  <rcc rId="36259" sId="9" numFmtId="4">
    <oc r="D35">
      <v>0</v>
    </oc>
    <nc r="D35">
      <v>17.513960000000001</v>
    </nc>
  </rcc>
  <rcc rId="36260" sId="9" numFmtId="34">
    <oc r="D59">
      <v>211.98264</v>
    </oc>
    <nc r="D59">
      <v>364.16136</v>
    </nc>
  </rcc>
  <rcc rId="36261" sId="9" numFmtId="34">
    <oc r="D66">
      <v>18.85744</v>
    </oc>
    <nc r="D66">
      <v>33.986879999999999</v>
    </nc>
  </rcc>
  <rcc rId="36262" sId="9" numFmtId="34">
    <oc r="D71">
      <v>0</v>
    </oc>
    <nc r="D71">
      <v>0.6</v>
    </nc>
  </rcc>
  <rcc rId="36263" sId="9" numFmtId="34">
    <oc r="D75">
      <v>39.25</v>
    </oc>
    <nc r="D75">
      <v>49.006700000000002</v>
    </nc>
  </rcc>
  <rcc rId="36264" sId="9" numFmtId="34">
    <oc r="C76">
      <v>3776.0701399999998</v>
    </oc>
    <nc r="C76">
      <v>6479.4773400000004</v>
    </nc>
  </rcc>
  <rcc rId="36265" sId="9" numFmtId="34">
    <oc r="D76">
      <v>11.988860000000001</v>
    </oc>
    <nc r="D76">
      <v>111.89272</v>
    </nc>
  </rcc>
  <rcc rId="36266" sId="9" numFmtId="34">
    <oc r="C81">
      <v>820.52850000000001</v>
    </oc>
    <nc r="C81">
      <v>830.52850000000001</v>
    </nc>
  </rcc>
  <rcc rId="36267" sId="9" numFmtId="34">
    <oc r="D81">
      <v>52.310250000000003</v>
    </oc>
    <nc r="D81">
      <v>106.12133</v>
    </nc>
  </rcc>
  <rcc rId="36268" sId="9" numFmtId="34">
    <oc r="D94">
      <v>0</v>
    </oc>
    <nc r="D94">
      <v>10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52.xml><?xml version="1.0" encoding="utf-8"?>
<revisions xmlns="http://schemas.openxmlformats.org/spreadsheetml/2006/main" xmlns:r="http://schemas.openxmlformats.org/officeDocument/2006/relationships">
  <rcc rId="36450" sId="12" numFmtId="4">
    <oc r="D6">
      <v>15.027509999999999</v>
    </oc>
    <nc r="D6">
      <v>23.969819999999999</v>
    </nc>
  </rcc>
  <rcc rId="36451" sId="12" numFmtId="4">
    <oc r="D8">
      <v>65.527839999999998</v>
    </oc>
    <nc r="D8">
      <v>93.624009999999998</v>
    </nc>
  </rcc>
  <rcc rId="36452" sId="12" numFmtId="4">
    <oc r="D9">
      <v>0.44463999999999998</v>
    </oc>
    <nc r="D9">
      <v>0.65414000000000005</v>
    </nc>
  </rcc>
  <rcc rId="36453" sId="12" numFmtId="4">
    <oc r="D10">
      <v>96.247399999999999</v>
    </oc>
    <nc r="D10">
      <v>137.27211</v>
    </nc>
  </rcc>
  <rcc rId="36454" sId="12" numFmtId="4">
    <oc r="D11">
      <v>-14.27576</v>
    </oc>
    <nc r="D11">
      <v>-18.425920000000001</v>
    </nc>
  </rcc>
  <rfmt sheetId="12" sqref="D13">
    <dxf>
      <numFmt numFmtId="175" formatCode="0.0000"/>
    </dxf>
  </rfmt>
  <rfmt sheetId="12" sqref="D13">
    <dxf>
      <numFmt numFmtId="186" formatCode="0.000"/>
    </dxf>
  </rfmt>
  <rfmt sheetId="12" sqref="D13">
    <dxf>
      <numFmt numFmtId="2" formatCode="0.00"/>
    </dxf>
  </rfmt>
  <rfmt sheetId="12" sqref="D13">
    <dxf>
      <numFmt numFmtId="166" formatCode="0.0"/>
    </dxf>
  </rfmt>
  <rfmt sheetId="12" sqref="D4:D32">
    <dxf>
      <numFmt numFmtId="1" formatCode="0"/>
    </dxf>
  </rfmt>
  <rfmt sheetId="12" sqref="D4:D32">
    <dxf>
      <numFmt numFmtId="166" formatCode="0.0"/>
    </dxf>
  </rfmt>
  <rcc rId="36455" sId="12" numFmtId="4">
    <oc r="D13">
      <v>0</v>
    </oc>
    <nc r="D13">
      <v>52.619700000000002</v>
    </nc>
  </rcc>
  <rcc rId="36456" sId="12" numFmtId="4">
    <oc r="D15">
      <v>4.7229999999999999</v>
    </oc>
    <nc r="D15">
      <v>6.0052199999999996</v>
    </nc>
  </rcc>
  <rcc rId="36457" sId="12" numFmtId="4">
    <oc r="D16">
      <v>32.803559999999997</v>
    </oc>
    <nc r="D16">
      <v>39.313499999999998</v>
    </nc>
  </rcc>
  <rcc rId="36458" sId="12" numFmtId="4">
    <oc r="D18">
      <v>2.9</v>
    </oc>
    <nc r="D18">
      <v>3.4</v>
    </nc>
  </rcc>
  <rcc rId="36459" sId="12" numFmtId="4">
    <oc r="D28">
      <v>1.0867</v>
    </oc>
    <nc r="D28">
      <v>19.25976</v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Тор!$19:$24,Тор!$32:$39,Тор!$50:$50,Тор!$57:$57,Тор!$59:$60,Тор!$67:$68,Тор!$75:$75,Тор!$79:$80,Тор!$84:$96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PrintArea" hidden="1" oldHidden="1">
    <formula>Хор!$A$1:$F$99</formula>
    <oldFormula>Хор!$A$1:$F$99</oldFormula>
  </rdn>
  <rdn rId="0" localSheetId="13" customView="1" name="Z_1A52382B_3765_4E8C_903F_6B8919B7242E_.wvu.Rows" hidden="1" oldHidden="1">
    <formula>Хор!$19:$24,Хор!$28:$36,Хор!$40:$40,Хор!$46:$48,Хор!$55:$55,Хор!$57:$59,Хор!$65:$66,Хор!$72:$72,Хор!$76:$77,Хор!$81:$85,Хор!$88:$95</formula>
    <oldFormula>Хор!$19:$24,Хор!$28:$36,Хор!$40:$40,Хор!$46:$48,Хор!$55:$55,Хор!$57:$59,Хор!$65:$66,Хор!$72:$72,Хор!$76:$77,Хор!$81:$85,Хор!$88:$95</oldFormula>
  </rdn>
  <rdn rId="0" localSheetId="14" customView="1" name="Z_1A52382B_3765_4E8C_903F_6B8919B7242E_.wvu.PrintArea" hidden="1" oldHidden="1">
    <formula>Чум!$A$1:$F$101</formula>
    <oldFormula>Чум!$A$1:$F$101</oldFormula>
  </rdn>
  <rdn rId="0" localSheetId="14" customView="1" name="Z_1A52382B_3765_4E8C_903F_6B8919B7242E_.wvu.Rows" hidden="1" oldHidden="1">
    <formula>Чум!$19:$21,Чум!$23:$24,Чум!$28:$28,Чум!$31:$39,Чум!$47:$49,Чум!$57:$57,Чум!$59:$60,Чум!$67:$68,Чум!$78:$79,Чум!$83:$87,Чум!$90:$97</formula>
    <oldFormula>Чум!$19:$21,Чум!$23:$24,Чум!$28:$28,Чум!$31:$39,Чум!$47:$49,Чум!$57:$57,Чум!$59:$60,Чум!$67:$68,Чум!$78:$79,Чум!$83:$87,Чум!$90:$97</oldFormula>
  </rdn>
  <rdn rId="0" localSheetId="15" customView="1" name="Z_1A52382B_3765_4E8C_903F_6B8919B7242E_.wvu.PrintArea" hidden="1" oldHidden="1">
    <formula>Шать!$A$1:$F$101</formula>
    <oldFormula>Шать!$A$1:$F$101</oldFormula>
  </rdn>
  <rdn rId="0" localSheetId="15" customView="1" name="Z_1A52382B_3765_4E8C_903F_6B8919B7242E_.wvu.Rows" hidden="1" oldHidden="1">
    <formula>Шать!$19:$24,Шать!$31:$39,Шать!$46:$49,Шать!$57:$57,Шать!$59:$60,Шать!$67:$68,Шать!$78:$79,Шать!$83:$87,Шать!$90:$97</formula>
    <oldFormula>Шать!$19:$24,Шать!$31:$39,Шать!$46:$49,Шать!$57:$57,Шать!$59:$60,Шать!$67:$68,Шать!$78:$79,Шать!$83:$87,Шать!$90:$97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Юнг!$19:$24,Юнг!$31:$38,Юнг!$45:$49,Юнг!$56:$56,Юнг!$58:$59,Юнг!$66:$67,Юнг!$77:$77,Юнг!$82:$86,Юнг!$89:$96</formula>
    <oldFormula>Юнг!$19:$24,Юнг!$31:$38,Юнг!$45:$49,Юнг!$56:$56,Юнг!$58:$59,Юнг!$66:$67,Юнг!$77:$77,Юнг!$82:$86,Юнг!$89:$96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Юсь!$20:$24,Юсь!$36:$36,Юсь!$40:$40,Юсь!$44:$49,Юсь!$58:$58,Юсь!$60:$61,Юсь!$68:$69,Юсь!$79:$80,Юсь!$84:$88,Юсь!$91:$98</formula>
    <oldFormula>Юсь!$20:$24,Юсь!$36:$36,Юсь!$40:$40,Юсь!$44:$49,Юсь!$58:$58,Юсь!$60:$61,Юсь!$68:$69,Юсь!$79:$80,Юсь!$84:$88,Юсь!$91:$98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Яра!$19:$24,Яра!$46:$46,Яра!$48:$51,Яра!$58:$58,Яра!$60:$61,Яра!$68:$69,Яра!$79:$80,Яра!$84:$88,Яра!$91:$98</formula>
    <oldFormula>Яра!$19:$24,Яра!$46:$46,Яра!$48:$51,Яра!$58:$58,Яра!$60:$61,Яра!$68:$69,Яра!$79:$80,Яра!$84:$88,Яра!$91:$98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26.xml><?xml version="1.0" encoding="utf-8"?>
<revisions xmlns="http://schemas.openxmlformats.org/spreadsheetml/2006/main" xmlns:r="http://schemas.openxmlformats.org/officeDocument/2006/relationships">
  <rcc rId="37329" sId="3" numFmtId="4">
    <oc r="C90">
      <v>21817.662</v>
    </oc>
    <nc r="C90">
      <v>22317.662</v>
    </nc>
  </rcc>
  <rcc rId="37330" sId="3" numFmtId="4">
    <oc r="D90">
      <v>2347.4261999999999</v>
    </oc>
    <nc r="D90">
      <v>4419.5878300000004</v>
    </nc>
  </rcc>
  <rcc rId="37331" sId="3" numFmtId="4">
    <oc r="D92">
      <v>540.32883000000004</v>
    </oc>
    <nc r="D92">
      <v>949.67205999999999</v>
    </nc>
  </rcc>
  <rcc rId="37332" sId="3" numFmtId="4">
    <oc r="C94">
      <v>3769.3833800000002</v>
    </oc>
    <nc r="C94">
      <v>557.95495000000005</v>
    </nc>
  </rcc>
  <rcc rId="37333" sId="3" numFmtId="4">
    <oc r="C95">
      <v>15577.442999999999</v>
    </oc>
    <nc r="C95">
      <v>16128.623</v>
    </nc>
  </rcc>
  <rcc rId="37334" sId="3" numFmtId="4">
    <oc r="D95">
      <v>2751.2379999999998</v>
    </oc>
    <nc r="D95">
      <v>4195.7</v>
    </nc>
  </rcc>
  <rcc rId="37335" sId="3" numFmtId="4">
    <oc r="D97">
      <v>356</v>
    </oc>
    <nc r="D97">
      <v>534</v>
    </nc>
  </rcc>
  <rcc rId="37336" sId="3" numFmtId="4">
    <oc r="D100">
      <v>116.39514</v>
    </oc>
    <nc r="D100">
      <v>350</v>
    </nc>
  </rcc>
  <rcc rId="37337" sId="3" numFmtId="4">
    <oc r="D101">
      <v>242.68984</v>
    </oc>
    <nc r="D101">
      <v>440.76535000000001</v>
    </nc>
  </rcc>
  <rcc rId="37338" sId="3" numFmtId="4">
    <oc r="D103">
      <v>0</v>
    </oc>
    <nc r="D103">
      <v>47.149000000000001</v>
    </nc>
  </rcc>
  <rcc rId="37339" sId="3" numFmtId="4">
    <oc r="D106">
      <v>0</v>
    </oc>
    <nc r="D106">
      <v>1.35</v>
    </nc>
  </rcc>
  <rcc rId="37340" sId="3" numFmtId="4">
    <oc r="C107">
      <v>500</v>
    </oc>
    <nc r="C107">
      <v>900</v>
    </nc>
  </rcc>
  <rcc rId="37341" sId="3" numFmtId="4">
    <oc r="C108">
      <v>180186.90900000001</v>
    </oc>
    <nc r="C108">
      <v>195016.709</v>
    </nc>
  </rcc>
  <rcc rId="37342" sId="3" numFmtId="4">
    <oc r="D108">
      <v>397.42324000000002</v>
    </oc>
    <nc r="D108">
      <v>10655.173430000001</v>
    </nc>
  </rcc>
  <rcc rId="37343" sId="3" numFmtId="4">
    <oc r="D109">
      <v>119.764</v>
    </oc>
    <nc r="D109">
      <v>173.42699999999999</v>
    </nc>
  </rcc>
  <rcc rId="37344" sId="3" numFmtId="4">
    <oc r="C112">
      <v>1800</v>
    </oc>
    <nc r="C112">
      <v>3470.3</v>
    </nc>
  </rcc>
  <rcc rId="37345" sId="3" numFmtId="4">
    <oc r="D112">
      <v>0</v>
    </oc>
    <nc r="D112">
      <v>170.27017000000001</v>
    </nc>
  </rcc>
  <rcc rId="37346" sId="3" numFmtId="4">
    <oc r="C113">
      <v>8779.8098499999996</v>
    </oc>
    <nc r="C113">
      <v>8790.3582800000004</v>
    </nc>
  </rcc>
  <rcc rId="37347" sId="3" numFmtId="4">
    <oc r="C117">
      <v>89551.65</v>
    </oc>
    <nc r="C117">
      <v>94237.5</v>
    </nc>
  </rcc>
  <rcc rId="37348" sId="3" numFmtId="4">
    <oc r="D117">
      <v>16062.602000000001</v>
    </oc>
    <nc r="D117">
      <v>23463.733</v>
    </nc>
  </rcc>
  <rcc rId="37349" sId="3" numFmtId="4">
    <oc r="C118">
      <v>239029.15244999999</v>
    </oc>
    <nc r="C118">
      <v>253531.85746999999</v>
    </nc>
  </rcc>
  <rcc rId="37350" sId="3" numFmtId="4">
    <oc r="D118">
      <v>45437.008309999997</v>
    </oc>
    <nc r="D118">
      <v>66733.119630000001</v>
    </nc>
  </rcc>
  <rcc rId="37351" sId="3" numFmtId="4">
    <oc r="D119">
      <v>2591.7510000000002</v>
    </oc>
    <nc r="D119">
      <v>4981.8149999999996</v>
    </nc>
  </rcc>
  <rcc rId="37352" sId="3" numFmtId="4">
    <oc r="D120">
      <v>7.5279999999999996</v>
    </oc>
    <nc r="D120">
      <v>36.128</v>
    </nc>
  </rcc>
  <rcc rId="37353" sId="3" numFmtId="4">
    <oc r="D121">
      <v>271.95609000000002</v>
    </oc>
    <nc r="D121">
      <v>510.77967999999998</v>
    </nc>
  </rcc>
  <rcc rId="37354" sId="3" numFmtId="4">
    <oc r="C123">
      <v>49516.459340000001</v>
    </oc>
    <nc r="C123">
      <v>52373.459340000001</v>
    </nc>
  </rcc>
  <rcc rId="37355" sId="3" numFmtId="4">
    <oc r="D123">
      <v>5838.8162700000003</v>
    </oc>
    <nc r="D123">
      <v>8895.04709</v>
    </nc>
  </rcc>
  <rcc rId="37356" sId="3" numFmtId="4">
    <oc r="D124">
      <v>478.34109999999998</v>
    </oc>
    <nc r="D124">
      <v>664.48586</v>
    </nc>
  </rcc>
  <rcc rId="37357" sId="3" numFmtId="4">
    <oc r="D126">
      <v>0</v>
    </oc>
    <nc r="D126">
      <v>9.7931399999999993</v>
    </nc>
  </rcc>
  <rcc rId="37358" sId="3" numFmtId="4">
    <oc r="C127">
      <v>39720.250269999997</v>
    </oc>
    <nc r="C127">
      <v>18258.058529999998</v>
    </nc>
  </rcc>
  <rcc rId="37359" sId="3" numFmtId="4">
    <oc r="D127">
      <v>650.52261999999996</v>
    </oc>
    <nc r="D127">
      <v>1448.8350399999999</v>
    </nc>
  </rcc>
  <rcc rId="37360" sId="3" numFmtId="4">
    <oc r="C128">
      <v>3943.12</v>
    </oc>
    <nc r="C128">
      <v>25474.16174</v>
    </nc>
  </rcc>
  <rcc rId="37361" sId="3" numFmtId="4">
    <oc r="D129">
      <v>5.36822</v>
    </oc>
    <nc r="D129">
      <v>9.73644</v>
    </nc>
  </rcc>
  <rcc rId="37362" sId="3" numFmtId="4">
    <oc r="D128">
      <v>0</v>
    </oc>
    <nc r="D128">
      <v>85.609089999999995</v>
    </nc>
  </rcc>
  <rcc rId="37363" sId="3" numFmtId="4">
    <oc r="D131">
      <v>105.25875000000001</v>
    </oc>
    <nc r="D131">
      <v>169.80875</v>
    </nc>
  </rcc>
  <rcc rId="37364" sId="3" numFmtId="4">
    <oc r="D132">
      <v>834.02099999999996</v>
    </oc>
    <nc r="D132">
      <v>1640.2660000000001</v>
    </nc>
  </rcc>
  <rcc rId="37365" sId="3" numFmtId="4">
    <oc r="D141">
      <v>4715.5659999999998</v>
    </oc>
    <nc r="D141">
      <v>7073.3490000000002</v>
    </nc>
  </rcc>
  <rcc rId="37366" sId="3" numFmtId="4">
    <oc r="C142">
      <v>5014</v>
    </oc>
    <nc r="C142">
      <v>5381.5</v>
    </nc>
  </rcc>
  <rcc rId="37367" sId="3" numFmtId="4">
    <oc r="D142">
      <v>0</v>
    </oc>
    <nc r="D142">
      <v>337.5</v>
    </nc>
  </rcc>
  <rcc rId="37368" sId="3" numFmtId="4">
    <oc r="C143">
      <v>371.15257000000003</v>
    </oc>
    <nc r="C143">
      <v>6206.2525699999997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Справка!$33:$34</formula>
    <oldFormula>Справка!$33:$33,Справка!$34:$34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261.xml><?xml version="1.0" encoding="utf-8"?>
<revisions xmlns="http://schemas.openxmlformats.org/spreadsheetml/2006/main" xmlns:r="http://schemas.openxmlformats.org/officeDocument/2006/relationships">
  <rcc rId="33418" sId="7" numFmtId="34">
    <oc r="D6">
      <v>12.968579999999999</v>
    </oc>
    <nc r="D6">
      <v>56.014209999999999</v>
    </nc>
  </rcc>
  <rcc rId="33419" sId="7" numFmtId="34">
    <oc r="D8">
      <v>35.56082</v>
    </oc>
    <nc r="D8">
      <v>64.555580000000006</v>
    </nc>
  </rcc>
  <rcc rId="33420" sId="7" numFmtId="34">
    <oc r="D9">
      <v>0.26554</v>
    </oc>
    <nc r="D9">
      <v>0.43802999999999997</v>
    </nc>
  </rcc>
  <rcc rId="33421" sId="7" numFmtId="34">
    <oc r="D10">
      <v>51.757260000000002</v>
    </oc>
    <nc r="D10">
      <v>94.819379999999995</v>
    </nc>
  </rcc>
  <rcc rId="33422" sId="7" numFmtId="4">
    <oc r="D11">
      <v>-6.1538700000000004</v>
    </oc>
    <nc r="D11">
      <v>-14.06392</v>
    </nc>
  </rcc>
  <rcc rId="33423" sId="7" numFmtId="34">
    <oc r="D15">
      <v>2.6716099999999998</v>
    </oc>
    <nc r="D15">
      <v>3.0567199999999999</v>
    </nc>
  </rcc>
  <rcc rId="33424" sId="7" numFmtId="34">
    <oc r="D16">
      <v>94.094750000000005</v>
    </oc>
    <nc r="D16">
      <v>142.93088</v>
    </nc>
  </rcc>
  <rcc rId="33425" sId="7" numFmtId="34">
    <oc r="D18">
      <v>0.8</v>
    </oc>
    <nc r="D18">
      <v>1.8</v>
    </nc>
  </rcc>
  <rcc rId="33426" sId="7" numFmtId="4">
    <oc r="D27">
      <v>0</v>
    </oc>
    <nc r="D27">
      <v>4.95838</v>
    </nc>
  </rcc>
  <rcc rId="33427" sId="7" numFmtId="34">
    <oc r="D41">
      <v>91.757999999999996</v>
    </oc>
    <nc r="D41">
      <v>183.51599999999999</v>
    </nc>
  </rcc>
  <rcc rId="33428" sId="7" numFmtId="34">
    <oc r="C43">
      <v>1288.22</v>
    </oc>
    <nc r="C43">
      <v>1896.875</v>
    </nc>
  </rcc>
  <rcc rId="33429" sId="7" numFmtId="34">
    <oc r="C45">
      <v>180.447</v>
    </oc>
    <nc r="C45">
      <v>182.38900000000001</v>
    </nc>
  </rcc>
  <rcc rId="33430" sId="7" numFmtId="34">
    <oc r="D45">
      <v>14.833</v>
    </oc>
    <nc r="D45">
      <v>29.666</v>
    </nc>
  </rcc>
  <rcc rId="33431" sId="7" numFmtId="34">
    <oc r="C47">
      <v>0</v>
    </oc>
    <nc r="C47">
      <v>2.49139</v>
    </nc>
  </rcc>
  <rcc rId="33432" sId="7" numFmtId="4">
    <oc r="D37">
      <v>4.95838</v>
    </oc>
    <nc r="D37">
      <v>0</v>
    </nc>
  </rcc>
  <rcc rId="33433" sId="7" numFmtId="34">
    <oc r="D57">
      <v>36.462609999999998</v>
    </oc>
    <nc r="D57">
      <v>146.08004</v>
    </nc>
  </rcc>
  <rcc rId="33434" sId="7" numFmtId="34">
    <oc r="C62">
      <v>5.05</v>
    </oc>
    <nc r="C62">
      <v>55.05</v>
    </nc>
  </rcc>
  <rcc rId="33435" sId="7" numFmtId="34">
    <oc r="D62">
      <v>0</v>
    </oc>
    <nc r="D62">
      <v>5.05</v>
    </nc>
  </rcc>
  <rcc rId="33436" sId="7" numFmtId="34">
    <oc r="C64">
      <v>177.95</v>
    </oc>
    <nc r="C64">
      <v>179.892</v>
    </nc>
  </rcc>
  <rcc rId="33437" sId="7" numFmtId="34">
    <oc r="D64">
      <v>4</v>
    </oc>
    <nc r="D64">
      <v>18.68656</v>
    </nc>
  </rcc>
  <rcc rId="33438" sId="7" numFmtId="34">
    <oc r="C71">
      <v>6.25</v>
    </oc>
    <nc r="C71">
      <v>6.7024999999999997</v>
    </nc>
  </rcc>
  <rcc rId="33439" sId="7" numFmtId="34">
    <oc r="C72">
      <v>50</v>
    </oc>
    <nc r="C72">
      <v>280</v>
    </nc>
  </rcc>
  <rcc rId="33440" sId="7" numFmtId="34">
    <oc r="C73">
      <v>2023.68</v>
    </oc>
    <nc r="C73">
      <v>2991.04639</v>
    </nc>
  </rcc>
  <rcc rId="33441" sId="7" numFmtId="34">
    <oc r="D73">
      <v>14.95322</v>
    </oc>
    <nc r="D73">
      <v>35.88644</v>
    </nc>
  </rcc>
  <rcc rId="33442" sId="7" numFmtId="34">
    <oc r="C78">
      <v>813.45699999999999</v>
    </oc>
    <nc r="C78">
      <v>843.45699999999999</v>
    </nc>
  </rcc>
  <rcc rId="33443" sId="7" numFmtId="34">
    <oc r="D78">
      <v>11.2</v>
    </oc>
    <nc r="D78">
      <v>134.98096000000001</v>
    </nc>
  </rcc>
  <rcc rId="33444" sId="7" numFmtId="34">
    <oc r="D80">
      <v>189</v>
    </oc>
    <nc r="D80">
      <v>378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Сун!$A$1:$F$103</formula>
    <oldFormula>Сун!$A$1:$F$103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61528DAC_5C4C_48F4_ADE2_8A724B05A086_.wvu.PrintArea" hidden="1" oldHidden="1">
    <formula>Мор!$A$1:$F$100</formula>
    <oldFormula>Мор!$A$1:$F$100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61528DAC_5C4C_48F4_ADE2_8A724B05A086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11.xml><?xml version="1.0" encoding="utf-8"?>
<revisions xmlns="http://schemas.openxmlformats.org/spreadsheetml/2006/main" xmlns:r="http://schemas.openxmlformats.org/officeDocument/2006/relationships">
  <rcc rId="32508" sId="15" numFmtId="4">
    <oc r="D13">
      <v>0</v>
    </oc>
    <nc r="D13">
      <v>0.36059000000000002</v>
    </nc>
  </rcc>
  <rcc rId="32509" sId="15">
    <oc r="G51">
      <f>C51-3539.85078</f>
    </oc>
    <nc r="G51"/>
  </rcc>
  <rcc rId="32510" sId="15">
    <oc r="H51">
      <f>D51-344.49046</f>
    </oc>
    <nc r="H51"/>
  </rcc>
  <rcc rId="32511" sId="15" numFmtId="34">
    <oc r="D58">
      <v>22</v>
    </oc>
    <nc r="D58">
      <v>100.11418999999999</v>
    </nc>
  </rcc>
  <rcc rId="32512" sId="15" numFmtId="34">
    <oc r="D63">
      <v>0</v>
    </oc>
    <nc r="D63">
      <v>2.5779999999999998</v>
    </nc>
  </rcc>
  <rcc rId="32513" sId="15" numFmtId="34">
    <oc r="C65">
      <v>88.974999999999994</v>
    </oc>
    <nc r="C65">
      <v>89.944999999999993</v>
    </nc>
  </rcc>
  <rcc rId="32514" sId="15" numFmtId="34">
    <oc r="D65">
      <v>2</v>
    </oc>
    <nc r="D65">
      <v>9.3450100000000003</v>
    </nc>
  </rcc>
  <rrc rId="32515" sId="15" ref="A71:XFD71" action="insertRow">
    <undo index="18" exp="area" ref3D="1" dr="$A$141:$XFD$141" dn="Z_B30CE22D_C12F_4E12_8BB9_3AAE0A6991CC_.wvu.Rows" sId="15"/>
    <undo index="16" exp="area" ref3D="1" dr="$A$89:$XFD$96" dn="Z_B30CE22D_C12F_4E12_8BB9_3AAE0A6991CC_.wvu.Rows" sId="15"/>
    <undo index="14" exp="area" ref3D="1" dr="$A$83:$XFD$85" dn="Z_B30CE22D_C12F_4E12_8BB9_3AAE0A6991CC_.wvu.Rows" sId="15"/>
    <undo index="12" exp="area" ref3D="1" dr="$A$77:$XFD$78" dn="Z_B30CE22D_C12F_4E12_8BB9_3AAE0A6991CC_.wvu.Rows" sId="15"/>
    <undo index="14" exp="area" ref3D="1" dr="$A$89:$XFD$96" dn="Z_1A52382B_3765_4E8C_903F_6B8919B7242E_.wvu.Rows" sId="15"/>
    <undo index="12" exp="area" ref3D="1" dr="$A$82:$XFD$86" dn="Z_1A52382B_3765_4E8C_903F_6B8919B7242E_.wvu.Rows" sId="15"/>
    <undo index="10" exp="area" ref3D="1" dr="$A$77:$XFD$78" dn="Z_1A52382B_3765_4E8C_903F_6B8919B7242E_.wvu.Rows" sId="15"/>
    <undo index="18" exp="area" ref3D="1" dr="$A$141:$XFD$141" dn="Z_61528DAC_5C4C_48F4_ADE2_8A724B05A086_.wvu.Rows" sId="15"/>
    <undo index="16" exp="area" ref3D="1" dr="$A$89:$XFD$96" dn="Z_61528DAC_5C4C_48F4_ADE2_8A724B05A086_.wvu.Rows" sId="15"/>
    <undo index="14" exp="area" ref3D="1" dr="$A$83:$XFD$85" dn="Z_61528DAC_5C4C_48F4_ADE2_8A724B05A086_.wvu.Rows" sId="15"/>
    <undo index="12" exp="area" ref3D="1" dr="$A$77:$XFD$78" dn="Z_61528DAC_5C4C_48F4_ADE2_8A724B05A086_.wvu.Rows" sId="15"/>
    <undo index="18" exp="area" ref3D="1" dr="$A$141:$XFD$141" dn="Z_A54C432C_6C68_4B53_A75C_446EB3A61B2B_.wvu.Rows" sId="15"/>
    <undo index="16" exp="area" ref3D="1" dr="$A$89:$XFD$96" dn="Z_A54C432C_6C68_4B53_A75C_446EB3A61B2B_.wvu.Rows" sId="15"/>
    <undo index="14" exp="area" ref3D="1" dr="$A$83:$XFD$85" dn="Z_A54C432C_6C68_4B53_A75C_446EB3A61B2B_.wvu.Rows" sId="15"/>
    <undo index="12" exp="area" ref3D="1" dr="$A$77:$XFD$78" dn="Z_A54C432C_6C68_4B53_A75C_446EB3A61B2B_.wvu.Rows" sId="15"/>
    <undo index="14" exp="area" ref3D="1" dr="$A$89:$XFD$96" dn="Z_5BFCA170_DEAE_4D2C_98A0_1E68B427AC01_.wvu.Rows" sId="15"/>
    <undo index="12" exp="area" ref3D="1" dr="$A$82:$XFD$86" dn="Z_5BFCA170_DEAE_4D2C_98A0_1E68B427AC01_.wvu.Rows" sId="15"/>
    <undo index="10" exp="area" ref3D="1" dr="$A$77:$XFD$78" dn="Z_5BFCA170_DEAE_4D2C_98A0_1E68B427AC01_.wvu.Rows" sId="15"/>
    <undo index="20" exp="area" ref3D="1" dr="$A$89:$XFD$96" dn="Z_42584DC0_1D41_4C93_9B38_C388E7B8DAC4_.wvu.Rows" sId="15"/>
    <undo index="18" exp="area" ref3D="1" dr="$A$82:$XFD$86" dn="Z_42584DC0_1D41_4C93_9B38_C388E7B8DAC4_.wvu.Rows" sId="15"/>
    <undo index="16" exp="area" ref3D="1" dr="$A$77:$XFD$78" dn="Z_42584DC0_1D41_4C93_9B38_C388E7B8DAC4_.wvu.Rows" sId="15"/>
    <undo index="14" exp="area" ref3D="1" dr="$A$89:$XFD$96" dn="Z_3DCB9AAA_F09C_4EA6_B992_F93E466D374A_.wvu.Rows" sId="15"/>
    <undo index="12" exp="area" ref3D="1" dr="$A$82:$XFD$86" dn="Z_3DCB9AAA_F09C_4EA6_B992_F93E466D374A_.wvu.Rows" sId="15"/>
    <undo index="10" exp="area" ref3D="1" dr="$A$77:$XFD$78" dn="Z_3DCB9AAA_F09C_4EA6_B992_F93E466D374A_.wvu.Rows" sId="15"/>
    <undo index="18" exp="area" ref3D="1" dr="$A$141:$XFD$141" dn="Z_1718F1EE_9F48_4DBE_9531_3B70F9C4A5DD_.wvu.Rows" sId="15"/>
    <undo index="16" exp="area" ref3D="1" dr="$A$89:$XFD$96" dn="Z_1718F1EE_9F48_4DBE_9531_3B70F9C4A5DD_.wvu.Rows" sId="15"/>
    <undo index="14" exp="area" ref3D="1" dr="$A$82:$XFD$86" dn="Z_1718F1EE_9F48_4DBE_9531_3B70F9C4A5DD_.wvu.Rows" sId="15"/>
    <undo index="12" exp="area" ref3D="1" dr="$A$77:$XFD$78" dn="Z_1718F1EE_9F48_4DBE_9531_3B70F9C4A5DD_.wvu.Rows" sId="15"/>
  </rrc>
  <rcc rId="32516" sId="15">
    <nc r="A71" t="inlineStr">
      <is>
        <t>0314</t>
      </is>
    </nc>
  </rcc>
  <rcc rId="32517" sId="15">
    <nc r="B71" t="inlineStr">
      <is>
        <t>Другие вопросы</t>
      </is>
    </nc>
  </rcc>
  <rcc rId="32518" sId="15" numFmtId="34">
    <nc r="C71">
      <v>2</v>
    </nc>
  </rcc>
  <rcc rId="32519" sId="15">
    <oc r="C66">
      <f>C69+C70</f>
    </oc>
    <nc r="C66">
      <f>C69+C70+C71</f>
    </nc>
  </rcc>
  <rcc rId="32520" sId="15" numFmtId="34">
    <oc r="C73">
      <v>3.75</v>
    </oc>
    <nc r="C73">
      <v>4.0214999999999996</v>
    </nc>
  </rcc>
  <rcc rId="32521" sId="15" numFmtId="34">
    <oc r="C74">
      <v>0</v>
    </oc>
    <nc r="C74">
      <v>30</v>
    </nc>
  </rcc>
  <rcc rId="32522" sId="15" numFmtId="34">
    <oc r="C75">
      <v>939.60500000000002</v>
    </oc>
    <nc r="C75">
      <v>1333.4227800000001</v>
    </nc>
  </rcc>
  <rcc rId="32523" sId="15" numFmtId="34">
    <oc r="D75">
      <v>0</v>
    </oc>
    <nc r="D75">
      <v>11.866099999999999</v>
    </nc>
  </rcc>
  <rcc rId="32524" sId="15" numFmtId="34">
    <oc r="C80">
      <v>150</v>
    </oc>
    <nc r="C80">
      <v>175.5</v>
    </nc>
  </rcc>
  <rcc rId="32525" sId="15" numFmtId="34">
    <oc r="D82">
      <v>66.7</v>
    </oc>
    <nc r="D82">
      <v>136.69999999999999</v>
    </nc>
  </rcc>
  <rcc rId="32526" sId="16">
    <oc r="G50">
      <f>D50-3357.50667</f>
    </oc>
    <nc r="G50"/>
  </rcc>
  <rcc rId="32527" sId="16" numFmtId="4">
    <oc r="D6">
      <v>3.89716</v>
    </oc>
    <nc r="D6">
      <v>12.7942</v>
    </nc>
  </rcc>
  <rcc rId="32528" sId="16" numFmtId="4">
    <oc r="D8">
      <v>24.849740000000001</v>
    </oc>
    <nc r="D8">
      <v>45.111159999999998</v>
    </nc>
  </rcc>
  <rcc rId="32529" sId="16" numFmtId="4">
    <oc r="D9">
      <v>0.18556</v>
    </oc>
    <nc r="D9">
      <v>0.30609999999999998</v>
    </nc>
  </rcc>
  <rcc rId="32530" sId="16" numFmtId="4">
    <oc r="D10">
      <v>36.167720000000003</v>
    </oc>
    <nc r="D10">
      <v>66.259330000000006</v>
    </nc>
  </rcc>
  <rcc rId="32531" sId="16" numFmtId="4">
    <oc r="D11">
      <v>-4.3003</v>
    </oc>
    <nc r="D11">
      <v>-9.8278199999999991</v>
    </nc>
  </rcc>
  <rcc rId="32532" sId="16" numFmtId="4">
    <oc r="D13">
      <v>0</v>
    </oc>
    <nc r="D13">
      <v>1.4589000000000001</v>
    </nc>
  </rcc>
  <rcc rId="32533" sId="16" numFmtId="4">
    <oc r="D15">
      <v>0.75983999999999996</v>
    </oc>
    <nc r="D15">
      <v>9.3008400000000009</v>
    </nc>
  </rcc>
  <rcc rId="32534" sId="16" numFmtId="4">
    <oc r="D16">
      <v>141.05904000000001</v>
    </oc>
    <nc r="D16">
      <v>213.05814000000001</v>
    </nc>
  </rcc>
  <rcc rId="32535" sId="16" numFmtId="4">
    <oc r="D18">
      <v>0.45</v>
    </oc>
    <nc r="D18">
      <v>2.5</v>
    </nc>
  </rcc>
  <rcc rId="32536" sId="16" numFmtId="4">
    <oc r="D27">
      <v>0</v>
    </oc>
    <nc r="D27">
      <v>2.8</v>
    </nc>
  </rcc>
  <rcc rId="32537" sId="16" numFmtId="4">
    <oc r="D28">
      <v>1.3547499999999999</v>
    </oc>
    <nc r="D28">
      <v>11.579499999999999</v>
    </nc>
  </rcc>
  <rcc rId="32538" sId="16" numFmtId="4">
    <oc r="D30">
      <v>0</v>
    </oc>
    <nc r="D30">
      <v>2.77102</v>
    </nc>
  </rcc>
  <rcc rId="32539" sId="16" numFmtId="4">
    <oc r="D37">
      <v>3.1869999999999998</v>
    </oc>
    <nc r="D37">
      <v>0</v>
    </nc>
  </rcc>
  <rcc rId="32540" sId="16" numFmtId="4">
    <oc r="D41">
      <v>63.982999999999997</v>
    </oc>
    <nc r="D41">
      <v>127.96599999999999</v>
    </nc>
  </rcc>
  <rcc rId="32541" sId="16" numFmtId="4">
    <oc r="C43">
      <v>900.64</v>
    </oc>
    <nc r="C43">
      <v>1326.182</v>
    </nc>
  </rcc>
  <rcc rId="32542" sId="16" numFmtId="4">
    <oc r="C44">
      <v>90.765000000000001</v>
    </oc>
    <nc r="C44">
      <v>91.736000000000004</v>
    </nc>
  </rcc>
  <rcc rId="32543" sId="16" numFmtId="4">
    <oc r="D44">
      <v>7.4169999999999998</v>
    </oc>
    <nc r="D44">
      <v>14.834</v>
    </nc>
  </rcc>
  <rcc rId="32544" sId="16" numFmtId="34">
    <oc r="D57">
      <v>28.40709</v>
    </oc>
    <nc r="D57">
      <v>135.71991</v>
    </nc>
  </rcc>
  <rcc rId="32545" sId="16" numFmtId="34">
    <oc r="D62">
      <v>0</v>
    </oc>
    <nc r="D62">
      <v>3.6819999999999999</v>
    </nc>
  </rcc>
  <rcc rId="32546" sId="16" numFmtId="34">
    <oc r="C64">
      <v>88.974999999999994</v>
    </oc>
    <nc r="C64">
      <v>89.945999999999998</v>
    </nc>
  </rcc>
  <rcc rId="32547" sId="16" numFmtId="34">
    <oc r="D64">
      <v>2</v>
    </oc>
    <nc r="D64">
      <v>9.3432899999999997</v>
    </nc>
  </rcc>
  <rcc rId="32548" sId="16" numFmtId="34">
    <oc r="C68">
      <v>1</v>
    </oc>
    <nc r="C68">
      <v>0</v>
    </nc>
  </rcc>
  <rcc rId="32549" sId="16" numFmtId="34">
    <oc r="C69">
      <v>20</v>
    </oc>
    <nc r="C69">
      <v>15</v>
    </nc>
  </rcc>
  <rrc rId="32550" sId="16" ref="A70:XFD70" action="insertRow">
    <undo index="18" exp="area" ref3D="1" dr="$A$141:$XFD$141" dn="Z_B30CE22D_C12F_4E12_8BB9_3AAE0A6991CC_.wvu.Rows" sId="16"/>
    <undo index="16" exp="area" ref3D="1" dr="$A$88:$XFD$95" dn="Z_B30CE22D_C12F_4E12_8BB9_3AAE0A6991CC_.wvu.Rows" sId="16"/>
    <undo index="14" exp="area" ref3D="1" dr="$A$81:$XFD$85" dn="Z_B30CE22D_C12F_4E12_8BB9_3AAE0A6991CC_.wvu.Rows" sId="16"/>
    <undo index="12" exp="area" ref3D="1" dr="$A$76:$XFD$77" dn="Z_B30CE22D_C12F_4E12_8BB9_3AAE0A6991CC_.wvu.Rows" sId="16"/>
    <undo index="14" exp="area" ref3D="1" dr="$A$88:$XFD$95" dn="Z_1A52382B_3765_4E8C_903F_6B8919B7242E_.wvu.Rows" sId="16"/>
    <undo index="12" exp="area" ref3D="1" dr="$A$81:$XFD$85" dn="Z_1A52382B_3765_4E8C_903F_6B8919B7242E_.wvu.Rows" sId="16"/>
    <undo index="18" exp="area" ref3D="1" dr="$A$141:$XFD$141" dn="Z_61528DAC_5C4C_48F4_ADE2_8A724B05A086_.wvu.Rows" sId="16"/>
    <undo index="16" exp="area" ref3D="1" dr="$A$88:$XFD$95" dn="Z_61528DAC_5C4C_48F4_ADE2_8A724B05A086_.wvu.Rows" sId="16"/>
    <undo index="14" exp="area" ref3D="1" dr="$A$81:$XFD$85" dn="Z_61528DAC_5C4C_48F4_ADE2_8A724B05A086_.wvu.Rows" sId="16"/>
    <undo index="12" exp="area" ref3D="1" dr="$A$76:$XFD$77" dn="Z_61528DAC_5C4C_48F4_ADE2_8A724B05A086_.wvu.Rows" sId="16"/>
    <undo index="20" exp="area" ref3D="1" dr="$A$141:$XFD$141" dn="Z_A54C432C_6C68_4B53_A75C_446EB3A61B2B_.wvu.Rows" sId="16"/>
    <undo index="18" exp="area" ref3D="1" dr="$A$88:$XFD$95" dn="Z_A54C432C_6C68_4B53_A75C_446EB3A61B2B_.wvu.Rows" sId="16"/>
    <undo index="16" exp="area" ref3D="1" dr="$A$81:$XFD$85" dn="Z_A54C432C_6C68_4B53_A75C_446EB3A61B2B_.wvu.Rows" sId="16"/>
    <undo index="14" exp="area" ref3D="1" dr="$A$76:$XFD$77" dn="Z_A54C432C_6C68_4B53_A75C_446EB3A61B2B_.wvu.Rows" sId="16"/>
    <undo index="14" exp="area" ref3D="1" dr="$A$88:$XFD$95" dn="Z_5BFCA170_DEAE_4D2C_98A0_1E68B427AC01_.wvu.Rows" sId="16"/>
    <undo index="12" exp="area" ref3D="1" dr="$A$81:$XFD$85" dn="Z_5BFCA170_DEAE_4D2C_98A0_1E68B427AC01_.wvu.Rows" sId="16"/>
    <undo index="18" exp="area" ref3D="1" dr="$A$88:$XFD$95" dn="Z_42584DC0_1D41_4C93_9B38_C388E7B8DAC4_.wvu.Rows" sId="16"/>
    <undo index="16" exp="area" ref3D="1" dr="$A$81:$XFD$85" dn="Z_42584DC0_1D41_4C93_9B38_C388E7B8DAC4_.wvu.Rows" sId="16"/>
    <undo index="14" exp="area" ref3D="1" dr="$A$76:$XFD$77" dn="Z_42584DC0_1D41_4C93_9B38_C388E7B8DAC4_.wvu.Rows" sId="16"/>
    <undo index="16" exp="area" ref3D="1" dr="$A$88:$XFD$95" dn="Z_3DCB9AAA_F09C_4EA6_B992_F93E466D374A_.wvu.Rows" sId="16"/>
    <undo index="14" exp="area" ref3D="1" dr="$A$81:$XFD$85" dn="Z_3DCB9AAA_F09C_4EA6_B992_F93E466D374A_.wvu.Rows" sId="16"/>
    <undo index="22" exp="area" ref3D="1" dr="$A$141:$XFD$141" dn="Z_1718F1EE_9F48_4DBE_9531_3B70F9C4A5DD_.wvu.Rows" sId="16"/>
    <undo index="20" exp="area" ref3D="1" dr="$A$88:$XFD$95" dn="Z_1718F1EE_9F48_4DBE_9531_3B70F9C4A5DD_.wvu.Rows" sId="16"/>
    <undo index="18" exp="area" ref3D="1" dr="$A$81:$XFD$85" dn="Z_1718F1EE_9F48_4DBE_9531_3B70F9C4A5DD_.wvu.Rows" sId="16"/>
    <undo index="16" exp="area" ref3D="1" dr="$A$76:$XFD$77" dn="Z_1718F1EE_9F48_4DBE_9531_3B70F9C4A5DD_.wvu.Rows" sId="16"/>
  </rrc>
  <rcc rId="32551" sId="16">
    <nc r="A70" t="inlineStr">
      <is>
        <t>0314</t>
      </is>
    </nc>
  </rcc>
  <rcc rId="32552" sId="16">
    <nc r="B70" t="inlineStr">
      <is>
        <t>Другие вопросы</t>
      </is>
    </nc>
  </rcc>
  <rcc rId="32553" sId="16" numFmtId="34">
    <nc r="C70">
      <v>2</v>
    </nc>
  </rcc>
  <rcc rId="32554" sId="16">
    <oc r="C65">
      <f>C68+C69</f>
    </oc>
    <nc r="C65">
      <f>C68+C69+C70</f>
    </nc>
  </rcc>
  <rcc rId="32555" sId="16" numFmtId="34">
    <oc r="C72">
      <v>3.75</v>
    </oc>
    <nc r="C72">
      <v>4.0214999999999996</v>
    </nc>
  </rcc>
  <rcc rId="32556" sId="16" numFmtId="34">
    <oc r="C73">
      <v>120</v>
    </oc>
    <nc r="C73">
      <v>440.0652</v>
    </nc>
  </rcc>
  <rcc rId="32557" sId="16" numFmtId="34">
    <oc r="D73">
      <v>0</v>
    </oc>
    <nc r="D73">
      <v>39</v>
    </nc>
  </rcc>
  <rcc rId="32558" sId="16" numFmtId="34">
    <oc r="C74">
      <v>1512.8</v>
    </oc>
    <nc r="C74">
      <v>1938.3420000000001</v>
    </nc>
  </rcc>
  <rcc rId="32559" sId="16" numFmtId="34">
    <oc r="D74">
      <v>0</v>
    </oc>
    <nc r="D74">
      <v>11.952999999999999</v>
    </nc>
  </rcc>
  <rcc rId="32560" sId="16" numFmtId="34">
    <oc r="C75">
      <v>50</v>
    </oc>
    <nc r="C75">
      <v>30</v>
    </nc>
  </rcc>
  <rcc rId="32561" sId="16" numFmtId="34">
    <oc r="C79">
      <v>553.89</v>
    </oc>
    <nc r="C79">
      <v>393.38209999999998</v>
    </nc>
  </rcc>
  <rcc rId="32562" sId="16" numFmtId="34">
    <oc r="D79">
      <v>0</v>
    </oc>
    <nc r="D79">
      <v>3.3790399999999998</v>
    </nc>
  </rcc>
  <rcc rId="32563" sId="16" numFmtId="34">
    <oc r="D81">
      <v>85</v>
    </oc>
    <nc r="D81">
      <v>170</v>
    </nc>
  </rcc>
  <rcc rId="32564" sId="16" numFmtId="34">
    <oc r="C88">
      <v>5</v>
    </oc>
    <nc r="C88">
      <v>15</v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Кад!$19:$24,Кад!$44:$44,Кад!$56:$56,Кад!$58:$59,Кад!$66:$67,Кад!$82:$84,Кад!$88:$95</formula>
    <oldFormula>Кад!$19:$24,Кад!$44:$44,Кад!$56:$56,Кад!$58:$59,Кад!$66:$67,Кад!$82:$84,Кад!$88:$95</oldFormula>
  </rdn>
  <rdn rId="0" localSheetId="8" customView="1" name="Z_1A52382B_3765_4E8C_903F_6B8919B7242E_.wvu.PrintArea" hidden="1" oldHidden="1">
    <formula>Мор!$A$1:$F$100</formula>
    <oldFormula>Мор!$A$1:$F$100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Мор!$17:$17,Мор!$21:$21,Мор!$23:$23,Мор!$37:$37,Мор!$44:$44,Мор!$46:$47,Мор!$49:$50,Мор!$57:$57,Мор!$59:$60,Мор!$67:$68,Мор!$82:$87,Мор!$90:$96</formula>
    <oldFormula>Мор!$17:$17,Мор!$21:$21,Мор!$23:$23,Мор!$37:$37,Мор!$44:$44,Мор!$46:$47,Мор!$49:$50,Мор!$57:$57,Мор!$59:$60,Мор!$67:$68,Мор!$82:$87,Мор!$90:$96</oldFormula>
  </rdn>
  <rdn rId="0" localSheetId="9" customView="1" name="Z_1A52382B_3765_4E8C_903F_6B8919B7242E_.wvu.Rows" hidden="1" oldHidden="1">
    <formula>Мос!$19:$24,Мос!$44:$44,Мос!$57:$57,Мос!$59:$60,Мос!$67:$68,Мос!$80:$80,Мос!$84:$88,Мос!$93:$98</formula>
    <oldFormula>Мос!$19:$24,Мос!$44:$44,Мос!$57:$57,Мос!$59:$60,Мос!$67:$68,Мос!$80:$80,Мос!$84:$88,Мос!$93:$98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Ори!$19:$24,Ори!$32:$32,Ори!$44:$44,Ори!$48:$50,Ори!$57:$57,Ори!$59:$60,Ори!$67:$68,Ори!$77:$78,Ори!$80:$80,Ори!$82:$86,Ори!$90:$97</formula>
    <oldFormula>Ори!$19:$24,Ори!$32:$32,Ори!$44:$44,Ори!$48:$50,Ори!$57:$57,Ори!$59:$60,Ори!$67:$68,Ори!$77:$78,Ори!$80:$80,Ори!$82:$86,Ори!$90:$97</oldFormula>
  </rdn>
  <rdn rId="0" localSheetId="11" customView="1" name="Z_1A52382B_3765_4E8C_903F_6B8919B7242E_.wvu.Rows" hidden="1" oldHidden="1">
    <formula>Сят!$19:$19,Сят!$45:$47,Сят!$57:$57,Сят!$59:$60,Сят!$67:$68,Сят!$82:$85,Сят!$89:$96</formula>
    <oldFormula>Сят!$19:$19,Сят!$45:$47,Сят!$57:$57,Сят!$59:$60,Сят!$67:$68,Сят!$82:$85,Сят!$89:$96</oldFormula>
  </rdn>
  <rdn rId="0" localSheetId="12" customView="1" name="Z_1A52382B_3765_4E8C_903F_6B8919B7242E_.wvu.PrintArea" hidden="1" oldHidden="1">
    <formula>Тор!$A$1:$F$101</formula>
    <oldFormula>Тор!$A$1:$F$101</oldFormula>
  </rdn>
  <rdn rId="0" localSheetId="12" customView="1" name="Z_1A52382B_3765_4E8C_903F_6B8919B7242E_.wvu.Rows" hidden="1" oldHidden="1">
    <formula>Тор!$19:$19,Тор!$50:$50,Тор!$57:$57,Тор!$59:$60,Тор!$67:$68,Тор!$74:$74,Тор!$78:$79,Тор!$82:$93</formula>
    <oldFormula>Тор!$19:$19,Тор!$50:$50,Тор!$57:$57,Тор!$59:$60,Тор!$67:$68,Тор!$74:$74,Тор!$78:$79,Тор!$82:$93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Хор!$19:$24,Хор!$32:$32,Хор!$40:$40,Хор!$44:$44,Хор!$55:$55,Хор!$57:$58,Хор!$65:$66,Хор!$80:$84,Хор!$87:$94</formula>
    <oldFormula>Хор!$19:$24,Хор!$32:$32,Хор!$40:$40,Хор!$44:$44,Хор!$55:$55,Хор!$57:$58,Хор!$65:$66,Хор!$80:$84,Хор!$87:$94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Юсь!$20:$24,Юсь!$40:$40,Юсь!$44:$49,Юсь!$58:$58,Юсь!$60:$61,Юсь!$68:$69,Юсь!$78:$79,Юсь!$82:$87,Юсь!$90:$97</formula>
    <oldFormula>Юсь!$20:$24,Юсь!$40:$40,Юсь!$44:$49,Юсь!$58:$58,Юсь!$60:$61,Юсь!$68:$69,Юсь!$78:$79,Юсь!$82:$87,Юсь!$90:$97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261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Сун!$A$1:$F$103</formula>
    <oldFormula>Сун!$A$1:$F$103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61528DAC_5C4C_48F4_ADE2_8A724B05A086_.wvu.PrintArea" hidden="1" oldHidden="1">
    <formula>Мор!$A$1:$F$100</formula>
    <oldFormula>Мор!$A$1:$F$100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61528DAC_5C4C_48F4_ADE2_8A724B05A086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61528DAC_5C4C_48F4_ADE2_8A724B05A086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61528DAC_5C4C_48F4_ADE2_8A724B05A086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61528DAC_5C4C_48F4_ADE2_8A724B05A086_.wvu.PrintArea" hidden="1" oldHidden="1">
    <formula>Юнг!$A$1:$F$99</formula>
    <oldFormula>Юнг!$A$1:$F$99</oldFormula>
  </rdn>
  <rdn rId="0" localSheetId="16" customView="1" name="Z_61528DAC_5C4C_48F4_ADE2_8A724B05A086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1111.xml><?xml version="1.0" encoding="utf-8"?>
<revisions xmlns="http://schemas.openxmlformats.org/spreadsheetml/2006/main" xmlns:r="http://schemas.openxmlformats.org/officeDocument/2006/relationships">
  <rcc rId="31495" sId="19" numFmtId="4">
    <oc r="D30">
      <v>0</v>
    </oc>
    <nc r="D30">
      <v>5.093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Яро!$19:$24,Яро!$28:$28,Яро!$43:$43,Яро!$54:$54,Яро!$56:$58,Яро!$64:$65,Яро!$74:$74,Яро!$81:$83,Яро!$86:$89,Яро!$91:$93</formula>
    <oldFormula>Яро!$19:$24,Яро!$28:$30,Яро!$43:$43,Яро!$54:$54,Яро!$56:$58,Яро!$64:$65,Яро!$74:$74,Яро!$81:$83,Яро!$86:$89,Яро!$91:$93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6111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Яро!$19:$24,Яро!$28:$30,Яро!$43:$43,Яро!$54:$54,Яро!$56:$58,Яро!$64:$65,Яро!$74:$74,Яро!$81:$83,Яро!$86:$89,Яро!$91:$93</formula>
    <oldFormula>Яро!$19:$24,Яро!$28:$30,Яро!$43:$43,Яро!$54:$54,Яро!$56:$58,Яро!$64:$65,Яро!$74:$74,Яро!$81:$83,Яро!$86:$89,Яро!$91:$93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612.xml><?xml version="1.0" encoding="utf-8"?>
<revisions xmlns="http://schemas.openxmlformats.org/spreadsheetml/2006/main" xmlns:r="http://schemas.openxmlformats.org/officeDocument/2006/relationships">
  <rcc rId="31643" sId="19" numFmtId="34">
    <oc r="D55">
      <v>25.763999999999999</v>
    </oc>
    <nc r="D55">
      <v>130.40707</v>
    </nc>
  </rcc>
  <rcc rId="31644" sId="19" numFmtId="34">
    <oc r="D60">
      <v>0</v>
    </oc>
    <nc r="D60">
      <v>3.0895000000000001</v>
    </nc>
  </rcc>
  <rcc rId="31645" sId="19" numFmtId="34">
    <oc r="C62">
      <v>88.974999999999994</v>
    </oc>
    <nc r="C62">
      <v>89.944999999999993</v>
    </nc>
  </rcc>
  <rcc rId="31646" sId="19" numFmtId="34">
    <oc r="D62">
      <v>2</v>
    </oc>
    <nc r="D62">
      <v>9.34328</v>
    </nc>
  </rcc>
  <rcc rId="31647" sId="19" numFmtId="34">
    <oc r="D67">
      <v>1.25</v>
    </oc>
    <nc r="D67">
      <v>3.1354299999999999</v>
    </nc>
  </rcc>
  <rcc rId="31648" sId="19" numFmtId="34">
    <oc r="C69">
      <v>7.5</v>
    </oc>
    <nc r="C69">
      <v>8.0429999999999993</v>
    </nc>
  </rcc>
  <rcc rId="31649" sId="19" numFmtId="34">
    <oc r="C70">
      <v>1200</v>
    </oc>
    <nc r="C70">
      <v>1230.0246099999999</v>
    </nc>
  </rcc>
  <rcc rId="31650" sId="19" numFmtId="34">
    <oc r="D70">
      <v>0</v>
    </oc>
    <nc r="D70">
      <v>20.024609999999999</v>
    </nc>
  </rcc>
  <rcc rId="31651" sId="19" numFmtId="34">
    <oc r="C71">
      <v>1332.76</v>
    </oc>
    <nc r="C71">
      <v>1932.5086799999999</v>
    </nc>
  </rcc>
  <rcc rId="31652" sId="19" numFmtId="34">
    <oc r="D71">
      <v>0</v>
    </oc>
    <nc r="D71">
      <v>24.039159999999999</v>
    </nc>
  </rcc>
  <rcc rId="31653" sId="19" numFmtId="34">
    <oc r="D72">
      <v>0</v>
    </oc>
    <nc r="D72">
      <v>33.954619999999998</v>
    </nc>
  </rcc>
  <rcc rId="31654" sId="19" numFmtId="34">
    <oc r="C76">
      <v>170</v>
    </oc>
    <nc r="C76">
      <v>235.28959</v>
    </nc>
  </rcc>
  <rcc rId="31655" sId="19" numFmtId="34">
    <oc r="D76">
      <v>0</v>
    </oc>
    <nc r="D76">
      <v>127.83259</v>
    </nc>
  </rcc>
  <rcc rId="31656" sId="19" numFmtId="34">
    <oc r="D78">
      <v>0</v>
    </oc>
    <nc r="D78">
      <v>85</v>
    </nc>
  </rcc>
  <rcc rId="31657" sId="19" numFmtId="34">
    <oc r="D85">
      <v>0</v>
    </oc>
    <nc r="D85">
      <v>1.2849999999999999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Яро!$19:$24,Яро!$28:$28,Яро!$43:$43,Яро!$54:$54,Яро!$56:$58,Яро!$64:$65,Яро!$74:$74,Яро!$81:$83,Яро!$86:$89,Яро!$91:$93</formula>
    <oldFormula>Яро!$19:$24,Яро!$28:$28,Яро!$43:$43,Яро!$54:$54,Яро!$56:$58,Яро!$64:$65,Яро!$74:$74,Яро!$81:$83,Яро!$86:$89,Яро!$91:$93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7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PrintArea" hidden="1" oldHidden="1">
    <formula>Шать!$A$1:$F$101</formula>
    <oldFormula>Шать!$A$1:$F$101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Юнг!$19:$24,Юнг!$38:$38,Юнг!$45:$49,Юнг!$56:$56,Юнг!$58:$60,Юнг!$66:$67,Юнг!$77:$78,Юнг!$82:$86,Юнг!$89:$96,Юнг!$142:$142</formula>
    <oldFormula>Юнг!$19:$24,Юнг!$38:$38,Юнг!$45:$49,Юнг!$56:$56,Юнг!$58:$60,Юнг!$66:$67,Юнг!$77:$78,Юнг!$82:$86,Юнг!$89:$96,Юнг!$142:$142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Яра!$19:$24,Яра!$46:$46,Яра!$48:$51,Яра!$58:$58,Яра!$60:$62,Яра!$68:$69,Яра!$79:$80,Яра!$84:$88,Яра!$91:$98,Яра!$143:$143</formula>
    <oldFormula>Яра!$19:$24,Яра!$46:$46,Яра!$48:$51,Яра!$58:$58,Яра!$60:$62,Яра!$68:$69,Яра!$79:$80,Яра!$84:$88,Яра!$91:$98,Яра!$143:$143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Яро!$19:$24,Яро!$28:$28,Яро!$34:$36,Яро!$43:$43,Яро!$46:$47,Яро!$54:$54,Яро!$56:$58,Яро!$64:$65,Яро!$75:$75,Яро!$80:$84,Яро!$87:$90,Яро!$92:$94</formula>
    <oldFormula>Яро!$19:$24,Яро!$28:$28,Яро!$34:$36,Яро!$43:$43,Яро!$46:$47,Яро!$54:$54,Яро!$56:$58,Яро!$64:$65,Яро!$75:$75,Яро!$80:$84,Яро!$87:$90,Яро!$92:$94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71.xml><?xml version="1.0" encoding="utf-8"?>
<revisions xmlns="http://schemas.openxmlformats.org/spreadsheetml/2006/main" xmlns:r="http://schemas.openxmlformats.org/officeDocument/2006/relationships">
  <rfmt sheetId="2" sqref="DG14:DH29">
    <dxf>
      <fill>
        <patternFill>
          <bgColor rgb="FFFFFF00"/>
        </patternFill>
      </fill>
    </dxf>
  </rfmt>
  <rcc rId="34910" sId="2" numFmtId="4">
    <oc r="DG35">
      <v>110310.46488</v>
    </oc>
    <nc r="DG35">
      <v>119090.27473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711.xml><?xml version="1.0" encoding="utf-8"?>
<revisions xmlns="http://schemas.openxmlformats.org/spreadsheetml/2006/main" xmlns:r="http://schemas.openxmlformats.org/officeDocument/2006/relationships">
  <rcc rId="33256" sId="13" numFmtId="34">
    <oc r="D56">
      <v>23.542999999999999</v>
    </oc>
    <nc r="D56">
      <v>105.9734</v>
    </nc>
  </rcc>
  <rcc rId="33257" sId="13" numFmtId="34">
    <oc r="D61">
      <v>0</v>
    </oc>
    <nc r="D61">
      <v>2.6905000000000001</v>
    </nc>
  </rcc>
  <rcc rId="33258" sId="13" numFmtId="34">
    <oc r="C63">
      <v>88.974999999999994</v>
    </oc>
    <nc r="C63">
      <v>89.944999999999993</v>
    </nc>
  </rcc>
  <rcc rId="33259" sId="13" numFmtId="34">
    <oc r="D63">
      <v>2</v>
    </oc>
    <nc r="D63">
      <v>9.3450000000000006</v>
    </nc>
  </rcc>
  <rrc rId="33260" sId="13" ref="A69:XFD69" action="insertRow">
    <undo index="22" exp="area" ref3D="1" dr="$A$141:$XFD$141" dn="Z_B30CE22D_C12F_4E12_8BB9_3AAE0A6991CC_.wvu.Rows" sId="13"/>
    <undo index="20" exp="area" ref3D="1" dr="$A$87:$XFD$94" dn="Z_B30CE22D_C12F_4E12_8BB9_3AAE0A6991CC_.wvu.Rows" sId="13"/>
    <undo index="18" exp="area" ref3D="1" dr="$A$80:$XFD$84" dn="Z_B30CE22D_C12F_4E12_8BB9_3AAE0A6991CC_.wvu.Rows" sId="13"/>
    <undo index="16" exp="area" ref3D="1" dr="$A$75:$XFD$76" dn="Z_B30CE22D_C12F_4E12_8BB9_3AAE0A6991CC_.wvu.Rows" sId="13"/>
    <undo index="22" exp="area" ref3D="1" dr="$A$141:$XFD$141" dn="Z_61528DAC_5C4C_48F4_ADE2_8A724B05A086_.wvu.Rows" sId="13"/>
    <undo index="20" exp="area" ref3D="1" dr="$A$87:$XFD$94" dn="Z_61528DAC_5C4C_48F4_ADE2_8A724B05A086_.wvu.Rows" sId="13"/>
    <undo index="18" exp="area" ref3D="1" dr="$A$80:$XFD$84" dn="Z_61528DAC_5C4C_48F4_ADE2_8A724B05A086_.wvu.Rows" sId="13"/>
    <undo index="16" exp="area" ref3D="1" dr="$A$75:$XFD$76" dn="Z_61528DAC_5C4C_48F4_ADE2_8A724B05A086_.wvu.Rows" sId="13"/>
    <undo index="16" exp="area" ref3D="1" dr="$A$87:$XFD$94" dn="Z_1A52382B_3765_4E8C_903F_6B8919B7242E_.wvu.Rows" sId="13"/>
    <undo index="14" exp="area" ref3D="1" dr="$A$80:$XFD$84" dn="Z_1A52382B_3765_4E8C_903F_6B8919B7242E_.wvu.Rows" sId="13"/>
    <undo index="24" exp="area" ref3D="1" dr="$A$141:$XFD$141" dn="Z_A54C432C_6C68_4B53_A75C_446EB3A61B2B_.wvu.Rows" sId="13"/>
    <undo index="22" exp="area" ref3D="1" dr="$A$87:$XFD$94" dn="Z_A54C432C_6C68_4B53_A75C_446EB3A61B2B_.wvu.Rows" sId="13"/>
    <undo index="20" exp="area" ref3D="1" dr="$A$80:$XFD$84" dn="Z_A54C432C_6C68_4B53_A75C_446EB3A61B2B_.wvu.Rows" sId="13"/>
    <undo index="18" exp="area" ref3D="1" dr="$A$75:$XFD$76" dn="Z_A54C432C_6C68_4B53_A75C_446EB3A61B2B_.wvu.Rows" sId="13"/>
    <undo index="16" exp="area" ref3D="1" dr="$A$71:$XFD$71" dn="Z_A54C432C_6C68_4B53_A75C_446EB3A61B2B_.wvu.Rows" sId="13"/>
    <undo index="16" exp="area" ref3D="1" dr="$A$87:$XFD$94" dn="Z_5BFCA170_DEAE_4D2C_98A0_1E68B427AC01_.wvu.Rows" sId="13"/>
    <undo index="14" exp="area" ref3D="1" dr="$A$80:$XFD$84" dn="Z_5BFCA170_DEAE_4D2C_98A0_1E68B427AC01_.wvu.Rows" sId="13"/>
    <undo index="22" exp="area" ref3D="1" dr="$A$87:$XFD$94" dn="Z_42584DC0_1D41_4C93_9B38_C388E7B8DAC4_.wvu.Rows" sId="13"/>
    <undo index="20" exp="area" ref3D="1" dr="$A$80:$XFD$84" dn="Z_42584DC0_1D41_4C93_9B38_C388E7B8DAC4_.wvu.Rows" sId="13"/>
    <undo index="18" exp="area" ref3D="1" dr="$A$75:$XFD$76" dn="Z_42584DC0_1D41_4C93_9B38_C388E7B8DAC4_.wvu.Rows" sId="13"/>
    <undo index="16" exp="area" ref3D="1" dr="$A$71:$XFD$71" dn="Z_42584DC0_1D41_4C93_9B38_C388E7B8DAC4_.wvu.Rows" sId="13"/>
    <undo index="16" exp="area" ref3D="1" dr="$A$87:$XFD$94" dn="Z_3DCB9AAA_F09C_4EA6_B992_F93E466D374A_.wvu.Rows" sId="13"/>
    <undo index="14" exp="area" ref3D="1" dr="$A$80:$XFD$84" dn="Z_3DCB9AAA_F09C_4EA6_B992_F93E466D374A_.wvu.Rows" sId="13"/>
    <undo index="24" exp="area" ref3D="1" dr="$A$141:$XFD$141" dn="Z_1718F1EE_9F48_4DBE_9531_3B70F9C4A5DD_.wvu.Rows" sId="13"/>
    <undo index="22" exp="area" ref3D="1" dr="$A$87:$XFD$94" dn="Z_1718F1EE_9F48_4DBE_9531_3B70F9C4A5DD_.wvu.Rows" sId="13"/>
    <undo index="20" exp="area" ref3D="1" dr="$A$80:$XFD$84" dn="Z_1718F1EE_9F48_4DBE_9531_3B70F9C4A5DD_.wvu.Rows" sId="13"/>
    <undo index="18" exp="area" ref3D="1" dr="$A$75:$XFD$76" dn="Z_1718F1EE_9F48_4DBE_9531_3B70F9C4A5DD_.wvu.Rows" sId="13"/>
    <undo index="16" exp="area" ref3D="1" dr="$A$71:$XFD$71" dn="Z_1718F1EE_9F48_4DBE_9531_3B70F9C4A5DD_.wvu.Rows" sId="13"/>
  </rrc>
  <rcc rId="33261" sId="13">
    <nc r="A69" t="inlineStr">
      <is>
        <t>0314</t>
      </is>
    </nc>
  </rcc>
  <rcc rId="33262" sId="13">
    <nc r="B69" t="inlineStr">
      <is>
        <t>Другие вопросы в области национльной безопасности</t>
      </is>
    </nc>
  </rcc>
  <rcc rId="33263" sId="13" numFmtId="34">
    <nc r="C69">
      <v>2</v>
    </nc>
  </rcc>
  <rcc rId="33264" sId="13" numFmtId="34">
    <nc r="D69">
      <v>0</v>
    </nc>
  </rcc>
  <rcc rId="33265" sId="13">
    <oc r="C64">
      <f>C67+C68</f>
    </oc>
    <nc r="C64">
      <f>C67+C68+C69</f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7111.xml><?xml version="1.0" encoding="utf-8"?>
<revisions xmlns="http://schemas.openxmlformats.org/spreadsheetml/2006/main" xmlns:r="http://schemas.openxmlformats.org/officeDocument/2006/relationships">
  <rrc rId="31687" sId="19" ref="A68:XFD68" action="insertRow">
    <undo index="18" exp="area" ref3D="1" dr="$A$91:$XFD$93" dn="Z_B30CE22D_C12F_4E12_8BB9_3AAE0A6991CC_.wvu.Rows" sId="19"/>
    <undo index="16" exp="area" ref3D="1" dr="$A$86:$XFD$89" dn="Z_B30CE22D_C12F_4E12_8BB9_3AAE0A6991CC_.wvu.Rows" sId="19"/>
    <undo index="14" exp="area" ref3D="1" dr="$A$81:$XFD$83" dn="Z_B30CE22D_C12F_4E12_8BB9_3AAE0A6991CC_.wvu.Rows" sId="19"/>
    <undo index="12" exp="area" ref3D="1" dr="$A$74:$XFD$74" dn="Z_B30CE22D_C12F_4E12_8BB9_3AAE0A6991CC_.wvu.Rows" sId="19"/>
    <undo index="18" exp="area" ref3D="1" dr="$A$86:$XFD$93" dn="Z_A54C432C_6C68_4B53_A75C_446EB3A61B2B_.wvu.Rows" sId="19"/>
    <undo index="16" exp="area" ref3D="1" dr="$A$79:$XFD$83" dn="Z_A54C432C_6C68_4B53_A75C_446EB3A61B2B_.wvu.Rows" sId="19"/>
    <undo index="14" exp="area" ref3D="1" dr="$A$74:$XFD$74" dn="Z_A54C432C_6C68_4B53_A75C_446EB3A61B2B_.wvu.Rows" sId="19"/>
    <undo index="18" exp="area" ref3D="1" dr="$A$86:$XFD$93" dn="Z_5BFCA170_DEAE_4D2C_98A0_1E68B427AC01_.wvu.Rows" sId="19"/>
    <undo index="16" exp="area" ref3D="1" dr="$A$79:$XFD$84" dn="Z_5BFCA170_DEAE_4D2C_98A0_1E68B427AC01_.wvu.Rows" sId="19"/>
    <undo index="14" exp="area" ref3D="1" dr="$A$74:$XFD$75" dn="Z_5BFCA170_DEAE_4D2C_98A0_1E68B427AC01_.wvu.Rows" sId="19"/>
    <undo index="18" exp="area" ref3D="1" dr="$A$86:$XFD$93" dn="Z_42584DC0_1D41_4C93_9B38_C388E7B8DAC4_.wvu.Rows" sId="19"/>
    <undo index="16" exp="area" ref3D="1" dr="$A$79:$XFD$83" dn="Z_42584DC0_1D41_4C93_9B38_C388E7B8DAC4_.wvu.Rows" sId="19"/>
    <undo index="14" exp="area" ref3D="1" dr="$A$74:$XFD$75" dn="Z_42584DC0_1D41_4C93_9B38_C388E7B8DAC4_.wvu.Rows" sId="19"/>
    <undo index="18" exp="area" ref3D="1" dr="$A$86:$XFD$93" dn="Z_3DCB9AAA_F09C_4EA6_B992_F93E466D374A_.wvu.Rows" sId="19"/>
    <undo index="16" exp="area" ref3D="1" dr="$A$79:$XFD$84" dn="Z_3DCB9AAA_F09C_4EA6_B992_F93E466D374A_.wvu.Rows" sId="19"/>
    <undo index="14" exp="area" ref3D="1" dr="$A$74:$XFD$75" dn="Z_3DCB9AAA_F09C_4EA6_B992_F93E466D374A_.wvu.Rows" sId="19"/>
    <undo index="18" exp="area" ref3D="1" dr="$A$86:$XFD$93" dn="Z_1A52382B_3765_4E8C_903F_6B8919B7242E_.wvu.Rows" sId="19"/>
    <undo index="16" exp="area" ref3D="1" dr="$A$79:$XFD$84" dn="Z_1A52382B_3765_4E8C_903F_6B8919B7242E_.wvu.Rows" sId="19"/>
    <undo index="14" exp="area" ref3D="1" dr="$A$74:$XFD$75" dn="Z_1A52382B_3765_4E8C_903F_6B8919B7242E_.wvu.Rows" sId="19"/>
    <undo index="18" exp="area" ref3D="1" dr="$A$86:$XFD$93" dn="Z_1718F1EE_9F48_4DBE_9531_3B70F9C4A5DD_.wvu.Rows" sId="19"/>
    <undo index="16" exp="area" ref3D="1" dr="$A$79:$XFD$83" dn="Z_1718F1EE_9F48_4DBE_9531_3B70F9C4A5DD_.wvu.Rows" sId="19"/>
    <undo index="14" exp="area" ref3D="1" dr="$A$74:$XFD$75" dn="Z_1718F1EE_9F48_4DBE_9531_3B70F9C4A5DD_.wvu.Rows" sId="19"/>
  </rrc>
  <rcc rId="31688" sId="19">
    <nc r="A68" t="inlineStr">
      <is>
        <t>0314</t>
      </is>
    </nc>
  </rcc>
  <rcc rId="31689" sId="19">
    <nc r="B68" t="inlineStr">
      <is>
        <t>Другие вопросы в области национальной безопасности</t>
      </is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72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721.xml><?xml version="1.0" encoding="utf-8"?>
<revisions xmlns="http://schemas.openxmlformats.org/spreadsheetml/2006/main" xmlns:r="http://schemas.openxmlformats.org/officeDocument/2006/relationships">
  <rcc rId="32899" sId="17" numFmtId="4">
    <oc r="D6">
      <v>1.53474</v>
    </oc>
    <nc r="D6">
      <v>10.549860000000001</v>
    </nc>
  </rcc>
  <rcc rId="32900" sId="17" numFmtId="4">
    <oc r="D8">
      <v>33.418610000000001</v>
    </oc>
    <nc r="D8">
      <v>60.666739999999997</v>
    </nc>
  </rcc>
  <rcc rId="32901" sId="17" numFmtId="4">
    <oc r="D9">
      <v>0.24954000000000001</v>
    </oc>
    <nc r="D9">
      <v>0.41164000000000001</v>
    </nc>
  </rcc>
  <rcc rId="32902" sId="17" numFmtId="4">
    <oc r="D10">
      <v>48.63935</v>
    </oc>
    <nc r="D10">
      <v>89.107370000000003</v>
    </nc>
  </rcc>
  <rcc rId="32903" sId="17" numFmtId="4">
    <oc r="D11">
      <v>-5.7831599999999996</v>
    </oc>
    <nc r="D11">
      <v>-13.21673</v>
    </nc>
  </rcc>
  <rcc rId="32904" sId="17" numFmtId="4">
    <oc r="D15">
      <v>0.79249000000000003</v>
    </oc>
    <nc r="D15">
      <v>3.3134700000000001</v>
    </nc>
  </rcc>
  <rcc rId="32905" sId="17" numFmtId="4">
    <oc r="D16">
      <v>3.4807000000000001</v>
    </oc>
    <nc r="D16">
      <v>9.3588500000000003</v>
    </nc>
  </rcc>
  <rcc rId="32906" sId="17" numFmtId="4">
    <oc r="D18">
      <v>0.35</v>
    </oc>
    <nc r="D18">
      <v>1</v>
    </nc>
  </rcc>
  <rcc rId="32907" sId="17" numFmtId="4">
    <oc r="D28">
      <v>2</v>
    </oc>
    <nc r="D28">
      <v>4</v>
    </nc>
  </rcc>
  <rcc rId="32908" sId="17" numFmtId="4">
    <oc r="C30">
      <v>0</v>
    </oc>
    <nc r="C30">
      <v>100</v>
    </nc>
  </rcc>
  <rcc rId="32909" sId="17" numFmtId="4">
    <oc r="D30">
      <v>6.0197000000000003</v>
    </oc>
    <nc r="D30">
      <v>41.910649999999997</v>
    </nc>
  </rcc>
  <rcc rId="32910" sId="17" numFmtId="4">
    <oc r="D40">
      <v>0</v>
    </oc>
    <nc r="D40">
      <v>504.834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7211.xml><?xml version="1.0" encoding="utf-8"?>
<revisions xmlns="http://schemas.openxmlformats.org/spreadsheetml/2006/main" xmlns:r="http://schemas.openxmlformats.org/officeDocument/2006/relationships">
  <rfmt sheetId="18" sqref="D57">
    <dxf>
      <numFmt numFmtId="165" formatCode="_(* #,##0.00_);_(* \(#,##0.00\);_(* &quot;-&quot;??_);_(@_)"/>
    </dxf>
  </rfmt>
  <rfmt sheetId="18" sqref="D57">
    <dxf>
      <numFmt numFmtId="188" formatCode="_(* #,##0.000_);_(* \(#,##0.000\);_(* &quot;-&quot;??_);_(@_)"/>
    </dxf>
  </rfmt>
  <rfmt sheetId="18" sqref="D57">
    <dxf>
      <numFmt numFmtId="176" formatCode="_(* #,##0.0000_);_(* \(#,##0.0000\);_(* &quot;-&quot;??_);_(@_)"/>
    </dxf>
  </rfmt>
  <rfmt sheetId="18" sqref="D57">
    <dxf>
      <numFmt numFmtId="177" formatCode="_(* #,##0.00000_);_(* \(#,##0.00000\);_(* &quot;-&quot;??_);_(@_)"/>
    </dxf>
  </rfmt>
  <rfmt sheetId="18" sqref="D65">
    <dxf>
      <numFmt numFmtId="165" formatCode="_(* #,##0.00_);_(* \(#,##0.00\);_(* &quot;-&quot;??_);_(@_)"/>
    </dxf>
  </rfmt>
  <rfmt sheetId="18" sqref="D65">
    <dxf>
      <numFmt numFmtId="188" formatCode="_(* #,##0.000_);_(* \(#,##0.000\);_(* &quot;-&quot;??_);_(@_)"/>
    </dxf>
  </rfmt>
  <rfmt sheetId="18" sqref="D65">
    <dxf>
      <numFmt numFmtId="176" formatCode="_(* #,##0.0000_);_(* \(#,##0.0000\);_(* &quot;-&quot;??_);_(@_)"/>
    </dxf>
  </rfmt>
  <rfmt sheetId="18" sqref="D65">
    <dxf>
      <numFmt numFmtId="177" formatCode="_(* #,##0.00000_);_(* \(#,##0.00000\);_(* &quot;-&quot;??_);_(@_)"/>
    </dxf>
  </rfmt>
  <rcc rId="32753" sId="18" numFmtId="34">
    <oc r="D76">
      <v>0</v>
    </oc>
    <nc r="D76">
      <v>18.71134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72111.xml><?xml version="1.0" encoding="utf-8"?>
<revisions xmlns="http://schemas.openxmlformats.org/spreadsheetml/2006/main" xmlns:r="http://schemas.openxmlformats.org/officeDocument/2006/relationships">
  <rcc rId="31808" sId="18" numFmtId="4">
    <oc r="D6">
      <v>2.1774300000000002</v>
    </oc>
    <nc r="D6">
      <v>11.581519999999999</v>
    </nc>
  </rcc>
  <rcc rId="31809" sId="18" numFmtId="4">
    <oc r="D8">
      <v>36.631959999999999</v>
    </oc>
    <nc r="D8">
      <v>66.50009</v>
    </nc>
  </rcc>
  <rcc rId="31810" sId="18" numFmtId="4">
    <oc r="D9">
      <v>0.27353</v>
    </oc>
    <nc r="D9">
      <v>0.45122000000000001</v>
    </nc>
  </rcc>
  <rcc rId="31811" sId="18" numFmtId="4">
    <oc r="D10">
      <v>53.316209999999998</v>
    </oc>
    <nc r="D10">
      <v>97.675389999999993</v>
    </nc>
  </rcc>
  <rcc rId="31812" sId="18" numFmtId="4">
    <oc r="D11">
      <v>-6.3392400000000002</v>
    </oc>
    <nc r="D11">
      <v>-14.48757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8.xml><?xml version="1.0" encoding="utf-8"?>
<revisions xmlns="http://schemas.openxmlformats.org/spreadsheetml/2006/main" xmlns:r="http://schemas.openxmlformats.org/officeDocument/2006/relationships">
  <rcc rId="38736" sId="14" numFmtId="4">
    <oc r="D15">
      <v>3.6108199999999999</v>
    </oc>
    <nc r="D15">
      <v>3.79379</v>
    </nc>
  </rcc>
  <rcc rId="38737" sId="14" numFmtId="4">
    <oc r="D16">
      <v>40.158520000000003</v>
    </oc>
    <nc r="D16">
      <v>50.291539999999998</v>
    </nc>
  </rcc>
  <rcc rId="38738" sId="14" numFmtId="4">
    <oc r="D18">
      <v>1.1499999999999999</v>
    </oc>
    <nc r="D18">
      <v>1.95</v>
    </nc>
  </rcc>
  <rcc rId="38739" sId="14" numFmtId="4">
    <oc r="D27">
      <v>0</v>
    </oc>
    <nc r="D27">
      <v>43.258000000000003</v>
    </nc>
  </rcc>
  <rcc rId="38740" sId="14" numFmtId="4">
    <oc r="D30">
      <v>3.59538</v>
    </oc>
    <nc r="D30">
      <v>8.2310999999999996</v>
    </nc>
  </rcc>
  <rcc rId="38741" sId="14" numFmtId="4">
    <oc r="D42">
      <v>492.47399999999999</v>
    </oc>
    <nc r="D42">
      <v>656.63199999999995</v>
    </nc>
  </rcc>
  <rcc rId="38742" sId="14" numFmtId="4">
    <oc r="D44">
      <v>140.80000000000001</v>
    </oc>
    <nc r="D44">
      <v>211.2</v>
    </nc>
  </rcc>
  <rcc rId="38743" sId="14" numFmtId="4">
    <oc r="D45">
      <v>22.251000000000001</v>
    </oc>
    <nc r="D45">
      <v>29.776</v>
    </nc>
  </rcc>
  <rfmt sheetId="14" sqref="C51:D51">
    <dxf>
      <numFmt numFmtId="4" formatCode="#,##0.00"/>
    </dxf>
  </rfmt>
  <rfmt sheetId="14" sqref="C51:D51">
    <dxf>
      <numFmt numFmtId="173" formatCode="#,##0.000"/>
    </dxf>
  </rfmt>
  <rfmt sheetId="14" sqref="C51:D51">
    <dxf>
      <numFmt numFmtId="183" formatCode="#,##0.0000"/>
    </dxf>
  </rfmt>
  <rfmt sheetId="14" sqref="C51:D51">
    <dxf>
      <numFmt numFmtId="172" formatCode="#,##0.00000"/>
    </dxf>
  </rfmt>
  <rfmt sheetId="14" sqref="C51:D51">
    <dxf>
      <numFmt numFmtId="180" formatCode="#,##0.000000"/>
    </dxf>
  </rfmt>
  <rfmt sheetId="14" sqref="C51:D51">
    <dxf>
      <numFmt numFmtId="172" formatCode="#,##0.00000"/>
    </dxf>
  </rfmt>
  <rfmt sheetId="14" sqref="C51:D51">
    <dxf>
      <numFmt numFmtId="183" formatCode="#,##0.0000"/>
    </dxf>
  </rfmt>
  <rfmt sheetId="14" sqref="C51:D51">
    <dxf>
      <numFmt numFmtId="173" formatCode="#,##0.000"/>
    </dxf>
  </rfmt>
  <rfmt sheetId="14" sqref="C51:D51">
    <dxf>
      <numFmt numFmtId="4" formatCode="#,##0.00"/>
    </dxf>
  </rfmt>
  <rfmt sheetId="14" sqref="C51:D51">
    <dxf>
      <numFmt numFmtId="167" formatCode="#,##0.0"/>
    </dxf>
  </rfmt>
  <rcc rId="38744" sId="14" numFmtId="34">
    <oc r="D58">
      <v>311.69357000000002</v>
    </oc>
    <nc r="D58">
      <v>442.01204000000001</v>
    </nc>
  </rcc>
  <rcc rId="38745" sId="14" numFmtId="34">
    <oc r="D65">
      <v>17.202559999999998</v>
    </oc>
    <nc r="D65">
      <v>29.725560000000002</v>
    </nc>
  </rcc>
  <rcc rId="38746" sId="14" numFmtId="34">
    <oc r="C73">
      <v>6.7024999999999997</v>
    </oc>
    <nc r="C73">
      <v>6.7023999999999999</v>
    </nc>
  </rcc>
  <rcc rId="38747" sId="14" numFmtId="34">
    <oc r="D74">
      <v>2.0729000000000002</v>
    </oc>
    <nc r="D74">
      <v>52.390340000000002</v>
    </nc>
  </rcc>
  <rcc rId="38748" sId="14" numFmtId="34">
    <oc r="D75">
      <v>169.6</v>
    </oc>
    <nc r="D75">
      <v>240</v>
    </nc>
  </rcc>
  <rcc rId="38749" sId="14" numFmtId="34">
    <oc r="D80">
      <v>69.713999999999999</v>
    </oc>
    <nc r="D80">
      <v>72.593999999999994</v>
    </nc>
  </rcc>
  <rcc rId="38750" sId="14" numFmtId="34">
    <oc r="D82">
      <v>239.4</v>
    </oc>
    <nc r="D82">
      <v>319.2</v>
    </nc>
  </rcc>
  <rfmt sheetId="14" sqref="C98:D98">
    <dxf>
      <numFmt numFmtId="3" formatCode="#,##0"/>
    </dxf>
  </rfmt>
  <rfmt sheetId="14" sqref="C98:D98">
    <dxf>
      <numFmt numFmtId="167" formatCode="#,##0.0"/>
    </dxf>
  </rfmt>
  <rfmt sheetId="14" sqref="C98:D98">
    <dxf>
      <numFmt numFmtId="4" formatCode="#,##0.00"/>
    </dxf>
  </rfmt>
  <rfmt sheetId="14" sqref="C98:D98">
    <dxf>
      <numFmt numFmtId="173" formatCode="#,##0.000"/>
    </dxf>
  </rfmt>
  <rfmt sheetId="14" sqref="C98:D98">
    <dxf>
      <numFmt numFmtId="183" formatCode="#,##0.0000"/>
    </dxf>
  </rfmt>
  <rfmt sheetId="14" sqref="C98:D98">
    <dxf>
      <numFmt numFmtId="172" formatCode="#,##0.00000"/>
    </dxf>
  </rfmt>
  <rfmt sheetId="14" sqref="C98:D98">
    <dxf>
      <numFmt numFmtId="183" formatCode="#,##0.0000"/>
    </dxf>
  </rfmt>
  <rfmt sheetId="14" sqref="C98:D98">
    <dxf>
      <numFmt numFmtId="173" formatCode="#,##0.000"/>
    </dxf>
  </rfmt>
  <rfmt sheetId="14" sqref="C98:D98">
    <dxf>
      <numFmt numFmtId="4" formatCode="#,##0.00"/>
    </dxf>
  </rfmt>
  <rfmt sheetId="14" sqref="C98:D98">
    <dxf>
      <numFmt numFmtId="167" formatCode="#,##0.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PrintArea" hidden="1" oldHidden="1">
    <formula>Шать!$A$1:$F$101</formula>
    <oldFormula>Шать!$A$1:$F$101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Юнг!$19:$24,Юнг!$38:$38,Юнг!$45:$49,Юнг!$56:$56,Юнг!$58:$60,Юнг!$66:$67,Юнг!$77:$78,Юнг!$82:$86,Юнг!$89:$96,Юнг!$142:$142</formula>
    <oldFormula>Юнг!$19:$24,Юнг!$38:$38,Юнг!$45:$49,Юнг!$56:$56,Юнг!$58:$60,Юнг!$66:$67,Юнг!$77:$78,Юнг!$82:$86,Юнг!$89:$96,Юнг!$142:$142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Яра!$19:$24,Яра!$46:$46,Яра!$48:$51,Яра!$58:$58,Яра!$60:$62,Яра!$68:$69,Яра!$79:$80,Яра!$84:$88,Яра!$91:$98,Яра!$143:$143</formula>
    <oldFormula>Яра!$19:$24,Яра!$46:$46,Яра!$48:$51,Яра!$58:$58,Яра!$60:$62,Яра!$68:$69,Яра!$79:$80,Яра!$84:$88,Яра!$91:$98,Яра!$143:$143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Яро!$19:$24,Яро!$28:$28,Яро!$34:$36,Яро!$43:$43,Яро!$46:$47,Яро!$54:$54,Яро!$56:$58,Яро!$64:$65,Яро!$75:$75,Яро!$80:$84,Яро!$87:$90,Яро!$92:$94</formula>
    <oldFormula>Яро!$19:$24,Яро!$28:$28,Яро!$34:$36,Яро!$43:$43,Яро!$46:$47,Яро!$54:$54,Яро!$56:$58,Яро!$64:$65,Яро!$75:$75,Яро!$80:$84,Яро!$87:$90,Яро!$92:$94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81.xml><?xml version="1.0" encoding="utf-8"?>
<revisions xmlns="http://schemas.openxmlformats.org/spreadsheetml/2006/main" xmlns:r="http://schemas.openxmlformats.org/officeDocument/2006/relationships">
  <rcc rId="38519" sId="7">
    <oc r="A1" t="inlineStr">
      <is>
        <t xml:space="preserve">                     Анализ исполнения бюджета Кадикасинского сельского поселения на 01.04.2019 г.</t>
      </is>
    </oc>
    <nc r="A1" t="inlineStr">
      <is>
        <t xml:space="preserve">                     Анализ исполнения бюджета Кадикасинского сельского поселения на 01.05.2019 г.</t>
      </is>
    </nc>
  </rcc>
  <rcc rId="38520" sId="7">
    <oc r="D3" t="inlineStr">
      <is>
        <t>исполнен на 01.04.2019 г.</t>
      </is>
    </oc>
    <nc r="D3" t="inlineStr">
      <is>
        <t>исполнен на 01.05.2019 г.</t>
      </is>
    </nc>
  </rcc>
  <rcc rId="38521" sId="7">
    <oc r="D53" t="inlineStr">
      <is>
        <t>исполнено на 01.04.2019 г.</t>
      </is>
    </oc>
    <nc r="D53" t="inlineStr">
      <is>
        <t>исполнено на 01.05.2019 г.</t>
      </is>
    </nc>
  </rcc>
  <rcc rId="38522" sId="7" numFmtId="34">
    <oc r="D6">
      <v>90.983590000000007</v>
    </oc>
    <nc r="D6">
      <v>130.15568999999999</v>
    </nc>
  </rcc>
  <rcc rId="38523" sId="7" numFmtId="34">
    <oc r="D8">
      <v>92.234920000000002</v>
    </oc>
    <nc r="D8">
      <v>124.37385999999999</v>
    </nc>
  </rcc>
  <rcc rId="38524" sId="7" numFmtId="34">
    <oc r="D9">
      <v>0.64444999999999997</v>
    </oc>
    <nc r="D9">
      <v>0.90786</v>
    </nc>
  </rcc>
  <rcc rId="38525" sId="7" numFmtId="34">
    <oc r="D10">
      <v>135.23543000000001</v>
    </oc>
    <nc r="D10">
      <v>176.79175000000001</v>
    </nc>
  </rcc>
  <rcc rId="38526" sId="7" numFmtId="4">
    <oc r="D11">
      <v>-18.152529999999999</v>
    </oc>
    <nc r="D11">
      <v>-25.707730000000002</v>
    </nc>
  </rcc>
  <rcc rId="38527" sId="7" numFmtId="34">
    <oc r="D15">
      <v>29.144449999999999</v>
    </oc>
    <nc r="D15">
      <v>32.70673</v>
    </nc>
  </rcc>
  <rcc rId="38528" sId="7" numFmtId="34">
    <oc r="D16">
      <v>209.09998999999999</v>
    </oc>
    <nc r="D16">
      <v>304.01963000000001</v>
    </nc>
  </rcc>
  <rcc rId="38529" sId="7" numFmtId="34">
    <oc r="D18">
      <v>6.8</v>
    </oc>
    <nc r="D18">
      <v>8.1999999999999993</v>
    </nc>
  </rcc>
  <rcc rId="38530" sId="7" numFmtId="4">
    <oc r="D27">
      <v>47.358379999999997</v>
    </oc>
    <nc r="D27">
      <v>66.080380000000005</v>
    </nc>
  </rcc>
  <rcc rId="38531" sId="7" numFmtId="34">
    <oc r="D41">
      <v>275.274</v>
    </oc>
    <nc r="D41">
      <v>367.03199999999998</v>
    </nc>
  </rcc>
  <rcc rId="38532" sId="7" numFmtId="34">
    <oc r="D43">
      <v>263.17399999999998</v>
    </oc>
    <nc r="D43">
      <v>361.47</v>
    </nc>
  </rcc>
  <rcc rId="38533" sId="7" numFmtId="34">
    <oc r="D45">
      <v>44.499000000000002</v>
    </oc>
    <nc r="D45">
      <v>59.548999999999999</v>
    </nc>
  </rcc>
  <rcc rId="38534" sId="7" numFmtId="34">
    <oc r="D57">
      <v>270.34656999999999</v>
    </oc>
    <nc r="D57">
      <v>465.85063000000002</v>
    </nc>
  </rcc>
  <rcc rId="38535" sId="7" numFmtId="34">
    <oc r="D64">
      <v>33.37312</v>
    </oc>
    <nc r="D64">
      <v>59.5456</v>
    </nc>
  </rcc>
  <rcc rId="38536" sId="7" numFmtId="34">
    <oc r="D73">
      <v>235.98462000000001</v>
    </oc>
    <nc r="D73">
      <v>344</v>
    </nc>
  </rcc>
  <rcc rId="38537" sId="7" numFmtId="34">
    <oc r="D74">
      <v>312.46440999999999</v>
    </oc>
    <nc r="D74">
      <v>410.76040999999998</v>
    </nc>
  </rcc>
  <rcc rId="38538" sId="7" numFmtId="34">
    <oc r="D75">
      <v>1.6</v>
    </oc>
    <nc r="D75">
      <v>2.6</v>
    </nc>
  </rcc>
  <rcc rId="38539" sId="7" numFmtId="34">
    <oc r="D79">
      <v>284.75353000000001</v>
    </oc>
    <nc r="D79">
      <v>495.88130999999998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811.xml><?xml version="1.0" encoding="utf-8"?>
<revisions xmlns="http://schemas.openxmlformats.org/spreadsheetml/2006/main" xmlns:r="http://schemas.openxmlformats.org/officeDocument/2006/relationships">
  <rcc rId="35653" sId="17">
    <oc r="A1" t="inlineStr">
      <is>
        <t xml:space="preserve">                     Анализ исполнения бюджета Юськасинского сельского поселения на 01.03.2019 г.</t>
      </is>
    </oc>
    <nc r="A1" t="inlineStr">
      <is>
        <t xml:space="preserve">                     Анализ исполнения бюджета Юськасинского сельского поселения на 01.04.2019 г.</t>
      </is>
    </nc>
  </rcc>
  <rcc rId="35654" sId="17">
    <oc r="D3" t="inlineStr">
      <is>
        <t>исполнен на 01.03.2019 г.</t>
      </is>
    </oc>
    <nc r="D3" t="inlineStr">
      <is>
        <t>исполнен на 01.04.2019 г.</t>
      </is>
    </nc>
  </rcc>
  <rcc rId="35655" sId="17">
    <oc r="D55" t="inlineStr">
      <is>
        <t>исполнено на 01.02.2019г.</t>
      </is>
    </oc>
    <nc r="D55" t="inlineStr">
      <is>
        <t>исполнено на 01.04.2019г.</t>
      </is>
    </nc>
  </rcc>
  <rcc rId="35656" sId="17" numFmtId="4">
    <oc r="D6">
      <v>10.549860000000001</v>
    </oc>
    <nc r="D6">
      <v>19.199529999999999</v>
    </nc>
  </rcc>
  <rcc rId="35657" sId="17" numFmtId="4">
    <oc r="D8">
      <v>60.666739999999997</v>
    </oc>
    <nc r="D8">
      <v>86.678600000000003</v>
    </nc>
  </rcc>
  <rcc rId="35658" sId="17" numFmtId="4">
    <oc r="D9">
      <v>0.41164000000000001</v>
    </oc>
    <nc r="D9">
      <v>0.60563</v>
    </nc>
  </rcc>
  <rcc rId="35659" sId="17" numFmtId="4">
    <oc r="D10">
      <v>89.107370000000003</v>
    </oc>
    <nc r="D10">
      <v>127.08872</v>
    </nc>
  </rcc>
  <rcc rId="35660" sId="17" numFmtId="4">
    <oc r="D11">
      <v>-13.21673</v>
    </oc>
    <nc r="D11">
      <v>-17.059010000000001</v>
    </nc>
  </rcc>
  <rcc rId="35661" sId="17" numFmtId="4">
    <oc r="D13">
      <v>8.1900000000000001E-2</v>
    </oc>
    <nc r="D13">
      <v>0.16428000000000001</v>
    </nc>
  </rcc>
  <rcc rId="35662" sId="17" numFmtId="4">
    <oc r="D15">
      <v>3.3134700000000001</v>
    </oc>
    <nc r="D15">
      <v>4.2445500000000003</v>
    </nc>
  </rcc>
  <rcc rId="35663" sId="17" numFmtId="4">
    <oc r="D16">
      <v>9.3588500000000003</v>
    </oc>
    <nc r="D16">
      <v>12.59254</v>
    </nc>
  </rcc>
  <rcc rId="35664" sId="17" numFmtId="4">
    <oc r="D18">
      <v>1</v>
    </oc>
    <nc r="D18">
      <v>1.6</v>
    </nc>
  </rcc>
  <rcc rId="35665" sId="17" numFmtId="4">
    <oc r="D28">
      <v>4</v>
    </oc>
    <nc r="D28">
      <v>6</v>
    </nc>
  </rcc>
  <rcc rId="35666" sId="17" numFmtId="4">
    <oc r="C30">
      <v>100</v>
    </oc>
    <nc r="C30">
      <v>200</v>
    </nc>
  </rcc>
  <rcc rId="35667" sId="17" numFmtId="4">
    <oc r="D30">
      <v>41.910649999999997</v>
    </oc>
    <nc r="D30">
      <v>104.79955</v>
    </nc>
  </rcc>
  <rfmt sheetId="17" sqref="C38:D38">
    <dxf>
      <numFmt numFmtId="186" formatCode="0.000"/>
    </dxf>
  </rfmt>
  <rfmt sheetId="17" sqref="C38:D38">
    <dxf>
      <numFmt numFmtId="2" formatCode="0.00"/>
    </dxf>
  </rfmt>
  <rfmt sheetId="17" sqref="C38:D38">
    <dxf>
      <numFmt numFmtId="166" formatCode="0.0"/>
    </dxf>
  </rfmt>
  <rcc rId="35668" sId="17" numFmtId="4">
    <oc r="D39">
      <v>504.834</v>
    </oc>
    <nc r="D39">
      <v>757.25099999999998</v>
    </nc>
  </rcc>
  <rcc rId="35669" sId="17" numFmtId="4">
    <oc r="C41">
      <v>0</v>
    </oc>
    <nc r="C41">
      <v>687.5</v>
    </nc>
  </rcc>
  <rcc rId="35670" sId="17" numFmtId="4">
    <oc r="D42">
      <v>0</v>
    </oc>
    <nc r="D42">
      <v>86.24</v>
    </nc>
  </rcc>
  <rcc rId="35671" sId="17" numFmtId="4">
    <oc r="D43">
      <v>29.666</v>
    </oc>
    <nc r="D43">
      <v>44.499000000000002</v>
    </nc>
  </rcc>
  <rcc rId="35672" sId="17">
    <nc r="G52">
      <f>7298.59564-C52</f>
    </nc>
  </rcc>
  <rcc rId="35673" sId="17" odxf="1" dxf="1">
    <nc r="H52">
      <f>1233.90439-D52</f>
    </nc>
    <odxf>
      <numFmt numFmtId="0" formatCode="General"/>
    </odxf>
    <ndxf>
      <numFmt numFmtId="172" formatCode="#,##0.00000"/>
    </ndxf>
  </rcc>
  <rcc rId="35674" sId="17" numFmtId="4">
    <oc r="C42">
      <v>1262.047</v>
    </oc>
    <nc r="C42">
      <v>1876.63464</v>
    </nc>
  </rcc>
  <rcc rId="35675" sId="17" numFmtId="34">
    <oc r="D59">
      <v>116.29728</v>
    </oc>
    <nc r="D59">
      <v>235.83251000000001</v>
    </nc>
  </rcc>
  <rcc rId="35676" sId="17" numFmtId="34">
    <oc r="D64">
      <v>4.1920000000000002</v>
    </oc>
    <nc r="D64">
      <v>54.192</v>
    </nc>
  </rcc>
  <rcc rId="35677" sId="17" numFmtId="34">
    <oc r="D66">
      <v>18.689</v>
    </oc>
    <nc r="D66">
      <v>33.378</v>
    </nc>
  </rcc>
  <rcc rId="35678" sId="17" numFmtId="34">
    <oc r="C75">
      <v>150</v>
    </oc>
    <nc r="C75">
      <v>385</v>
    </nc>
  </rcc>
  <rcc rId="35679" sId="17" numFmtId="34">
    <oc r="D75">
      <v>58.832000000000001</v>
    </oc>
    <nc r="D75">
      <v>69.606999999999999</v>
    </nc>
  </rcc>
  <rcc rId="35680" sId="17" numFmtId="34">
    <oc r="C76">
      <v>1934.4069999999999</v>
    </oc>
    <nc r="C76">
      <v>2591.9336899999998</v>
    </nc>
  </rcc>
  <rcc rId="35681" sId="17" numFmtId="34">
    <oc r="D76">
      <v>11.76</v>
    </oc>
    <nc r="D76">
      <v>121.52</v>
    </nc>
  </rcc>
  <rcc rId="35682" sId="17" numFmtId="34">
    <oc r="C81">
      <v>434.66699999999997</v>
    </oc>
    <nc r="C81">
      <v>444.66699999999997</v>
    </nc>
  </rcc>
  <rcc rId="35683" sId="17" numFmtId="34">
    <oc r="D81">
      <v>20.372610000000002</v>
    </oc>
    <nc r="D81">
      <v>86.93168</v>
    </nc>
  </rcc>
  <rcc rId="35684" sId="17" numFmtId="34">
    <oc r="C83">
      <v>2039.1780000000001</v>
    </oc>
    <nc r="C83">
      <v>2697.1779999999999</v>
    </nc>
  </rcc>
  <rcc rId="35685" sId="17" numFmtId="34">
    <oc r="D83">
      <v>350.39087000000001</v>
    </oc>
    <nc r="D83">
      <v>580.40369999999996</v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Юсь!$20:$24,Юсь!$36:$36,Юсь!$40:$40,Юсь!$44:$49,Юсь!$58:$58,Юсь!$60:$61,Юсь!$68:$69,Юсь!$79:$80,Юсь!$84:$88,Юсь!$91:$98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Яра!$19:$24,Яра!$46:$46,Яра!$48:$51,Яра!$58:$58,Яра!$60:$61,Яра!$68:$69,Яра!$79:$80,Яра!$84:$88,Яра!$91:$98</formula>
    <oldFormula>Яра!$19:$24,Яра!$46:$46,Яра!$48:$51,Яра!$58:$58,Яра!$60:$61,Яра!$68:$69,Яра!$79:$80,Яра!$84:$88,Яра!$91:$98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28111.xml><?xml version="1.0" encoding="utf-8"?>
<revisions xmlns="http://schemas.openxmlformats.org/spreadsheetml/2006/main" xmlns:r="http://schemas.openxmlformats.org/officeDocument/2006/relationships">
  <rcc rId="34551" sId="2" numFmtId="4">
    <oc r="C35">
      <v>105551.30491000001</v>
    </oc>
    <nc r="C35">
      <v>114331.11476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81111.xml><?xml version="1.0" encoding="utf-8"?>
<revisions xmlns="http://schemas.openxmlformats.org/spreadsheetml/2006/main" xmlns:r="http://schemas.openxmlformats.org/officeDocument/2006/relationships">
  <rcc rId="33295" sId="13" numFmtId="34">
    <oc r="C71">
      <v>6.25</v>
    </oc>
    <nc r="C71">
      <v>6.7024999999999997</v>
    </nc>
  </rcc>
  <rcc rId="33296" sId="13" numFmtId="34">
    <oc r="C73">
      <v>945.84</v>
    </oc>
    <nc r="C73">
      <v>1441.34095</v>
    </nc>
  </rcc>
  <rcc rId="33297" sId="13" numFmtId="34">
    <oc r="D73">
      <v>0</v>
    </oc>
    <nc r="D73">
      <v>11.04</v>
    </nc>
  </rcc>
  <rcc rId="33298" sId="13" numFmtId="34">
    <oc r="C78">
      <v>179.292</v>
    </oc>
    <nc r="C78">
      <v>183.01070000000001</v>
    </nc>
  </rcc>
  <rcc rId="33299" sId="13" numFmtId="34">
    <oc r="D80">
      <v>72</v>
    </oc>
    <nc r="D80">
      <v>144</v>
    </nc>
  </rcc>
  <rcc rId="33300" sId="13" numFmtId="34">
    <oc r="D87">
      <v>0</v>
    </oc>
    <nc r="D87">
      <v>2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811111.xml><?xml version="1.0" encoding="utf-8"?>
<revisions xmlns="http://schemas.openxmlformats.org/spreadsheetml/2006/main" xmlns:r="http://schemas.openxmlformats.org/officeDocument/2006/relationships">
  <rcc rId="33110" sId="6" numFmtId="4">
    <oc r="C51">
      <v>0</v>
    </oc>
    <nc r="C51">
      <v>271.69785999999999</v>
    </nc>
  </rcc>
  <rcc rId="33111" sId="6" numFmtId="4">
    <oc r="D15">
      <v>5.6575559999999996</v>
    </oc>
    <nc r="D15">
      <v>5.5675600000000003</v>
    </nc>
  </rcc>
  <rcc rId="33112" sId="6" numFmtId="34">
    <oc r="D59">
      <v>33.5884</v>
    </oc>
    <nc r="D59">
      <v>101.75008</v>
    </nc>
  </rcc>
  <rcc rId="33113" sId="6" numFmtId="34">
    <oc r="D64">
      <v>0</v>
    </oc>
    <nc r="D64">
      <v>3.7509999999999999</v>
    </nc>
  </rcc>
  <rcc rId="33114" sId="6" numFmtId="34">
    <oc r="C66">
      <v>177.95</v>
    </oc>
    <nc r="C66">
      <v>179.892</v>
    </nc>
  </rcc>
  <rcc rId="33115" sId="6" numFmtId="34">
    <oc r="D66">
      <v>4</v>
    </oc>
    <nc r="D66">
      <v>18.689</v>
    </nc>
  </rcc>
  <rcc rId="33116" sId="6" numFmtId="34">
    <oc r="C72">
      <v>0</v>
    </oc>
    <nc r="C72">
      <v>2</v>
    </nc>
  </rcc>
  <rcc rId="33117" sId="6" numFmtId="34">
    <oc r="C74">
      <v>2.5</v>
    </oc>
    <nc r="C74">
      <v>2.681</v>
    </nc>
  </rcc>
  <rcc rId="33118" sId="6" numFmtId="34">
    <oc r="C76">
      <v>2748.6550000000002</v>
    </oc>
    <nc r="C76">
      <v>3844.67472</v>
    </nc>
  </rcc>
  <rcc rId="33119" sId="6" numFmtId="34">
    <oc r="C77">
      <v>0</v>
    </oc>
    <nc r="C77">
      <v>80</v>
    </nc>
  </rcc>
  <rcc rId="33120" sId="6" numFmtId="34">
    <oc r="C83">
      <v>219.56899999999999</v>
    </oc>
    <nc r="C83">
      <v>279.56900000000002</v>
    </nc>
  </rcc>
  <rcc rId="33121" sId="6" numFmtId="34">
    <oc r="C85">
      <v>1686.3</v>
    </oc>
    <nc r="C85">
      <v>1847.1</v>
    </nc>
  </rcc>
  <rcc rId="33122" sId="6" numFmtId="34">
    <oc r="D85">
      <v>126</v>
    </oc>
    <nc r="D85">
      <v>252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Сун!$A$1:$F$103</formula>
    <oldFormula>Сун!$A$1:$F$103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61528DAC_5C4C_48F4_ADE2_8A724B05A086_.wvu.PrintArea" hidden="1" oldHidden="1">
    <formula>Мор!$A$1:$F$100</formula>
    <oldFormula>Мор!$A$1:$F$100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61528DAC_5C4C_48F4_ADE2_8A724B05A086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8112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Яро!$19:$24,Яро!$28:$28,Яро!$43:$43,Яро!$54:$54,Яро!$56:$58,Яро!$64:$65,Яро!$74:$74,Яро!$81:$83,Яро!$86:$89,Яро!$91:$93</formula>
    <oldFormula>Яро!$19:$24,Яро!$28:$28,Яро!$43:$43,Яро!$54:$54,Яро!$56:$58,Яро!$64:$65,Яро!$74:$74,Яро!$81:$83,Яро!$86:$89,Яро!$91:$93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812.xml><?xml version="1.0" encoding="utf-8"?>
<revisions xmlns="http://schemas.openxmlformats.org/spreadsheetml/2006/main" xmlns:r="http://schemas.openxmlformats.org/officeDocument/2006/relationships">
  <rcc rId="31842" sId="18" numFmtId="4">
    <oc r="D13">
      <v>1.44E-2</v>
    </oc>
    <nc r="D13">
      <v>3.17</v>
    </nc>
  </rcc>
  <rcc rId="31843" sId="18" numFmtId="4">
    <oc r="D15">
      <v>3.7564700000000002</v>
    </oc>
    <nc r="D15">
      <v>12.64777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8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Сун!$A$1:$F$103</formula>
    <oldFormula>Сун!$A$1:$F$103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61528DAC_5C4C_48F4_ADE2_8A724B05A086_.wvu.PrintArea" hidden="1" oldHidden="1">
    <formula>Мор!$A$1:$F$100</formula>
    <oldFormula>Мор!$A$1:$F$100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61528DAC_5C4C_48F4_ADE2_8A724B05A086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61528DAC_5C4C_48F4_ADE2_8A724B05A086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61528DAC_5C4C_48F4_ADE2_8A724B05A086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61528DAC_5C4C_48F4_ADE2_8A724B05A086_.wvu.PrintArea" hidden="1" oldHidden="1">
    <formula>Юнг!$A$1:$F$99</formula>
    <oldFormula>Юнг!$A$1:$F$99</oldFormula>
  </rdn>
  <rdn rId="0" localSheetId="16" customView="1" name="Z_61528DAC_5C4C_48F4_ADE2_8A724B05A086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83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9.xml><?xml version="1.0" encoding="utf-8"?>
<revisions xmlns="http://schemas.openxmlformats.org/spreadsheetml/2006/main" xmlns:r="http://schemas.openxmlformats.org/officeDocument/2006/relationships">
  <rcc rId="39415" sId="2" numFmtId="4">
    <oc r="D34">
      <v>18902.42123</v>
    </oc>
    <nc r="D34">
      <v>27331.327570000001</v>
    </nc>
  </rcc>
  <rcc rId="39416" sId="2" numFmtId="4">
    <oc r="G34">
      <v>6589.7753499999999</v>
    </oc>
    <nc r="G34">
      <v>9389.4296599999998</v>
    </nc>
  </rcc>
  <rcc rId="39417" sId="2" numFmtId="4">
    <oc r="J34">
      <v>1172.6205299999999</v>
    </oc>
    <nc r="J34">
      <v>1670.1292599999999</v>
    </nc>
  </rcc>
  <rcc rId="39418" sId="2" numFmtId="4">
    <oc r="M34">
      <v>1053.7562</v>
    </oc>
    <nc r="M34">
      <v>1420.9340500000001</v>
    </nc>
  </rcc>
  <rcc rId="39419" sId="2" numFmtId="4">
    <oc r="P34">
      <v>7.3626500000000004</v>
    </oc>
    <nc r="P34">
      <v>10.37196</v>
    </nc>
  </rcc>
  <rcc rId="39420" sId="2" numFmtId="4">
    <oc r="S34">
      <v>1545.0240200000001</v>
    </oc>
    <nc r="S34">
      <v>2019.79243</v>
    </nc>
  </rcc>
  <rcc rId="39421" sId="2" numFmtId="4">
    <oc r="V34">
      <v>-207.38727</v>
    </oc>
    <nc r="V34">
      <v>-293.70317999999997</v>
    </nc>
  </rcc>
  <rcc rId="39422" sId="2" numFmtId="4">
    <oc r="Y34">
      <v>262.66601000000003</v>
    </oc>
    <nc r="Y34">
      <v>508.04746</v>
    </nc>
  </rcc>
  <rcc rId="39423" sId="2" numFmtId="4">
    <oc r="AB34">
      <v>514.52205000000004</v>
    </oc>
    <nc r="AB34">
      <v>591.77837</v>
    </nc>
  </rcc>
  <rcc rId="39424" sId="2" numFmtId="4">
    <oc r="AE34">
      <v>1534.11312</v>
    </oc>
    <nc r="AE34">
      <v>2164.8010899999999</v>
    </nc>
  </rcc>
  <rcc rId="39425" sId="2" numFmtId="4">
    <oc r="AH34">
      <v>27.885000000000002</v>
    </oc>
    <nc r="AH34">
      <v>45.255000000000003</v>
    </nc>
  </rcc>
  <rcc rId="39426" sId="2" numFmtId="4">
    <oc r="AQ34">
      <v>188.85153</v>
    </oc>
    <nc r="AQ34">
      <v>667.73933</v>
    </nc>
  </rcc>
  <rcc rId="39427" sId="2" numFmtId="4">
    <oc r="AT34">
      <v>127.99169999999999</v>
    </oc>
    <nc r="AT34">
      <v>119.92903</v>
    </nc>
  </rcc>
  <rcc rId="39428" sId="2" numFmtId="4">
    <oc r="AZ34">
      <v>304.22726</v>
    </oc>
    <nc r="AZ34">
      <v>406.21231</v>
    </nc>
  </rcc>
  <rcc rId="39429" sId="2" numFmtId="4">
    <oc r="CA34">
      <v>12312.64588</v>
    </oc>
    <nc r="CA34">
      <v>17941.89791</v>
    </nc>
  </rcc>
  <rcc rId="39430" sId="2" numFmtId="4">
    <oc r="CD34">
      <v>7073.3490000000002</v>
    </oc>
    <nc r="CD34">
      <v>9431.1319999999996</v>
    </nc>
  </rcc>
  <rcc rId="39431" sId="2" numFmtId="4">
    <oc r="CG34">
      <v>337.5</v>
    </oc>
    <nc r="CG34">
      <v>732.5</v>
    </nc>
  </rcc>
  <rcc rId="39432" sId="2" numFmtId="4">
    <oc r="CJ34">
      <v>3043.5369999999998</v>
    </oc>
    <nc r="CJ34">
      <v>4507.4560000000001</v>
    </nc>
  </rcc>
  <rcc rId="39433" sId="2" numFmtId="4">
    <oc r="CM34">
      <v>534</v>
    </oc>
    <nc r="CM34">
      <v>717.58699999999999</v>
    </nc>
  </rcc>
  <rcc rId="39434" sId="2" numFmtId="4">
    <oc r="CS34">
      <v>1324.2598800000001</v>
    </oc>
    <nc r="CS34">
      <v>2553.22291</v>
    </nc>
  </rcc>
  <rcc rId="39435" sId="2" numFmtId="4">
    <oc r="DH34">
      <v>16688.464489999998</v>
    </oc>
    <nc r="DH34">
      <v>26281.976040000001</v>
    </nc>
  </rcc>
  <rcc rId="39436" sId="2" numFmtId="4">
    <oc r="DJ34">
      <v>21939.312000000002</v>
    </oc>
    <nc r="DJ34">
      <v>21942.412</v>
    </nc>
  </rcc>
  <rcc rId="39437" sId="2" numFmtId="4">
    <oc r="DK34">
      <v>4299.9396800000004</v>
    </oc>
    <nc r="DK34">
      <v>7093.4024099999997</v>
    </nc>
  </rcc>
  <rcc rId="39438" sId="2" numFmtId="4">
    <oc r="DN34">
      <v>4001.9811100000002</v>
    </oc>
    <nc r="DN34">
      <v>6792.6438399999997</v>
    </nc>
  </rcc>
  <rcc rId="39439" sId="2" numFmtId="4">
    <oc r="DV34">
      <v>337.02600000000001</v>
    </oc>
    <nc r="DV34">
      <v>340.12599999999998</v>
    </nc>
  </rcc>
  <rcc rId="39440" sId="2" numFmtId="4">
    <oc r="DW34">
      <v>297.95857000000001</v>
    </oc>
    <nc r="DW34">
      <v>300.75857000000002</v>
    </nc>
  </rcc>
  <rcc rId="39441" sId="2" numFmtId="4">
    <oc r="DZ34">
      <v>406.63159999999999</v>
    </oc>
    <nc r="DZ34">
      <v>698.14467999999999</v>
    </nc>
  </rcc>
  <rcc rId="39442" sId="2" numFmtId="4">
    <oc r="EB34">
      <v>180.88</v>
    </oc>
    <nc r="EB34">
      <v>180.98</v>
    </nc>
  </rcc>
  <rcc rId="39443" sId="2" numFmtId="4">
    <oc r="EC34">
      <v>44.750430000000001</v>
    </oc>
    <nc r="EC34">
      <v>54.550429999999999</v>
    </nc>
  </rcc>
  <rcc rId="39444" sId="2" numFmtId="4">
    <oc r="EE34">
      <v>59616.744010000002</v>
    </oc>
    <nc r="EE34">
      <v>59618.744010000002</v>
    </nc>
  </rcc>
  <rcc rId="39445" sId="2" numFmtId="4">
    <oc r="EF34">
      <v>4133.2453599999999</v>
    </oc>
    <nc r="EF34">
      <v>6645.4254499999997</v>
    </nc>
  </rcc>
  <rcc rId="39446" sId="2" numFmtId="4">
    <oc r="EH34">
      <v>20854.551800000001</v>
    </oc>
    <nc r="EH34">
      <v>20849.3518</v>
    </nc>
  </rcc>
  <rcc rId="39447" sId="2" numFmtId="4">
    <oc r="EI34">
      <v>1745.85563</v>
    </oc>
    <nc r="EI34">
      <v>3266.18415</v>
    </nc>
  </rcc>
  <rcc rId="39448" sId="2" numFmtId="4">
    <oc r="EL34">
      <v>6005.1757900000002</v>
    </oc>
    <nc r="EL34">
      <v>8465.2329200000004</v>
    </nc>
  </rcc>
  <rcc rId="39449" sId="2" numFmtId="4">
    <oc r="ER34">
      <v>52.866</v>
    </oc>
    <nc r="ER34">
      <v>59.036000000000001</v>
    </nc>
  </rcc>
  <rcc rId="39450" sId="2" numFmtId="4">
    <oc r="EX34">
      <v>2213.9567400000001</v>
    </oc>
    <nc r="EX34">
      <v>1049.3515299999999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9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PrintArea" hidden="1" oldHidden="1">
    <formula>Шать!$A$1:$F$101</formula>
    <oldFormula>Шать!$A$1:$F$101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Юнг!$19:$24,Юнг!$38:$38,Юнг!$45:$49,Юнг!$56:$56,Юнг!$58:$60,Юнг!$66:$67,Юнг!$77:$78,Юнг!$82:$86,Юнг!$89:$96,Юнг!$142:$142</formula>
    <oldFormula>Юнг!$19:$24,Юнг!$38:$38,Юнг!$45:$49,Юнг!$56:$56,Юнг!$58:$60,Юнг!$66:$67,Юнг!$77:$78,Юнг!$82:$86,Юнг!$89:$96,Юнг!$142:$142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Яра!$19:$24,Яра!$46:$46,Яра!$48:$51,Яра!$58:$58,Яра!$60:$62,Яра!$68:$69,Яра!$79:$80,Яра!$84:$88,Яра!$91:$98,Яра!$143:$143</formula>
    <oldFormula>Яра!$19:$24,Яра!$46:$46,Яра!$48:$51,Яра!$58:$58,Яра!$60:$62,Яра!$68:$69,Яра!$79:$80,Яра!$84:$88,Яра!$91:$98,Яра!$143:$143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Яро!$19:$24,Яро!$28:$28,Яро!$34:$36,Яро!$43:$43,Яро!$46:$47,Яро!$54:$54,Яро!$56:$58,Яро!$64:$65,Яро!$75:$75,Яро!$80:$84,Яро!$87:$90,Яро!$92:$94</formula>
    <oldFormula>Яро!$19:$24,Яро!$28:$28,Яро!$34:$36,Яро!$43:$43,Яро!$46:$47,Яро!$54:$54,Яро!$56:$58,Яро!$64:$65,Яро!$75:$75,Яро!$80:$84,Яро!$87:$90,Яро!$92:$94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911.xml><?xml version="1.0" encoding="utf-8"?>
<revisions xmlns="http://schemas.openxmlformats.org/spreadsheetml/2006/main" xmlns:r="http://schemas.openxmlformats.org/officeDocument/2006/relationships">
  <rfmt sheetId="2" sqref="DG14:DH29">
    <dxf>
      <fill>
        <patternFill>
          <bgColor theme="0"/>
        </patternFill>
      </fill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912.xml><?xml version="1.0" encoding="utf-8"?>
<revisions xmlns="http://schemas.openxmlformats.org/spreadsheetml/2006/main" xmlns:r="http://schemas.openxmlformats.org/officeDocument/2006/relationships">
  <rcc rId="35803" sId="15">
    <oc r="D54" t="inlineStr">
      <is>
        <t>исполнено на 01.03.2019 г.</t>
      </is>
    </oc>
    <nc r="D54" t="inlineStr">
      <is>
        <t>исполнено на 01.04.2019 г.</t>
      </is>
    </nc>
  </rcc>
  <rcc rId="35804" sId="15">
    <oc r="D3" t="inlineStr">
      <is>
        <t>исполнен на 01.03.2019 г.</t>
      </is>
    </oc>
    <nc r="D3" t="inlineStr">
      <is>
        <t>исполнен на 01.04.2019 г.</t>
      </is>
    </nc>
  </rcc>
  <rcc rId="35805" sId="15">
    <oc r="A1" t="inlineStr">
      <is>
        <t xml:space="preserve">                     Анализ исполнения бюджета Шатьмапосинского сельского поселения на 01.03.2019 г.</t>
      </is>
    </oc>
    <nc r="A1" t="inlineStr">
      <is>
        <t xml:space="preserve">                     Анализ исполнения бюджета Шатьмапосинского сельского поселения на 01.04.2019 г.</t>
      </is>
    </nc>
  </rcc>
  <rcc rId="35806" sId="15" numFmtId="4">
    <oc r="D6">
      <v>4.4903399999999998</v>
    </oc>
    <nc r="D6">
      <v>7.9203799999999998</v>
    </nc>
  </rcc>
  <rcc rId="35807" sId="15" numFmtId="4">
    <oc r="D8">
      <v>29.361139999999999</v>
    </oc>
    <nc r="D8">
      <v>41.950220000000002</v>
    </nc>
  </rcc>
  <rcc rId="35808" sId="15" numFmtId="4">
    <oc r="D9">
      <v>0.19922999999999999</v>
    </oc>
    <nc r="D9">
      <v>0.29310000000000003</v>
    </nc>
  </rcc>
  <rcc rId="35809" sId="15" numFmtId="4">
    <oc r="D10">
      <v>43.125689999999999</v>
    </oc>
    <nc r="D10">
      <v>61.507689999999997</v>
    </nc>
  </rcc>
  <rcc rId="35810" sId="15" numFmtId="4">
    <oc r="D11">
      <v>-6.3965699999999996</v>
    </oc>
    <nc r="D11">
      <v>-8.2561199999999992</v>
    </nc>
  </rcc>
  <rcc rId="35811" sId="15" numFmtId="4">
    <oc r="D13">
      <v>0.36059000000000002</v>
    </oc>
    <nc r="D13">
      <v>41.775889999999997</v>
    </nc>
  </rcc>
  <rcc rId="35812" sId="15" numFmtId="4">
    <oc r="D15">
      <v>1.0947899999999999</v>
    </oc>
    <nc r="D15">
      <v>1.1193200000000001</v>
    </nc>
  </rcc>
  <rcc rId="35813" sId="15" numFmtId="4">
    <oc r="D16">
      <v>10.140129999999999</v>
    </oc>
    <nc r="D16">
      <v>12.895670000000001</v>
    </nc>
  </rcc>
  <rcc rId="35814" sId="15" numFmtId="4">
    <oc r="D18">
      <v>0.6</v>
    </oc>
    <nc r="D18">
      <v>1.55</v>
    </nc>
  </rcc>
  <rcc rId="35815" sId="15" numFmtId="4">
    <oc r="D27">
      <v>12.9168</v>
    </oc>
    <nc r="D27">
      <v>51.997799999999998</v>
    </nc>
  </rcc>
  <rcc rId="35816" sId="15" numFmtId="4">
    <oc r="D28">
      <v>4.3352000000000004</v>
    </oc>
    <nc r="D28">
      <v>6.5027999999999997</v>
    </nc>
  </rcc>
  <rfmt sheetId="15" sqref="D40:D41">
    <dxf>
      <numFmt numFmtId="175" formatCode="0.0000"/>
    </dxf>
  </rfmt>
  <rfmt sheetId="15" sqref="D40:D41">
    <dxf>
      <numFmt numFmtId="186" formatCode="0.000"/>
    </dxf>
  </rfmt>
  <rfmt sheetId="15" sqref="D40:D41">
    <dxf>
      <numFmt numFmtId="2" formatCode="0.00"/>
    </dxf>
  </rfmt>
  <rfmt sheetId="15" sqref="D40:D41">
    <dxf>
      <numFmt numFmtId="166" formatCode="0.0"/>
    </dxf>
  </rfmt>
  <rfmt sheetId="15" sqref="D40:D41">
    <dxf>
      <numFmt numFmtId="1" formatCode="0"/>
    </dxf>
  </rfmt>
  <rfmt sheetId="15" sqref="D40:D41">
    <dxf>
      <numFmt numFmtId="166" formatCode="0.0"/>
    </dxf>
  </rfmt>
  <rcc rId="35817" sId="15" numFmtId="4">
    <oc r="D43">
      <v>0</v>
    </oc>
    <nc r="D43">
      <v>72.5</v>
    </nc>
  </rcc>
  <rcc rId="35818" sId="15" numFmtId="4">
    <oc r="C44">
      <v>858.75699999999995</v>
    </oc>
    <nc r="C44">
      <v>1213.53934</v>
    </nc>
  </rcc>
  <rcc rId="35819" sId="15" numFmtId="4">
    <oc r="D44">
      <v>0</v>
    </oc>
    <nc r="D44">
      <v>87.012</v>
    </nc>
  </rcc>
  <rcc rId="35820" sId="15" numFmtId="4">
    <oc r="D45">
      <v>14.834</v>
    </oc>
    <nc r="D45">
      <v>22.251000000000001</v>
    </nc>
  </rcc>
  <rcc rId="35821" sId="15">
    <nc r="G51">
      <f>3894.63312-C51</f>
    </nc>
  </rcc>
  <rcc rId="35822" sId="15">
    <nc r="H51">
      <f>742.77387-D51</f>
    </nc>
  </rcc>
  <rcc rId="35823" sId="15" numFmtId="4">
    <oc r="D42">
      <v>224.65</v>
    </oc>
    <nc r="D42">
      <v>336.97500000000002</v>
    </nc>
  </rcc>
  <rcc rId="35824" sId="15" numFmtId="34">
    <oc r="D58">
      <v>100.11418999999999</v>
    </oc>
    <nc r="D58">
      <v>178.06468000000001</v>
    </nc>
  </rcc>
  <rcc rId="35825" sId="15" numFmtId="34">
    <oc r="D65">
      <v>9.3450100000000003</v>
    </oc>
    <nc r="D65">
      <v>17.272020000000001</v>
    </nc>
  </rcc>
  <rcc rId="35826" sId="15" numFmtId="34">
    <oc r="C75">
      <v>1333.4227800000001</v>
    </oc>
    <nc r="C75">
      <v>1695.5829900000001</v>
    </nc>
  </rcc>
  <rcc rId="35827" sId="15" numFmtId="34">
    <oc r="D75">
      <v>11.866099999999999</v>
    </oc>
    <nc r="D75">
      <v>110.63809999999999</v>
    </nc>
  </rcc>
  <rcc rId="35828" sId="15" numFmtId="34">
    <oc r="D76">
      <v>0</v>
    </oc>
    <nc r="D76">
      <v>16.5</v>
    </nc>
  </rcc>
  <rcc rId="35829" sId="15" numFmtId="34">
    <oc r="C80">
      <v>175.5</v>
    </oc>
    <nc r="C80">
      <v>310.5</v>
    </nc>
  </rcc>
  <rcc rId="35830" sId="15" numFmtId="34">
    <oc r="D80">
      <v>0</v>
    </oc>
    <nc r="D80">
      <v>38.348889999999997</v>
    </nc>
  </rcc>
  <rcc rId="35831" sId="15" numFmtId="34">
    <oc r="D82">
      <v>136.69999999999999</v>
    </oc>
    <nc r="D82">
      <v>203.4</v>
    </nc>
  </rcc>
  <rcc rId="35832" sId="15">
    <nc r="G98">
      <f>4064.78249-C98</f>
    </nc>
  </rcc>
  <rcc rId="35833" sId="15" odxf="1" dxf="1">
    <nc r="H98">
      <f>566.80169-D98</f>
    </nc>
    <odxf>
      <numFmt numFmtId="0" formatCode="General"/>
    </odxf>
    <ndxf>
      <numFmt numFmtId="191" formatCode="_-* #,##0.00000\ _₽_-;\-* #,##0.00000\ _₽_-;_-* &quot;-&quot;?????\ _₽_-;_-@_-"/>
    </ndxf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PrintArea" hidden="1" oldHidden="1">
    <formula>Шать!$A$1:$F$101</formula>
  </rdn>
  <rdn rId="0" localSheetId="15" customView="1" name="Z_1A52382B_3765_4E8C_903F_6B8919B7242E_.wvu.Rows" hidden="1" oldHidden="1">
    <formula>Шать!$19:$24,Шать!$31:$39,Шать!$46:$49,Шать!$57:$57,Шать!$59:$60,Шать!$67:$68,Шать!$78:$79,Шать!$83:$87,Шать!$90:$97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Юнг!$19:$24,Юнг!$31:$38,Юнг!$45:$49,Юнг!$56:$56,Юнг!$58:$59,Юнг!$66:$67,Юнг!$77:$77,Юнг!$82:$86,Юнг!$89:$96</formula>
    <oldFormula>Юнг!$19:$24,Юнг!$31:$38,Юнг!$45:$49,Юнг!$56:$56,Юнг!$58:$59,Юнг!$66:$67,Юнг!$77:$77,Юнг!$82:$86,Юнг!$89:$96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Юсь!$20:$24,Юсь!$36:$36,Юсь!$40:$40,Юсь!$44:$49,Юсь!$58:$58,Юсь!$60:$61,Юсь!$68:$69,Юсь!$79:$80,Юсь!$84:$88,Юсь!$91:$98</formula>
    <oldFormula>Юсь!$20:$24,Юсь!$36:$36,Юсь!$40:$40,Юсь!$44:$49,Юсь!$58:$58,Юсь!$60:$61,Юсь!$68:$69,Юсь!$79:$80,Юсь!$84:$88,Юсь!$91:$98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Яра!$19:$24,Яра!$46:$46,Яра!$48:$51,Яра!$58:$58,Яра!$60:$61,Яра!$68:$69,Яра!$79:$80,Яра!$84:$88,Яра!$91:$98</formula>
    <oldFormula>Яра!$19:$24,Яра!$46:$46,Яра!$48:$51,Яра!$58:$58,Яра!$60:$61,Яра!$68:$69,Яра!$79:$80,Яра!$84:$88,Яра!$91:$98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292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PrintArea" hidden="1" oldHidden="1">
    <formula>Шать!$A$1:$F$101</formula>
    <oldFormula>Шать!$A$1:$F$101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Юнг!$19:$24,Юнг!$38:$38,Юнг!$45:$49,Юнг!$56:$56,Юнг!$58:$60,Юнг!$66:$67,Юнг!$77:$78,Юнг!$82:$86,Юнг!$89:$96,Юнг!$142:$142</formula>
    <oldFormula>Юнг!$19:$24,Юнг!$38:$38,Юнг!$45:$49,Юнг!$56:$56,Юнг!$58:$60,Юнг!$66:$67,Юнг!$77:$78,Юнг!$82:$86,Юнг!$89:$96,Юнг!$142:$142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Яра!$19:$24,Яра!$46:$46,Яра!$48:$51,Яра!$58:$58,Яра!$60:$62,Яра!$68:$69,Яра!$79:$80,Яра!$84:$88,Яра!$91:$98,Яра!$143:$143</formula>
    <oldFormula>Яра!$19:$24,Яра!$46:$46,Яра!$48:$51,Яра!$58:$58,Яра!$60:$62,Яра!$68:$69,Яра!$79:$80,Яра!$84:$88,Яра!$91:$98,Яра!$143:$143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Яро!$19:$24,Яро!$28:$28,Яро!$34:$36,Яро!$43:$43,Яро!$46:$47,Яро!$54:$54,Яро!$56:$58,Яро!$64:$65,Яро!$75:$75,Яро!$80:$84,Яро!$87:$90,Яро!$92:$94</formula>
    <oldFormula>Яро!$19:$24,Яро!$28:$28,Яро!$34:$36,Яро!$43:$43,Яро!$46:$47,Яро!$54:$54,Яро!$56:$58,Яро!$64:$65,Яро!$75:$75,Яро!$80:$84,Яро!$87:$90,Яро!$92:$94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92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293.xml><?xml version="1.0" encoding="utf-8"?>
<revisions xmlns="http://schemas.openxmlformats.org/spreadsheetml/2006/main" xmlns:r="http://schemas.openxmlformats.org/officeDocument/2006/relationships">
  <rcc rId="36014" sId="10">
    <oc r="A1" t="inlineStr">
      <is>
        <t xml:space="preserve">                     Анализ исполнения бюджета Орининского сельского поселения на 01.03.2019 г.</t>
      </is>
    </oc>
    <nc r="A1" t="inlineStr">
      <is>
        <t xml:space="preserve">                     Анализ исполнения бюджета Орининского сельского поселения на 01.04.2019 г.</t>
      </is>
    </nc>
  </rcc>
  <rcc rId="36015" sId="10">
    <oc r="D3" t="inlineStr">
      <is>
        <t>исполнен на 01.03.2019 г.</t>
      </is>
    </oc>
    <nc r="D3" t="inlineStr">
      <is>
        <t>исполнен на 01.04.2019 г.</t>
      </is>
    </nc>
  </rcc>
  <rcc rId="36016" sId="10">
    <oc r="D54" t="inlineStr">
      <is>
        <t>исполнено на 01.03.2019 г.</t>
      </is>
    </oc>
    <nc r="D54" t="inlineStr">
      <is>
        <t>исполнено на 01.04.2019 г.</t>
      </is>
    </nc>
  </rcc>
  <rcc rId="36017" sId="10" numFmtId="4">
    <oc r="D6">
      <v>33.151679999999999</v>
    </oc>
    <nc r="D6">
      <v>45.724499999999999</v>
    </nc>
  </rcc>
  <rcc rId="36018" sId="10" numFmtId="4">
    <oc r="D8">
      <v>38.305610000000001</v>
    </oc>
    <nc r="D8">
      <v>54.729759999999999</v>
    </nc>
  </rcc>
  <rcc rId="36019" sId="10" numFmtId="4">
    <oc r="D9">
      <v>0.25990000000000002</v>
    </oc>
    <nc r="D9">
      <v>0.38240000000000002</v>
    </nc>
  </rcc>
  <rcc rId="36020" sId="10" numFmtId="4">
    <oc r="D10">
      <v>56.263300000000001</v>
    </oc>
    <nc r="D10">
      <v>80.24512</v>
    </nc>
  </rcc>
  <rcc rId="36021" sId="10" numFmtId="4">
    <oc r="D11">
      <v>-8.3451599999999999</v>
    </oc>
    <nc r="D11">
      <v>-10.771229999999999</v>
    </nc>
  </rcc>
  <rcc rId="36022" sId="10" numFmtId="4">
    <oc r="D15">
      <v>2.4299999999999999E-2</v>
    </oc>
    <nc r="D15">
      <v>0.98126000000000002</v>
    </nc>
  </rcc>
  <rcc rId="36023" sId="10" numFmtId="4">
    <oc r="D16">
      <v>41.612760000000002</v>
    </oc>
    <nc r="D16">
      <v>61.166229999999999</v>
    </nc>
  </rcc>
  <rcc rId="36024" sId="10" numFmtId="4">
    <oc r="D18">
      <v>0.3</v>
    </oc>
    <nc r="D18">
      <v>0.5</v>
    </nc>
  </rcc>
  <rcc rId="36025" sId="10" numFmtId="4">
    <oc r="D28">
      <v>4.5</v>
    </oc>
    <nc r="D28">
      <v>9</v>
    </nc>
  </rcc>
  <rcc rId="36026" sId="10" numFmtId="4">
    <oc r="C42">
      <v>0</v>
    </oc>
    <nc r="C42">
      <v>200</v>
    </nc>
  </rcc>
  <rcc rId="36027" sId="10" numFmtId="4">
    <oc r="D41">
      <v>243.75</v>
    </oc>
    <nc r="D41">
      <v>365.625</v>
    </nc>
  </rcc>
  <rcc rId="36028" sId="10" numFmtId="4">
    <oc r="D43">
      <v>0</v>
    </oc>
    <nc r="D43">
      <v>154.80699999999999</v>
    </nc>
  </rcc>
  <rcc rId="36029" sId="10" numFmtId="4">
    <oc r="D45">
      <v>29.666</v>
    </oc>
    <nc r="D45">
      <v>44.499000000000002</v>
    </nc>
  </rcc>
  <rcc rId="36030" sId="10" numFmtId="4">
    <oc r="D30">
      <v>10.68961</v>
    </oc>
    <nc r="D30">
      <v>11.231909999999999</v>
    </nc>
  </rcc>
  <rcc rId="36031" sId="10" numFmtId="34">
    <oc r="D58">
      <v>125.19919</v>
    </oc>
    <nc r="D58">
      <v>233.73683</v>
    </nc>
  </rcc>
  <rcc rId="36032" sId="10" numFmtId="34">
    <oc r="D65">
      <v>18.689</v>
    </oc>
    <nc r="D65">
      <v>33.378</v>
    </nc>
  </rcc>
  <rcc rId="36033" sId="10" numFmtId="34">
    <oc r="C74">
      <v>100</v>
    </oc>
    <nc r="C74">
      <v>145</v>
    </nc>
  </rcc>
  <rcc rId="36034" sId="10" numFmtId="34">
    <oc r="C75">
      <v>1574.615</v>
    </oc>
    <nc r="C75">
      <v>1676.9789800000001</v>
    </nc>
  </rcc>
  <rcc rId="36035" sId="10" numFmtId="34">
    <oc r="D75">
      <v>21.11037</v>
    </oc>
    <nc r="D75">
      <v>190.80244999999999</v>
    </nc>
  </rcc>
  <rcc rId="36036" sId="10" numFmtId="34">
    <oc r="C76">
      <v>50</v>
    </oc>
    <nc r="C76">
      <v>90</v>
    </nc>
  </rcc>
  <rcc rId="36037" sId="10" numFmtId="34">
    <oc r="C80">
      <v>720.50900000000001</v>
    </oc>
    <nc r="C80">
      <v>1090.509</v>
    </nc>
  </rcc>
  <rcc rId="36038" sId="10" numFmtId="34">
    <oc r="D80">
      <v>39.528669999999998</v>
    </oc>
    <nc r="D80">
      <v>67.317260000000005</v>
    </nc>
  </rcc>
  <rcc rId="36039" sId="10" numFmtId="34">
    <oc r="D83">
      <v>261.10000000000002</v>
    </oc>
    <nc r="D83">
      <v>397.57799999999997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94.xml><?xml version="1.0" encoding="utf-8"?>
<revisions xmlns="http://schemas.openxmlformats.org/spreadsheetml/2006/main" xmlns:r="http://schemas.openxmlformats.org/officeDocument/2006/relationships">
  <rcc rId="38293" sId="15" numFmtId="34">
    <oc r="D58">
      <v>178.06468000000001</v>
    </oc>
    <nc r="D58">
      <v>311.92988000000003</v>
    </nc>
  </rcc>
  <rcc rId="38294" sId="15" numFmtId="34">
    <oc r="D65">
      <v>17.272020000000001</v>
    </oc>
    <nc r="D65">
      <v>29.962039999999998</v>
    </nc>
  </rcc>
  <rcc rId="38295" sId="15" numFmtId="34">
    <oc r="D75">
      <v>110.63809999999999</v>
    </oc>
    <nc r="D75">
      <v>196.87809999999999</v>
    </nc>
  </rcc>
  <rcc rId="38296" sId="15" numFmtId="34">
    <oc r="D76">
      <v>16.5</v>
    </oc>
    <nc r="D76">
      <v>18.100000000000001</v>
    </nc>
  </rcc>
  <rcc rId="38297" sId="15" numFmtId="34">
    <oc r="D80">
      <v>38.348889999999997</v>
    </oc>
    <nc r="D80">
      <v>50.390450000000001</v>
    </nc>
  </rcc>
  <rcc rId="38298" sId="15" numFmtId="34">
    <oc r="D82">
      <v>203.4</v>
    </oc>
    <nc r="D82">
      <v>270.2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PrintArea" hidden="1" oldHidden="1">
    <formula>Шать!$A$1:$F$101</formula>
    <oldFormula>Шать!$A$1:$F$101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Юнг!$19:$24,Юнг!$38:$38,Юнг!$45:$49,Юнг!$56:$56,Юнг!$58:$60,Юнг!$66:$67,Юнг!$77:$78,Юнг!$82:$86,Юнг!$89:$96,Юнг!$142:$142</formula>
    <oldFormula>Юнг!$19:$24,Юнг!$38:$38,Юнг!$45:$49,Юнг!$56:$56,Юнг!$58:$60,Юнг!$66:$67,Юнг!$77:$78,Юнг!$82:$86,Юнг!$89:$96,Юнг!$142:$142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Яра!$19:$24,Яра!$46:$46,Яра!$48:$51,Яра!$58:$58,Яра!$60:$62,Яра!$68:$69,Яра!$79:$80,Яра!$84:$88,Яра!$91:$98,Яра!$143:$143</formula>
    <oldFormula>Яра!$19:$24,Яра!$46:$46,Яра!$48:$51,Яра!$58:$58,Яра!$60:$62,Яра!$68:$69,Яра!$79:$80,Яра!$84:$88,Яра!$91:$98,Яра!$143:$143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Яро!$19:$24,Яро!$28:$28,Яро!$34:$36,Яро!$43:$43,Яро!$46:$47,Яро!$54:$54,Яро!$56:$58,Яро!$64:$65,Яро!$75:$75,Яро!$80:$84,Яро!$87:$90,Яро!$92:$94</formula>
    <oldFormula>Яро!$19:$24,Яро!$28:$28,Яро!$34:$36,Яро!$43:$43,Яро!$46:$47,Яро!$54:$54,Яро!$56:$58,Яро!$64:$65,Яро!$75:$75,Яро!$80:$84,Яро!$87:$90,Яро!$92:$94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39543" sId="1" numFmtId="4">
    <oc r="C24">
      <v>598113.49531000003</v>
    </oc>
    <nc r="C24">
      <v>600129.99531000003</v>
    </nc>
  </rcc>
  <rcc rId="39544" sId="1" numFmtId="4">
    <oc r="D24">
      <v>94322.961429999996</v>
    </oc>
    <nc r="D24">
      <v>159526.89747</v>
    </nc>
  </rcc>
  <rcc rId="39545" sId="1" numFmtId="4">
    <oc r="C32">
      <v>219608.45301</v>
    </oc>
    <nc r="C32">
      <v>219610.45301</v>
    </nc>
  </rcc>
  <rcc rId="39546" sId="1" numFmtId="4">
    <oc r="D32">
      <v>11919.658789999999</v>
    </oc>
    <nc r="D32">
      <v>17111.6116</v>
    </nc>
  </rcc>
  <rcc rId="39547" sId="1" numFmtId="4">
    <oc r="C33">
      <v>25335.451799999999</v>
    </oc>
    <nc r="C33">
      <v>25330.251799999998</v>
    </nc>
  </rcc>
  <rcc rId="39548" sId="1" numFmtId="4">
    <oc r="D33">
      <v>2068.3483700000002</v>
    </oc>
    <nc r="D33">
      <v>3588.6768900000002</v>
    </nc>
  </rcc>
  <rcc rId="39549" sId="1" numFmtId="4">
    <oc r="D36">
      <v>10425.782740000001</v>
    </oc>
    <nc r="D36">
      <v>14644.42345</v>
    </nc>
  </rcc>
  <rcc rId="39550" sId="1" numFmtId="4">
    <oc r="C37">
      <f>F37+I37</f>
    </oc>
    <nc r="C37">
      <v>43941.620269999999</v>
    </nc>
  </rcc>
  <rcc rId="39551" sId="1" numFmtId="4">
    <oc r="D37">
      <v>1553.97371</v>
    </oc>
    <nc r="D37">
      <v>23841.867020000002</v>
    </nc>
  </rcc>
  <rcc rId="39552" sId="1" numFmtId="4">
    <oc r="D38">
      <v>1862.94075</v>
    </oc>
    <nc r="D38">
      <v>2628.45775</v>
    </nc>
  </rcc>
  <rcc rId="39553" sId="3" numFmtId="4">
    <oc r="C119">
      <v>21460</v>
    </oc>
    <nc r="C119">
      <v>21460.9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0.xml><?xml version="1.0" encoding="utf-8"?>
<revisions xmlns="http://schemas.openxmlformats.org/spreadsheetml/2006/main" xmlns:r="http://schemas.openxmlformats.org/officeDocument/2006/relationships">
  <rcc rId="38570" sId="8">
    <oc r="A1" t="inlineStr">
      <is>
        <t xml:space="preserve">                     Анализ исполнения бюджета Моргаушского сельского поселения на 01.04.2019 г.</t>
      </is>
    </oc>
    <nc r="A1" t="inlineStr">
      <is>
        <t xml:space="preserve">                     Анализ исполнения бюджета Моргаушского сельского поселения на 01.05.2019 г.</t>
      </is>
    </nc>
  </rcc>
  <rcc rId="38571" sId="8">
    <oc r="D3" t="inlineStr">
      <is>
        <t>исполнен на 01.04.2019 г.</t>
      </is>
    </oc>
    <nc r="D3" t="inlineStr">
      <is>
        <t>исполнен на 01.05.2019 г.</t>
      </is>
    </nc>
  </rcc>
  <rcc rId="38572" sId="8">
    <oc r="D54" t="inlineStr">
      <is>
        <t>исполнено на 01.04.2019 г.</t>
      </is>
    </oc>
    <nc r="D54" t="inlineStr">
      <is>
        <t>исполнено на 01.05.2019 г.</t>
      </is>
    </nc>
  </rcc>
  <rcc rId="38573" sId="8" numFmtId="4">
    <oc r="D6">
      <v>413.20069000000001</v>
    </oc>
    <nc r="D6">
      <v>561.63734999999997</v>
    </nc>
  </rcc>
  <rcc rId="38574" sId="8" numFmtId="4">
    <oc r="D8">
      <v>45.56183</v>
    </oc>
    <nc r="D8">
      <v>61.4377</v>
    </nc>
  </rcc>
  <rcc rId="38575" sId="8" numFmtId="4">
    <oc r="D9">
      <v>0.31835000000000002</v>
    </oc>
    <nc r="D9">
      <v>0.44846000000000003</v>
    </nc>
  </rcc>
  <rcc rId="38576" sId="8" numFmtId="4">
    <oc r="D10">
      <v>66.803039999999996</v>
    </oc>
    <nc r="D10">
      <v>87.330860000000001</v>
    </nc>
  </rcc>
  <rcc rId="38577" sId="8" numFmtId="4">
    <oc r="D11">
      <v>-8.96692</v>
    </oc>
    <nc r="D11">
      <v>-12.699</v>
    </nc>
  </rcc>
  <rcc rId="38578" sId="8" numFmtId="4">
    <oc r="D13">
      <v>40.386299999999999</v>
    </oc>
    <nc r="D13">
      <v>67.296539999999993</v>
    </nc>
  </rcc>
  <rcc rId="38579" sId="8" numFmtId="4">
    <oc r="D15">
      <v>65.380229999999997</v>
    </oc>
    <nc r="D15">
      <v>72.668279999999996</v>
    </nc>
  </rcc>
  <rcc rId="38580" sId="8" numFmtId="4">
    <oc r="D16">
      <v>213.48330999999999</v>
    </oc>
    <nc r="D16">
      <v>357.08686999999998</v>
    </nc>
  </rcc>
  <rcc rId="38581" sId="8" numFmtId="4">
    <oc r="D41">
      <v>1171.875</v>
    </oc>
    <nc r="D41">
      <v>1562.5</v>
    </nc>
  </rcc>
  <rcc rId="38582" sId="8" numFmtId="4">
    <oc r="D43">
      <v>291.52999999999997</v>
    </oc>
    <nc r="D43">
      <v>380.34399999999999</v>
    </nc>
  </rcc>
  <rcc rId="38583" sId="8" numFmtId="4">
    <oc r="D45">
      <v>0</v>
    </oc>
    <nc r="D45">
      <v>1.1948000000000001</v>
    </nc>
  </rcc>
  <rcc rId="38584" sId="8" numFmtId="4">
    <oc r="D48">
      <v>133.85</v>
    </oc>
    <nc r="D48">
      <v>444.70496000000003</v>
    </nc>
  </rcc>
  <rcc rId="38585" sId="8" numFmtId="34">
    <oc r="D58">
      <v>364.71341999999999</v>
    </oc>
    <nc r="D58">
      <v>606.14341999999999</v>
    </nc>
  </rcc>
  <rcc rId="38586" sId="8" numFmtId="34">
    <oc r="D73">
      <v>0</v>
    </oc>
    <nc r="D73">
      <v>2.681</v>
    </nc>
  </rcc>
  <rcc rId="38587" sId="8" numFmtId="34">
    <oc r="D74">
      <v>111.65203</v>
    </oc>
    <nc r="D74">
      <v>113.99838</v>
    </nc>
  </rcc>
  <rcc rId="38588" sId="8" numFmtId="34">
    <oc r="D75">
      <v>343.39697000000001</v>
    </oc>
    <nc r="D75">
      <v>432.21096999999997</v>
    </nc>
  </rcc>
  <rcc rId="38589" sId="8" numFmtId="34">
    <oc r="D80">
      <v>570.24426000000005</v>
    </oc>
    <nc r="D80">
      <v>881.58860000000004</v>
    </nc>
  </rcc>
  <rcc rId="38590" sId="8" numFmtId="34">
    <oc r="D82">
      <v>933.75</v>
    </oc>
    <nc r="D82">
      <v>1245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01.xml><?xml version="1.0" encoding="utf-8"?>
<revisions xmlns="http://schemas.openxmlformats.org/spreadsheetml/2006/main" xmlns:r="http://schemas.openxmlformats.org/officeDocument/2006/relationships">
  <rcc rId="31554" sId="19" numFmtId="4">
    <nc r="C32">
      <v>0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Яро!$19:$24,Яро!$28:$28,Яро!$43:$43,Яро!$54:$54,Яро!$56:$58,Яро!$64:$65,Яро!$74:$74,Яро!$81:$83,Яро!$86:$89,Яро!$91:$93</formula>
    <oldFormula>Яро!$19:$24,Яро!$28:$28,Яро!$43:$43,Яро!$54:$54,Яро!$56:$58,Яро!$64:$65,Яро!$74:$74,Яро!$81:$83,Яро!$86:$89,Яро!$91:$93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02.xml><?xml version="1.0" encoding="utf-8"?>
<revisions xmlns="http://schemas.openxmlformats.org/spreadsheetml/2006/main" xmlns:r="http://schemas.openxmlformats.org/officeDocument/2006/relationships">
  <rcc rId="38248" sId="15" numFmtId="4">
    <oc r="D6">
      <v>7.9203799999999998</v>
    </oc>
    <nc r="D6">
      <v>12.276439999999999</v>
    </nc>
  </rcc>
  <rcc rId="38249" sId="15" numFmtId="4">
    <oc r="D8">
      <v>41.950220000000002</v>
    </oc>
    <nc r="D8">
      <v>56.56765</v>
    </nc>
  </rcc>
  <rcc rId="38250" sId="15" numFmtId="4">
    <oc r="D9">
      <v>0.29310000000000003</v>
    </oc>
    <nc r="D9">
      <v>0.41291</v>
    </nc>
  </rcc>
  <rcc rId="38251" sId="15" numFmtId="4">
    <oc r="D10">
      <v>61.507689999999997</v>
    </oc>
    <nc r="D10">
      <v>80.408299999999997</v>
    </nc>
  </rcc>
  <rcc rId="38252" sId="15" numFmtId="4">
    <oc r="D11">
      <v>-8.2561199999999992</v>
    </oc>
    <nc r="D11">
      <v>-11.69238</v>
    </nc>
  </rcc>
  <rcc rId="38253" sId="15" numFmtId="4">
    <oc r="D15">
      <v>1.1193200000000001</v>
    </oc>
    <nc r="D15">
      <v>1.6997899999999999</v>
    </nc>
  </rcc>
  <rcc rId="38254" sId="15" numFmtId="4">
    <oc r="D16">
      <v>12.895670000000001</v>
    </oc>
    <nc r="D16">
      <v>20.7211</v>
    </nc>
  </rcc>
  <rcc rId="38255" sId="15" numFmtId="4">
    <oc r="D28">
      <v>6.5027999999999997</v>
    </oc>
    <nc r="D28">
      <v>8.6704000000000008</v>
    </nc>
  </rcc>
  <rcc rId="38256" sId="15" numFmtId="4">
    <oc r="D42">
      <v>336.97500000000002</v>
    </oc>
    <nc r="D42">
      <v>449.3</v>
    </nc>
  </rcc>
  <rcc rId="38257" sId="15" numFmtId="4">
    <oc r="D43">
      <v>72.5</v>
    </oc>
    <nc r="D43">
      <v>145</v>
    </nc>
  </rcc>
  <rcc rId="38258" sId="15" numFmtId="4">
    <oc r="D44">
      <v>87.012</v>
    </oc>
    <nc r="D44">
      <v>173.25200000000001</v>
    </nc>
  </rcc>
  <rcc rId="38259" sId="15" numFmtId="4">
    <oc r="D45">
      <v>22.251000000000001</v>
    </oc>
    <nc r="D45">
      <v>29.776</v>
    </nc>
  </rcc>
  <rcc rId="38260" sId="15">
    <oc r="G51">
      <f>3894.63312-C51</f>
    </oc>
    <nc r="G51"/>
  </rcc>
  <rcc rId="38261" sId="15">
    <oc r="H51">
      <f>742.77387-D51</f>
    </oc>
    <nc r="H51"/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PrintArea" hidden="1" oldHidden="1">
    <formula>Шать!$A$1:$F$101</formula>
    <oldFormula>Шать!$A$1:$F$101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Юнг!$19:$24,Юнг!$38:$38,Юнг!$45:$49,Юнг!$56:$56,Юнг!$58:$60,Юнг!$66:$67,Юнг!$77:$78,Юнг!$82:$86,Юнг!$89:$96,Юнг!$142:$142</formula>
    <oldFormula>Юнг!$19:$24,Юнг!$38:$38,Юнг!$45:$49,Юнг!$56:$56,Юнг!$58:$60,Юнг!$66:$67,Юнг!$77:$78,Юнг!$82:$86,Юнг!$89:$96,Юнг!$142:$142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Яра!$19:$24,Яра!$46:$46,Яра!$48:$51,Яра!$58:$58,Яра!$60:$62,Яра!$68:$69,Яра!$79:$80,Яра!$84:$88,Яра!$91:$98,Яра!$143:$143</formula>
    <oldFormula>Яра!$19:$24,Яра!$46:$46,Яра!$48:$51,Яра!$58:$58,Яра!$60:$62,Яра!$68:$69,Яра!$79:$80,Яра!$84:$88,Яра!$91:$98,Яра!$143:$143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Яро!$19:$24,Яро!$28:$28,Яро!$34:$36,Яро!$43:$43,Яро!$46:$47,Яро!$54:$54,Яро!$56:$58,Яро!$64:$65,Яро!$75:$75,Яро!$80:$84,Яро!$87:$90,Яро!$92:$94</formula>
    <oldFormula>Яро!$19:$24,Яро!$28:$28,Яро!$34:$36,Яро!$43:$43,Яро!$46:$47,Яро!$54:$54,Яро!$56:$58,Яро!$64:$65,Яро!$75:$75,Яро!$80:$84,Яро!$87:$90,Яро!$92:$94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021.xml><?xml version="1.0" encoding="utf-8"?>
<revisions xmlns="http://schemas.openxmlformats.org/spreadsheetml/2006/main" xmlns:r="http://schemas.openxmlformats.org/officeDocument/2006/relationships">
  <rcc rId="31873" sId="18" numFmtId="4">
    <oc r="D16">
      <v>12.0219</v>
    </oc>
    <nc r="D16">
      <v>60.560830000000003</v>
    </nc>
  </rcc>
  <rcc rId="31874" sId="18" numFmtId="4">
    <oc r="D18">
      <v>0.52</v>
    </oc>
    <nc r="D18">
      <v>0.62</v>
    </nc>
  </rcc>
  <rcc rId="31875" sId="18" numFmtId="4">
    <oc r="D27">
      <v>0</v>
    </oc>
    <nc r="D27">
      <v>0.39300000000000002</v>
    </nc>
  </rcc>
  <rcc rId="31876" sId="18" numFmtId="4">
    <oc r="D36">
      <v>0</v>
    </oc>
    <nc r="D36">
      <v>38.87959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022.xml><?xml version="1.0" encoding="utf-8"?>
<revisions xmlns="http://schemas.openxmlformats.org/spreadsheetml/2006/main" xmlns:r="http://schemas.openxmlformats.org/officeDocument/2006/relationships">
  <rcc rId="34999" sId="3" numFmtId="4">
    <oc r="C113">
      <v>0</v>
    </oc>
    <nc r="C113">
      <v>8779.8098499999996</v>
    </nc>
  </rcc>
  <rfmt sheetId="3" sqref="C144">
    <dxf>
      <numFmt numFmtId="168" formatCode="0.00000"/>
    </dxf>
  </rfmt>
  <rfmt sheetId="3" sqref="C144">
    <dxf>
      <numFmt numFmtId="174" formatCode="0.00000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03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Справка!$33:$33,Справка!$35:$35</formula>
    <oldFormula>Справка!$33:$33,Справка!$35:$35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3031.xml><?xml version="1.0" encoding="utf-8"?>
<revisions xmlns="http://schemas.openxmlformats.org/spreadsheetml/2006/main" xmlns:r="http://schemas.openxmlformats.org/officeDocument/2006/relationships">
  <rcc rId="35119" sId="1" numFmtId="4">
    <oc r="C24">
      <v>558552.51428999996</v>
    </oc>
    <nc r="C24">
      <v>555237.09028999996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04.xml><?xml version="1.0" encoding="utf-8"?>
<revisions xmlns="http://schemas.openxmlformats.org/spreadsheetml/2006/main" xmlns:r="http://schemas.openxmlformats.org/officeDocument/2006/relationships">
  <rcc rId="36847" sId="2">
    <nc r="AY16">
      <f>Иль!C30</f>
    </nc>
  </rcc>
  <rcc rId="36848" sId="2">
    <nc r="AZ16">
      <f>Иль!D30</f>
    </nc>
  </rcc>
  <rcc rId="36849" sId="2">
    <nc r="AY23">
      <f>Хор!C29</f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Rows" hidden="1" oldHidden="1">
    <formula>Справка!$33:$33,Справка!$35:$35</formula>
    <oldFormula>Справка!$33:$33,Справка!$35:$35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B31C8DB7_3E78_4144_A6B5_8DE36DE63F0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10.xml><?xml version="1.0" encoding="utf-8"?>
<revisions xmlns="http://schemas.openxmlformats.org/spreadsheetml/2006/main" xmlns:r="http://schemas.openxmlformats.org/officeDocument/2006/relationships">
  <rfmt sheetId="18" sqref="C57:D89">
    <dxf>
      <numFmt numFmtId="165" formatCode="_(* #,##0.00_);_(* \(#,##0.00\);_(* &quot;-&quot;??_);_(@_)"/>
    </dxf>
  </rfmt>
  <rfmt sheetId="18" sqref="C57:D89">
    <dxf>
      <numFmt numFmtId="188" formatCode="_(* #,##0.000_);_(* \(#,##0.000\);_(* &quot;-&quot;??_);_(@_)"/>
    </dxf>
  </rfmt>
  <rfmt sheetId="18" sqref="C57:D89">
    <dxf>
      <numFmt numFmtId="176" formatCode="_(* #,##0.0000_);_(* \(#,##0.0000\);_(* &quot;-&quot;??_);_(@_)"/>
    </dxf>
  </rfmt>
  <rfmt sheetId="18" sqref="C57:D89">
    <dxf>
      <numFmt numFmtId="177" formatCode="_(* #,##0.00000_);_(* \(#,##0.00000\);_(* &quot;-&quot;??_);_(@_)"/>
    </dxf>
  </rfmt>
  <rfmt sheetId="18" sqref="C90:D90">
    <dxf>
      <numFmt numFmtId="165" formatCode="_(* #,##0.00_);_(* \(#,##0.00\);_(* &quot;-&quot;??_);_(@_)"/>
    </dxf>
  </rfmt>
  <rfmt sheetId="18" sqref="C90:D90">
    <dxf>
      <numFmt numFmtId="188" formatCode="_(* #,##0.000_);_(* \(#,##0.000\);_(* &quot;-&quot;??_);_(@_)"/>
    </dxf>
  </rfmt>
  <rfmt sheetId="18" sqref="C90:D90">
    <dxf>
      <numFmt numFmtId="176" formatCode="_(* #,##0.0000_);_(* \(#,##0.0000\);_(* &quot;-&quot;??_);_(@_)"/>
    </dxf>
  </rfmt>
  <rfmt sheetId="18" sqref="C90:D90">
    <dxf>
      <numFmt numFmtId="177" formatCode="_(* #,##0.00000_);_(* \(#,##0.00000\);_(* &quot;-&quot;??_);_(@_)"/>
    </dxf>
  </rfmt>
  <rcc rId="35590" sId="18" numFmtId="34">
    <oc r="C59">
      <v>1209.8699999999999</v>
    </oc>
    <nc r="C59">
      <v>1197.0999999999999</v>
    </nc>
  </rcc>
  <rcc rId="35591" sId="18" numFmtId="34">
    <oc r="D59">
      <v>261.14317999999997</v>
    </oc>
    <nc r="D59">
      <v>253.37368000000001</v>
    </nc>
  </rcc>
  <rfmt sheetId="18" sqref="C57:D99">
    <dxf>
      <numFmt numFmtId="176" formatCode="_(* #,##0.0000_);_(* \(#,##0.0000\);_(* &quot;-&quot;??_);_(@_)"/>
    </dxf>
  </rfmt>
  <rfmt sheetId="18" sqref="C57:D99">
    <dxf>
      <numFmt numFmtId="188" formatCode="_(* #,##0.000_);_(* \(#,##0.000\);_(* &quot;-&quot;??_);_(@_)"/>
    </dxf>
  </rfmt>
  <rfmt sheetId="18" sqref="C57:D99">
    <dxf>
      <numFmt numFmtId="165" formatCode="_(* #,##0.00_);_(* \(#,##0.00\);_(* &quot;-&quot;??_);_(@_)"/>
    </dxf>
  </rfmt>
  <rfmt sheetId="18" sqref="C57:D99">
    <dxf>
      <numFmt numFmtId="169" formatCode="_(* #,##0.0_);_(* \(#,##0.0\);_(* &quot;-&quot;??_);_(@_)"/>
    </dxf>
  </rfmt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Яра!$19:$24,Яра!$46:$46,Яра!$48:$51,Яра!$58:$58,Яра!$60:$61,Яра!$68:$69,Яра!$79:$80,Яра!$84:$88,Яра!$91:$98</formula>
    <oldFormula>Яра!$19:$24,Яра!$46:$46,Яра!$48:$51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32.xml><?xml version="1.0" encoding="utf-8"?>
<revisions xmlns="http://schemas.openxmlformats.org/spreadsheetml/2006/main" xmlns:r="http://schemas.openxmlformats.org/officeDocument/2006/relationships">
  <rcc rId="38928" sId="12">
    <oc r="A1" t="inlineStr">
      <is>
        <t xml:space="preserve">                     Анализ исполнения бюджета Тораевского сельского поселения на 01.04.2019 г.</t>
      </is>
    </oc>
    <nc r="A1" t="inlineStr">
      <is>
        <t xml:space="preserve">                     Анализ исполнения бюджета Тораевского сельского поселения на 01.05.2019 г.</t>
      </is>
    </nc>
  </rcc>
  <rcc rId="38929" sId="12">
    <oc r="D3" t="inlineStr">
      <is>
        <t>исполнен на 01.04.2019 г.</t>
      </is>
    </oc>
    <nc r="D3" t="inlineStr">
      <is>
        <t>исполнен на 01.05.2019 г.</t>
      </is>
    </nc>
  </rcc>
  <rcc rId="38930" sId="12">
    <oc r="D54" t="inlineStr">
      <is>
        <t>исполнено на 01.04.2019 г.</t>
      </is>
    </oc>
    <nc r="D54" t="inlineStr">
      <is>
        <t>исполнено на 01.05.2019 г.</t>
      </is>
    </nc>
  </rcc>
  <rcc rId="38931" sId="12" numFmtId="4">
    <oc r="D6">
      <v>23.969819999999999</v>
    </oc>
    <nc r="D6">
      <v>33.860190000000003</v>
    </nc>
  </rcc>
  <rcc rId="38932" sId="12" numFmtId="4">
    <oc r="D8">
      <v>93.624009999999998</v>
    </oc>
    <nc r="D8">
      <v>126.24697</v>
    </nc>
  </rcc>
  <rcc rId="38933" sId="12" numFmtId="4">
    <oc r="D9">
      <v>0.65415000000000001</v>
    </oc>
    <nc r="D9">
      <v>0.92152999999999996</v>
    </nc>
  </rcc>
  <rcc rId="38934" sId="12" numFmtId="4">
    <oc r="D10">
      <v>137.27211</v>
    </oc>
    <nc r="D10">
      <v>179.45428000000001</v>
    </nc>
  </rcc>
  <rcc rId="38935" sId="12" numFmtId="4">
    <oc r="D11">
      <v>-18.425920000000001</v>
    </oc>
    <nc r="D11">
      <v>-26.094909999999999</v>
    </nc>
  </rcc>
  <rcc rId="38936" sId="12" numFmtId="4">
    <oc r="D15">
      <v>6.0052199999999996</v>
    </oc>
    <nc r="D15">
      <v>6.4527599999999996</v>
    </nc>
  </rcc>
  <rcc rId="38937" sId="12" numFmtId="4">
    <oc r="D16">
      <v>39.313499999999998</v>
    </oc>
    <nc r="D16">
      <v>-93.734639999999999</v>
    </nc>
  </rcc>
  <rcc rId="38938" sId="12" numFmtId="4">
    <oc r="D18">
      <v>3.4</v>
    </oc>
    <nc r="D18">
      <v>3.9</v>
    </nc>
  </rcc>
  <rcc rId="38939" sId="12" numFmtId="4">
    <oc r="D27">
      <v>16.739999999999998</v>
    </oc>
    <nc r="D27">
      <v>203.77199999999999</v>
    </nc>
  </rcc>
  <rcc rId="38940" sId="12" numFmtId="4">
    <oc r="D28">
      <v>19.25976</v>
    </oc>
    <nc r="D28">
      <v>19.80311</v>
    </nc>
  </rcc>
  <rcc rId="38941" sId="12" numFmtId="4">
    <oc r="D30">
      <v>7.5841500000000002</v>
    </oc>
    <nc r="D30">
      <v>17.115490000000001</v>
    </nc>
  </rcc>
  <rcc rId="38942" sId="12" numFmtId="4">
    <oc r="D42">
      <v>356.15100000000001</v>
    </oc>
    <nc r="D42">
      <v>474.86799999999999</v>
    </nc>
  </rcc>
  <rcc rId="38943" sId="12" numFmtId="4">
    <oc r="D43">
      <v>65</v>
    </oc>
    <nc r="D43">
      <v>130</v>
    </nc>
  </rcc>
  <rcc rId="38944" sId="12" numFmtId="4">
    <oc r="D45">
      <v>44.499000000000002</v>
    </oc>
    <nc r="D45">
      <v>59.548999999999999</v>
    </nc>
  </rcc>
  <rcc rId="38945" sId="12" numFmtId="34">
    <oc r="D58">
      <v>177.29129</v>
    </oc>
    <nc r="D58">
      <v>310.24308000000002</v>
    </nc>
  </rcc>
  <rcc rId="38946" sId="12" numFmtId="34">
    <oc r="D65">
      <v>34.669980000000002</v>
    </oc>
    <nc r="D65">
      <v>59.543120000000002</v>
    </nc>
  </rcc>
  <rcc rId="38947" sId="12" numFmtId="34">
    <oc r="D74">
      <v>7.5841500000000002</v>
    </oc>
    <nc r="D74">
      <v>11.26989</v>
    </nc>
  </rcc>
  <rcc rId="38948" sId="12" numFmtId="34">
    <oc r="D76">
      <v>321.3338</v>
    </oc>
    <nc r="D76">
      <v>334.18711999999999</v>
    </nc>
  </rcc>
  <rcc rId="38949" sId="12" numFmtId="34">
    <oc r="D81">
      <v>13</v>
    </oc>
    <nc r="D81">
      <v>48.454979999999999</v>
    </nc>
  </rcc>
  <rcc rId="38950" sId="12" numFmtId="34">
    <oc r="D83">
      <v>305.38799999999998</v>
    </oc>
    <nc r="D83">
      <v>414.13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21.xml><?xml version="1.0" encoding="utf-8"?>
<revisions xmlns="http://schemas.openxmlformats.org/spreadsheetml/2006/main" xmlns:r="http://schemas.openxmlformats.org/officeDocument/2006/relationships">
  <rfmt sheetId="2" sqref="J14:J30">
    <dxf>
      <numFmt numFmtId="180" formatCode="#,##0.000000"/>
    </dxf>
  </rfmt>
  <rcc rId="34639" sId="2" odxf="1" dxf="1">
    <oc r="J31">
      <f>SUM(J14:J29)</f>
    </oc>
    <nc r="J31">
      <f>SUM(J14:J29)</f>
    </nc>
    <odxf>
      <numFmt numFmtId="180" formatCode="#,##0.000000"/>
    </odxf>
    <ndxf>
      <numFmt numFmtId="167" formatCode="#,##0.0"/>
    </ndxf>
  </rcc>
  <rfmt sheetId="2" sqref="I31:J31">
    <dxf>
      <numFmt numFmtId="4" formatCode="#,##0.00"/>
    </dxf>
  </rfmt>
  <rfmt sheetId="2" sqref="I31:J31">
    <dxf>
      <numFmt numFmtId="173" formatCode="#,##0.000"/>
    </dxf>
  </rfmt>
  <rfmt sheetId="2" sqref="I31:J31">
    <dxf>
      <numFmt numFmtId="183" formatCode="#,##0.0000"/>
    </dxf>
  </rfmt>
  <rfmt sheetId="2" sqref="I31:J31">
    <dxf>
      <numFmt numFmtId="172" formatCode="#,##0.00000"/>
    </dxf>
  </rfmt>
  <rfmt sheetId="2" sqref="I31:J31">
    <dxf>
      <numFmt numFmtId="180" formatCode="#,##0.000000"/>
    </dxf>
  </rfmt>
  <rfmt sheetId="2" sqref="J14:J29">
    <dxf>
      <fill>
        <patternFill>
          <bgColor rgb="FFFFFF00"/>
        </patternFill>
      </fill>
    </dxf>
  </rfmt>
  <rcc rId="34640" sId="8" numFmtId="4">
    <oc r="D6">
      <v>243.81619000000001</v>
    </oc>
    <nc r="D6">
      <v>244.09619000000001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3.xml><?xml version="1.0" encoding="utf-8"?>
<revisions xmlns="http://schemas.openxmlformats.org/spreadsheetml/2006/main" xmlns:r="http://schemas.openxmlformats.org/officeDocument/2006/relationships">
  <rcc rId="31906" sId="18" numFmtId="4">
    <oc r="D42">
      <v>154.4</v>
    </oc>
    <nc r="D42">
      <v>308.8</v>
    </nc>
  </rcc>
  <rcc rId="31907" sId="18" numFmtId="4">
    <oc r="C43">
      <v>200</v>
    </oc>
    <nc r="C43">
      <v>494</v>
    </nc>
  </rcc>
  <rcc rId="31908" sId="18" numFmtId="4">
    <oc r="C44">
      <v>1325.13</v>
    </oc>
    <nc r="C44">
      <v>3176.6280700000002</v>
    </nc>
  </rcc>
  <rcc rId="31909" sId="18" numFmtId="4">
    <oc r="C45">
      <v>180.101</v>
    </oc>
    <nc r="C45">
      <v>182.04300000000001</v>
    </nc>
  </rcc>
  <rcc rId="31910" sId="18" numFmtId="4">
    <oc r="D45">
      <v>14.833</v>
    </oc>
    <nc r="D45">
      <v>29.666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4.xml><?xml version="1.0" encoding="utf-8"?>
<revisions xmlns="http://schemas.openxmlformats.org/spreadsheetml/2006/main" xmlns:r="http://schemas.openxmlformats.org/officeDocument/2006/relationships">
  <rcc rId="36563" sId="12" numFmtId="34">
    <oc r="C58">
      <v>1056.2149999999999</v>
    </oc>
    <nc r="C58">
      <v>1079.2149999999999</v>
    </nc>
  </rcc>
  <rcc rId="36564" sId="12" numFmtId="34">
    <oc r="D58">
      <v>103.33208</v>
    </oc>
    <nc r="D58">
      <v>177.29129</v>
    </nc>
  </rcc>
  <rcc rId="36565" sId="12" numFmtId="34">
    <oc r="D65">
      <v>19.183409999999999</v>
    </oc>
    <nc r="D65">
      <v>34.669980000000002</v>
    </nc>
  </rcc>
  <rcc rId="36566" sId="12" numFmtId="34">
    <oc r="C70">
      <v>22</v>
    </oc>
    <nc r="C70">
      <v>36.79</v>
    </nc>
  </rcc>
  <rcc rId="36567" sId="12" numFmtId="34">
    <oc r="D70">
      <v>0</v>
    </oc>
    <nc r="D70">
      <v>34.79</v>
    </nc>
  </rcc>
  <rcc rId="36568" sId="12" numFmtId="34">
    <oc r="D74">
      <v>0</v>
    </oc>
    <nc r="D74">
      <v>7.5841500000000002</v>
    </nc>
  </rcc>
  <rcc rId="36569" sId="12" numFmtId="34">
    <oc r="C76">
      <v>3308.4516100000001</v>
    </oc>
    <nc r="C76">
      <v>4904.3754200000003</v>
    </nc>
  </rcc>
  <rcc rId="36570" sId="12" numFmtId="34">
    <oc r="D76">
      <v>38.559800000000003</v>
    </oc>
    <nc r="D76">
      <v>321.3338</v>
    </nc>
  </rcc>
  <rcc rId="36571" sId="12" numFmtId="34">
    <oc r="C77">
      <v>15</v>
    </oc>
    <nc r="C77">
      <v>20</v>
    </nc>
  </rcc>
  <rcc rId="36572" sId="12" numFmtId="34">
    <oc r="C81">
      <v>329.7285</v>
    </oc>
    <nc r="C81">
      <v>439.7285</v>
    </nc>
  </rcc>
  <rcc rId="36573" sId="12" numFmtId="34">
    <oc r="D81">
      <v>0</v>
    </oc>
    <nc r="D81">
      <v>13</v>
    </nc>
  </rcc>
  <rcc rId="36574" sId="12" numFmtId="34">
    <oc r="D83">
      <v>206.29599999999999</v>
    </oc>
    <nc r="D83">
      <v>305.38799999999998</v>
    </nc>
  </rcc>
  <rcc rId="36575" sId="12" numFmtId="34">
    <oc r="C98">
      <v>2</v>
    </oc>
    <nc r="C98">
      <v>5</v>
    </nc>
  </rcc>
  <rcc rId="36576" sId="12" numFmtId="34">
    <oc r="C74">
      <v>100</v>
    </oc>
    <nc r="C74">
      <v>155.00665000000001</v>
    </nc>
  </rcc>
  <rcc rId="36577" sId="12">
    <nc r="E71">
      <f>SUM(D71/C71*100)</f>
    </nc>
  </rcc>
  <rcc rId="36578" sId="12">
    <nc r="F71">
      <f>SUM(D71-C71)</f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Тор!$19:$24,Тор!$32:$39,Тор!$46:$47,Тор!$49:$50,Тор!$57:$57,Тор!$59:$60,Тор!$67:$68,Тор!$75:$75,Тор!$79:$80,Тор!$84:$96</formula>
    <oldFormula>Тор!$19:$24,Тор!$32:$39,Тор!$46:$47,Тор!$49:$50,Тор!$57:$57,Тор!$59:$60,Тор!$67:$68,Тор!$75:$75,Тор!$79:$80,Тор!$84:$96</oldFormula>
  </rdn>
  <rdn rId="0" localSheetId="13" customView="1" name="Z_1A52382B_3765_4E8C_903F_6B8919B7242E_.wvu.PrintArea" hidden="1" oldHidden="1">
    <formula>Хор!$A$1:$F$99</formula>
    <oldFormula>Хор!$A$1:$F$99</oldFormula>
  </rdn>
  <rdn rId="0" localSheetId="13" customView="1" name="Z_1A52382B_3765_4E8C_903F_6B8919B7242E_.wvu.Rows" hidden="1" oldHidden="1">
    <formula>Хор!$19:$24,Хор!$28:$36,Хор!$40:$40,Хор!$46:$48,Хор!$55:$55,Хор!$57:$59,Хор!$65:$66,Хор!$72:$72,Хор!$76:$77,Хор!$81:$85,Хор!$88:$95</formula>
    <oldFormula>Хор!$19:$24,Хор!$28:$36,Хор!$40:$40,Хор!$46:$48,Хор!$55:$55,Хор!$57:$59,Хор!$65:$66,Хор!$72:$72,Хор!$76:$77,Хор!$81:$85,Хор!$88:$95</oldFormula>
  </rdn>
  <rdn rId="0" localSheetId="14" customView="1" name="Z_1A52382B_3765_4E8C_903F_6B8919B7242E_.wvu.PrintArea" hidden="1" oldHidden="1">
    <formula>Чум!$A$1:$F$101</formula>
    <oldFormula>Чум!$A$1:$F$101</oldFormula>
  </rdn>
  <rdn rId="0" localSheetId="14" customView="1" name="Z_1A52382B_3765_4E8C_903F_6B8919B7242E_.wvu.Rows" hidden="1" oldHidden="1">
    <formula>Чум!$19:$21,Чум!$23:$24,Чум!$28:$28,Чум!$31:$39,Чум!$47:$49,Чум!$57:$57,Чум!$59:$60,Чум!$67:$68,Чум!$78:$79,Чум!$83:$87,Чум!$90:$97</formula>
    <oldFormula>Чум!$19:$21,Чум!$23:$24,Чум!$28:$28,Чум!$31:$39,Чум!$47:$49,Чум!$57:$57,Чум!$59:$60,Чум!$67:$68,Чум!$78:$79,Чум!$83:$87,Чум!$90:$97</oldFormula>
  </rdn>
  <rdn rId="0" localSheetId="15" customView="1" name="Z_1A52382B_3765_4E8C_903F_6B8919B7242E_.wvu.PrintArea" hidden="1" oldHidden="1">
    <formula>Шать!$A$1:$F$101</formula>
    <oldFormula>Шать!$A$1:$F$101</oldFormula>
  </rdn>
  <rdn rId="0" localSheetId="15" customView="1" name="Z_1A52382B_3765_4E8C_903F_6B8919B7242E_.wvu.Rows" hidden="1" oldHidden="1">
    <formula>Шать!$19:$24,Шать!$31:$39,Шать!$46:$49,Шать!$57:$57,Шать!$59:$60,Шать!$67:$68,Шать!$78:$79,Шать!$83:$87,Шать!$90:$97</formula>
    <oldFormula>Шать!$19:$24,Шать!$31:$39,Шать!$46:$49,Шать!$57:$57,Шать!$59:$60,Шать!$67:$68,Шать!$78:$79,Шать!$83:$87,Шать!$90:$97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Юнг!$19:$24,Юнг!$31:$38,Юнг!$45:$49,Юнг!$56:$56,Юнг!$58:$59,Юнг!$66:$67,Юнг!$77:$77,Юнг!$82:$86,Юнг!$89:$96</formula>
    <oldFormula>Юнг!$19:$24,Юнг!$31:$38,Юнг!$45:$49,Юнг!$56:$56,Юнг!$58:$59,Юнг!$66:$67,Юнг!$77:$77,Юнг!$82:$86,Юнг!$89:$96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Юсь!$20:$24,Юсь!$36:$36,Юсь!$40:$40,Юсь!$44:$49,Юсь!$58:$58,Юсь!$60:$61,Юсь!$68:$69,Юсь!$79:$80,Юсь!$84:$88,Юсь!$91:$98</formula>
    <oldFormula>Юсь!$20:$24,Юсь!$36:$36,Юсь!$40:$40,Юсь!$44:$49,Юсь!$58:$58,Юсь!$60:$61,Юсь!$68:$69,Юсь!$79:$80,Юсь!$84:$88,Юсь!$91:$98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Яра!$19:$24,Яра!$46:$46,Яра!$48:$51,Яра!$58:$58,Яра!$60:$61,Яра!$68:$69,Яра!$79:$80,Яра!$84:$88,Яра!$91:$98</formula>
    <oldFormula>Яра!$19:$24,Яра!$46:$46,Яра!$48:$51,Яра!$58:$58,Яра!$60:$61,Яра!$68:$69,Яра!$79:$80,Яра!$84:$88,Яра!$91:$98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341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Rows" hidden="1" oldHidden="1">
    <formula>Справка!$33:$33,Справка!$35:$35</formula>
    <oldFormula>Справка!$33:$33,Справка!$35:$35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B31C8DB7_3E78_4144_A6B5_8DE36DE63F0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3411.xml><?xml version="1.0" encoding="utf-8"?>
<revisions xmlns="http://schemas.openxmlformats.org/spreadsheetml/2006/main" xmlns:r="http://schemas.openxmlformats.org/officeDocument/2006/relationships">
  <rcc rId="36153" sId="7" numFmtId="34">
    <oc r="D57">
      <v>146.08004</v>
    </oc>
    <nc r="D57">
      <v>270.34656999999999</v>
    </nc>
  </rcc>
  <rcc rId="36154" sId="7" numFmtId="34">
    <oc r="D62">
      <v>5.05</v>
    </oc>
    <nc r="D62">
      <v>55.05</v>
    </nc>
  </rcc>
  <rcc rId="36155" sId="7" numFmtId="34">
    <oc r="D64">
      <v>18.68656</v>
    </oc>
    <nc r="D64">
      <v>33.37312</v>
    </nc>
  </rcc>
  <rcc rId="36156" sId="7" numFmtId="34">
    <oc r="D69">
      <v>0</v>
    </oc>
    <nc r="D69">
      <v>0.6</v>
    </nc>
  </rcc>
  <rcc rId="36157" sId="7" numFmtId="34">
    <oc r="C73">
      <v>280</v>
    </oc>
    <nc r="C73">
      <v>430</v>
    </nc>
  </rcc>
  <rcc rId="36158" sId="7" numFmtId="34">
    <oc r="D73">
      <v>0</v>
    </oc>
    <nc r="D73">
      <v>235.98462000000001</v>
    </nc>
  </rcc>
  <rcc rId="36159" sId="7" numFmtId="34">
    <oc r="C74">
      <v>2991.04639</v>
    </oc>
    <nc r="C74">
      <v>4084.89363</v>
    </nc>
  </rcc>
  <rcc rId="36160" sId="7" numFmtId="34">
    <oc r="D74">
      <v>35.88644</v>
    </oc>
    <nc r="D74">
      <v>312.64641</v>
    </nc>
  </rcc>
  <rcc rId="36161" sId="7" numFmtId="34">
    <oc r="C75">
      <v>50</v>
    </oc>
    <nc r="C75">
      <v>110</v>
    </nc>
  </rcc>
  <rcc rId="36162" sId="7" numFmtId="34">
    <oc r="D75">
      <v>0</v>
    </oc>
    <nc r="D75">
      <v>1.6</v>
    </nc>
  </rcc>
  <rcc rId="36163" sId="7" numFmtId="34">
    <oc r="C79">
      <v>843.45699999999999</v>
    </oc>
    <nc r="C79">
      <v>833.45699999999999</v>
    </nc>
  </rcc>
  <rcc rId="36164" sId="7" numFmtId="34">
    <oc r="D79">
      <v>134.98096000000001</v>
    </oc>
    <nc r="D79">
      <v>284.75353000000001</v>
    </nc>
  </rcc>
  <rcc rId="36165" sId="7" numFmtId="34">
    <oc r="C81">
      <v>2271.8000000000002</v>
    </oc>
    <nc r="C81">
      <v>2291.8000000000002</v>
    </nc>
  </rcc>
  <rcc rId="36166" sId="7" numFmtId="34">
    <oc r="D81">
      <v>378</v>
    </oc>
    <nc r="D81">
      <v>567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Rows" hidden="1" oldHidden="1">
    <formula>Справка!$33:$33,Справка!$35:$35</formula>
    <oldFormula>Справка!$33:$33,Справка!$35:$35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B31C8DB7_3E78_4144_A6B5_8DE36DE63F0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34111.xml><?xml version="1.0" encoding="utf-8"?>
<revisions xmlns="http://schemas.openxmlformats.org/spreadsheetml/2006/main" xmlns:r="http://schemas.openxmlformats.org/officeDocument/2006/relationships">
  <rcc rId="32360" sId="15" numFmtId="4">
    <oc r="D6">
      <v>0.57882</v>
    </oc>
    <nc r="D6">
      <v>4.4903399999999998</v>
    </nc>
  </rcc>
  <rcc rId="32361" sId="15" numFmtId="4">
    <oc r="D8">
      <v>16.173749999999998</v>
    </oc>
    <nc r="D8">
      <v>29.361139999999999</v>
    </nc>
  </rcc>
  <rcc rId="32362" sId="15" numFmtId="4">
    <oc r="D9">
      <v>0.12077</v>
    </oc>
    <nc r="D9">
      <v>0.19922999999999999</v>
    </nc>
  </rcc>
  <rcc rId="32363" sId="15" numFmtId="4">
    <oc r="D10">
      <v>23.540209999999998</v>
    </oc>
    <nc r="D10">
      <v>43.125689999999999</v>
    </nc>
  </rcc>
  <rcc rId="32364" sId="15" numFmtId="4">
    <oc r="D11">
      <v>-2.7989099999999998</v>
    </oc>
    <nc r="D11">
      <v>-6.3965699999999996</v>
    </nc>
  </rcc>
  <rcc rId="32365" sId="15" numFmtId="4">
    <oc r="D15">
      <v>0.75704000000000005</v>
    </oc>
    <nc r="D15">
      <v>1.0947899999999999</v>
    </nc>
  </rcc>
  <rcc rId="32366" sId="15" numFmtId="4">
    <oc r="D16">
      <v>5.1049899999999999</v>
    </oc>
    <nc r="D16">
      <v>10.140129999999999</v>
    </nc>
  </rcc>
  <rcc rId="32367" sId="15" numFmtId="4">
    <oc r="D18">
      <v>0.1</v>
    </oc>
    <nc r="D18">
      <v>0.6</v>
    </nc>
  </rcc>
  <rcc rId="32368" sId="15" numFmtId="4">
    <oc r="D28">
      <v>2.1676000000000002</v>
    </oc>
    <nc r="D28">
      <v>4.3352000000000004</v>
    </nc>
  </rcc>
  <rcc rId="32369" sId="15" numFmtId="4">
    <oc r="D42">
      <v>112.325</v>
    </oc>
    <nc r="D42">
      <v>224.65</v>
    </nc>
  </rcc>
  <rcc rId="32370" sId="15" numFmtId="4">
    <oc r="C44">
      <v>583.20000000000005</v>
    </oc>
    <nc r="C44">
      <v>858.75699999999995</v>
    </nc>
  </rcc>
  <rcc rId="32371" sId="15" numFmtId="4">
    <oc r="C45">
      <v>90.510999999999996</v>
    </oc>
    <nc r="C45">
      <v>91.480999999999995</v>
    </nc>
  </rcc>
  <rcc rId="32372" sId="15" numFmtId="4">
    <oc r="D45">
      <v>7.4169999999999998</v>
    </oc>
    <nc r="D45">
      <v>14.834</v>
    </nc>
  </rcc>
  <rcc rId="32373" sId="15" numFmtId="4">
    <oc r="C50">
      <v>0</v>
    </oc>
    <nc r="C50">
      <v>118.26078</v>
    </nc>
  </rcc>
  <rcc rId="32374" sId="15">
    <nc r="G51">
      <f>C51-3539.85078</f>
    </nc>
  </rcc>
  <rfmt sheetId="15" sqref="H51" start="0" length="0">
    <dxf>
      <numFmt numFmtId="177" formatCode="_(* #,##0.00000_);_(* \(#,##0.00000\);_(* &quot;-&quot;??_);_(@_)"/>
    </dxf>
  </rfmt>
  <rcc rId="32375" sId="15">
    <nc r="H51">
      <f>D51-344.49046</f>
    </nc>
  </rcc>
  <rcc rId="32376" sId="15" numFmtId="4">
    <oc r="C30">
      <v>0</v>
    </oc>
    <nc r="C30">
      <v>30</v>
    </nc>
  </rcc>
  <rcc rId="32377" sId="15" numFmtId="4">
    <oc r="D30">
      <v>0</v>
    </oc>
    <nc r="D30">
      <v>4.7791199999999998</v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Кад!$19:$24,Кад!$44:$44,Кад!$56:$56,Кад!$58:$59,Кад!$66:$67,Кад!$82:$84,Кад!$88:$95</formula>
    <oldFormula>Кад!$19:$24,Кад!$44:$44,Кад!$56:$56,Кад!$58:$59,Кад!$66:$67,Кад!$82:$84,Кад!$88:$95</oldFormula>
  </rdn>
  <rdn rId="0" localSheetId="8" customView="1" name="Z_1A52382B_3765_4E8C_903F_6B8919B7242E_.wvu.PrintArea" hidden="1" oldHidden="1">
    <formula>Мор!$A$1:$F$100</formula>
    <oldFormula>Мор!$A$1:$F$100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Мор!$17:$17,Мор!$21:$21,Мор!$23:$23,Мор!$37:$37,Мор!$44:$44,Мор!$46:$47,Мор!$49:$50,Мор!$57:$57,Мор!$59:$60,Мор!$67:$68,Мор!$82:$87,Мор!$90:$96</formula>
    <oldFormula>Мор!$17:$17,Мор!$21:$21,Мор!$23:$23,Мор!$37:$37,Мор!$44:$44,Мор!$46:$47,Мор!$49:$50,Мор!$57:$57,Мор!$59:$60,Мор!$67:$68,Мор!$82:$87,Мор!$90:$96</oldFormula>
  </rdn>
  <rdn rId="0" localSheetId="9" customView="1" name="Z_1A52382B_3765_4E8C_903F_6B8919B7242E_.wvu.Rows" hidden="1" oldHidden="1">
    <formula>Мос!$19:$24,Мос!$44:$44,Мос!$57:$57,Мос!$59:$60,Мос!$67:$68,Мос!$80:$80,Мос!$84:$88,Мос!$93:$98</formula>
    <oldFormula>Мос!$19:$24,Мос!$44:$44,Мос!$57:$57,Мос!$59:$60,Мос!$67:$68,Мос!$80:$80,Мос!$84:$88,Мос!$93:$98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Ори!$19:$24,Ори!$32:$32,Ори!$44:$44,Ори!$48:$50,Ори!$57:$57,Ори!$59:$60,Ори!$67:$68,Ори!$77:$78,Ори!$80:$80,Ори!$82:$86,Ори!$90:$97</formula>
    <oldFormula>Ори!$19:$24,Ори!$32:$32,Ори!$44:$44,Ори!$48:$50,Ори!$57:$57,Ори!$59:$60,Ори!$67:$68,Ори!$77:$78,Ори!$80:$80,Ори!$82:$86,Ори!$90:$97</oldFormula>
  </rdn>
  <rdn rId="0" localSheetId="11" customView="1" name="Z_1A52382B_3765_4E8C_903F_6B8919B7242E_.wvu.Rows" hidden="1" oldHidden="1">
    <formula>Сят!$19:$19,Сят!$45:$47,Сят!$57:$57,Сят!$59:$60,Сят!$67:$68,Сят!$82:$85,Сят!$89:$96</formula>
    <oldFormula>Сят!$19:$19,Сят!$45:$47,Сят!$57:$57,Сят!$59:$60,Сят!$67:$68,Сят!$82:$85,Сят!$89:$96</oldFormula>
  </rdn>
  <rdn rId="0" localSheetId="12" customView="1" name="Z_1A52382B_3765_4E8C_903F_6B8919B7242E_.wvu.PrintArea" hidden="1" oldHidden="1">
    <formula>Тор!$A$1:$F$101</formula>
    <oldFormula>Тор!$A$1:$F$101</oldFormula>
  </rdn>
  <rdn rId="0" localSheetId="12" customView="1" name="Z_1A52382B_3765_4E8C_903F_6B8919B7242E_.wvu.Rows" hidden="1" oldHidden="1">
    <formula>Тор!$19:$19,Тор!$50:$50,Тор!$57:$57,Тор!$59:$60,Тор!$67:$68,Тор!$74:$74,Тор!$78:$79,Тор!$82:$93</formula>
    <oldFormula>Тор!$19:$19,Тор!$50:$50,Тор!$57:$57,Тор!$59:$60,Тор!$67:$68,Тор!$74:$74,Тор!$78:$79,Тор!$82:$93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Хор!$19:$24,Хор!$32:$32,Хор!$40:$40,Хор!$44:$44,Хор!$55:$55,Хор!$57:$58,Хор!$65:$66,Хор!$80:$84,Хор!$87:$94</formula>
    <oldFormula>Хор!$19:$24,Хор!$32:$32,Хор!$40:$40,Хор!$44:$44,Хор!$55:$55,Хор!$57:$58,Хор!$65:$66,Хор!$80:$84,Хор!$87:$94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Шать!$19:$24,Шать!$46:$49,Шать!$57:$57,Шать!$59:$60,Шать!$67:$68,Шать!$77:$78,Шать!$82:$86,Шать!$89:$96</formula>
    <oldFormula>Шать!$19:$24,Шать!$47:$49,Шать!$57:$57,Шать!$59:$60,Шать!$67:$68,Шать!$77:$78,Шать!$82:$86,Шать!$89:$96</oldFormula>
  </rdn>
  <rdn rId="0" localSheetId="16" customView="1" name="Z_1A52382B_3765_4E8C_903F_6B8919B7242E_.wvu.PrintArea" hidden="1" oldHidden="1">
    <formula>Юнг!$A$1:$F$99</formula>
    <oldFormula>Юнг!$A$1:$F$99</oldFormula>
  </rdn>
  <rdn rId="0" localSheetId="16" customView="1" name="Z_1A52382B_3765_4E8C_903F_6B8919B7242E_.wvu.Rows" hidden="1" oldHidden="1">
    <formula>Юнг!$19:$24,Юнг!$32:$32,Юнг!$49:$49,Юнг!$56:$56,Юнг!$58:$59,Юнг!$66:$67,Юнг!$81:$85,Юнг!$88:$95</formula>
    <oldFormula>Юнг!$19:$24,Юнг!$32:$32,Юнг!$49:$49,Юнг!$56:$56,Юнг!$58:$59,Юнг!$66:$67,Юнг!$81:$85,Юнг!$88:$95</oldFormula>
  </rdn>
  <rdn rId="0" localSheetId="17" customView="1" name="Z_1A52382B_3765_4E8C_903F_6B8919B7242E_.wvu.Rows" hidden="1" oldHidden="1">
    <formula>Юсь!$20:$24,Юсь!$40:$40,Юсь!$44:$49,Юсь!$58:$58,Юсь!$60:$61,Юсь!$68:$69,Юсь!$78:$79,Юсь!$82:$87,Юсь!$90:$97</formula>
    <oldFormula>Юсь!$20:$24,Юсь!$40:$40,Юсь!$44:$49,Юсь!$58:$58,Юсь!$60:$61,Юсь!$68:$69,Юсь!$78:$79,Юсь!$82:$87,Юсь!$90:$97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3412.xml><?xml version="1.0" encoding="utf-8"?>
<revisions xmlns="http://schemas.openxmlformats.org/spreadsheetml/2006/main" xmlns:r="http://schemas.openxmlformats.org/officeDocument/2006/relationships"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Кад!$19:$24,Кад!$44:$44,Кад!$56:$56,Кад!$58:$59,Кад!$66:$67,Кад!$82:$84,Кад!$88:$95</formula>
    <oldFormula>Кад!$19:$24,Кад!$44:$44,Кад!$56:$56,Кад!$58:$59,Кад!$66:$67,Кад!$82:$84,Кад!$88:$95</oldFormula>
  </rdn>
  <rdn rId="0" localSheetId="8" customView="1" name="Z_1A52382B_3765_4E8C_903F_6B8919B7242E_.wvu.PrintArea" hidden="1" oldHidden="1">
    <formula>Мор!$A$1:$F$100</formula>
    <oldFormula>Мор!$A$1:$F$100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Мор!$17:$17,Мор!$21:$21,Мор!$23:$23,Мор!$37:$37,Мор!$44:$44,Мор!$46:$47,Мор!$49:$50,Мор!$57:$57,Мор!$59:$60,Мор!$67:$68,Мор!$82:$87,Мор!$90:$96</formula>
    <oldFormula>Мор!$17:$17,Мор!$21:$21,Мор!$23:$23,Мор!$37:$37,Мор!$44:$44,Мор!$46:$47,Мор!$49:$50,Мор!$57:$57,Мор!$59:$60,Мор!$67:$68,Мор!$82:$87,Мор!$90:$96</oldFormula>
  </rdn>
  <rdn rId="0" localSheetId="9" customView="1" name="Z_1A52382B_3765_4E8C_903F_6B8919B7242E_.wvu.Rows" hidden="1" oldHidden="1">
    <formula>Мос!$19:$24,Мос!$44:$44,Мос!$57:$57,Мос!$59:$60,Мос!$67:$68,Мос!$80:$80,Мос!$84:$88,Мос!$93:$98</formula>
    <oldFormula>Мос!$19:$24,Мос!$44:$44,Мос!$57:$57,Мос!$59:$60,Мос!$67:$68,Мос!$80:$80,Мос!$84:$88,Мос!$93:$98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Ори!$19:$24,Ори!$32:$32,Ори!$44:$44,Ори!$48:$50,Ори!$57:$57,Ори!$59:$60,Ори!$67:$68,Ори!$77:$78,Ори!$80:$80,Ори!$82:$86,Ори!$90:$97</formula>
    <oldFormula>Ори!$19:$24,Ори!$32:$32,Ори!$44:$44,Ори!$48:$50,Ори!$57:$57,Ори!$59:$60,Ори!$67:$68,Ори!$77:$78,Ори!$80:$80,Ори!$82:$86,Ори!$90:$97</oldFormula>
  </rdn>
  <rdn rId="0" localSheetId="11" customView="1" name="Z_1A52382B_3765_4E8C_903F_6B8919B7242E_.wvu.Rows" hidden="1" oldHidden="1">
    <formula>Сят!$19:$19,Сят!$45:$47,Сят!$57:$57,Сят!$59:$60,Сят!$67:$68,Сят!$82:$85,Сят!$89:$96</formula>
    <oldFormula>Сят!$19:$19,Сят!$45:$47,Сят!$57:$57,Сят!$59:$60,Сят!$67:$68,Сят!$82:$85,Сят!$89:$96</oldFormula>
  </rdn>
  <rdn rId="0" localSheetId="12" customView="1" name="Z_1A52382B_3765_4E8C_903F_6B8919B7242E_.wvu.PrintArea" hidden="1" oldHidden="1">
    <formula>Тор!$A$1:$F$101</formula>
    <oldFormula>Тор!$A$1:$F$101</oldFormula>
  </rdn>
  <rdn rId="0" localSheetId="12" customView="1" name="Z_1A52382B_3765_4E8C_903F_6B8919B7242E_.wvu.Rows" hidden="1" oldHidden="1">
    <formula>Тор!$19:$19,Тор!$50:$50,Тор!$57:$57,Тор!$59:$60,Тор!$67:$68,Тор!$74:$74,Тор!$78:$79,Тор!$82:$93</formula>
    <oldFormula>Тор!$19:$19,Тор!$50:$50,Тор!$57:$57,Тор!$59:$60,Тор!$67:$68,Тор!$74:$74,Тор!$78:$79,Тор!$82:$93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Хор!$19:$24,Хор!$32:$32,Хор!$40:$40,Хор!$44:$44,Хор!$55:$55,Хор!$57:$58,Хор!$65:$66,Хор!$80:$84,Хор!$87:$94</formula>
    <oldFormula>Хор!$19:$24,Хор!$32:$32,Хор!$40:$40,Хор!$44:$44,Хор!$55:$55,Хор!$57:$58,Хор!$65:$66,Хор!$80:$84,Хор!$87:$94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Юсь!$20:$24,Юсь!$40:$40,Юсь!$44:$49,Юсь!$58:$58,Юсь!$60:$61,Юсь!$68:$69,Юсь!$78:$79,Юсь!$82:$87,Юсь!$90:$97</formula>
    <oldFormula>Юсь!$20:$24,Юсь!$40:$40,Юсь!$44:$49,Юсь!$58:$58,Юсь!$60:$61,Юсь!$68:$69,Юсь!$78:$79,Юсь!$82:$87,Юсь!$90:$97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342.xml><?xml version="1.0" encoding="utf-8"?>
<revisions xmlns="http://schemas.openxmlformats.org/spreadsheetml/2006/main" xmlns:r="http://schemas.openxmlformats.org/officeDocument/2006/relationships">
  <rfmt sheetId="2" sqref="AB14:AB29">
    <dxf>
      <fill>
        <patternFill>
          <bgColor theme="0"/>
        </patternFill>
      </fill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5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5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511.xml><?xml version="1.0" encoding="utf-8"?>
<revisions xmlns="http://schemas.openxmlformats.org/spreadsheetml/2006/main" xmlns:r="http://schemas.openxmlformats.org/officeDocument/2006/relationships">
  <rcc rId="32940" sId="17" numFmtId="4">
    <oc r="D39">
      <v>252.417</v>
    </oc>
    <nc r="D39">
      <v>504.834</v>
    </nc>
  </rcc>
  <rcc rId="32941" sId="17" numFmtId="4">
    <oc r="D40">
      <v>504.834</v>
    </oc>
    <nc r="D40">
      <v>0</v>
    </nc>
  </rcc>
  <rcc rId="32942" sId="17" numFmtId="4">
    <oc r="C42">
      <v>1210.7</v>
    </oc>
    <nc r="C42">
      <v>1262.047</v>
    </nc>
  </rcc>
  <rcc rId="32943" sId="17" numFmtId="4">
    <oc r="C43">
      <v>180.715</v>
    </oc>
    <nc r="C43">
      <v>182.65700000000001</v>
    </nc>
  </rcc>
  <rcc rId="32944" sId="17" numFmtId="4">
    <oc r="D43">
      <v>14.833</v>
    </oc>
    <nc r="D43">
      <v>29.666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6.xml><?xml version="1.0" encoding="utf-8"?>
<revisions xmlns="http://schemas.openxmlformats.org/spreadsheetml/2006/main" xmlns:r="http://schemas.openxmlformats.org/officeDocument/2006/relationships">
  <rcc rId="37727" sId="5">
    <oc r="A1" t="inlineStr">
      <is>
        <t xml:space="preserve">                     Анализ исполнения бюджета Большесундырского сельского поселения на 01.04.2019 г.</t>
      </is>
    </oc>
    <nc r="A1" t="inlineStr">
      <is>
        <t xml:space="preserve">                     Анализ исполнения бюджета Большесундырского сельского поселения на 01.05.2019 г.</t>
      </is>
    </nc>
  </rcc>
  <rcc rId="37728" sId="5">
    <oc r="D3" t="inlineStr">
      <is>
        <t>исполнен на 01.04.2019 г.</t>
      </is>
    </oc>
    <nc r="D3" t="inlineStr">
      <is>
        <t>исполнен на 01.05.2019 г.</t>
      </is>
    </nc>
  </rcc>
  <rcc rId="37729" sId="5">
    <oc r="D55" t="inlineStr">
      <is>
        <t>исполнено на 01.04.2019 г</t>
      </is>
    </oc>
    <nc r="D55" t="inlineStr">
      <is>
        <t>исполнено на 01.05.2019 г</t>
      </is>
    </nc>
  </rcc>
  <rcc rId="37730" sId="5" numFmtId="4">
    <oc r="D6">
      <v>88.660749999999993</v>
    </oc>
    <nc r="D6">
      <v>117.79398</v>
    </nc>
  </rcc>
  <rcc rId="37731" sId="5" numFmtId="4">
    <oc r="D8">
      <v>81.955730000000003</v>
    </oc>
    <nc r="D8">
      <v>110.51293</v>
    </nc>
  </rcc>
  <rcc rId="37732" sId="5" numFmtId="4">
    <oc r="D9">
      <v>0.57262999999999997</v>
    </oc>
    <nc r="D9">
      <v>0.80669000000000002</v>
    </nc>
  </rcc>
  <rcc rId="37733" sId="5" numFmtId="4">
    <oc r="D10">
      <v>120.16401</v>
    </oc>
    <nc r="D10">
      <v>157.08904999999999</v>
    </nc>
  </rcc>
  <rcc rId="37734" sId="5" numFmtId="4">
    <oc r="D11">
      <v>-16.12951</v>
    </oc>
    <nc r="D11">
      <v>-22.84272</v>
    </nc>
  </rcc>
  <rcc rId="37735" sId="5" numFmtId="4">
    <oc r="D13">
      <v>24.728909999999999</v>
    </oc>
    <nc r="D13">
      <v>36.720509999999997</v>
    </nc>
  </rcc>
  <rcc rId="37736" sId="5" numFmtId="4">
    <oc r="D15">
      <v>9.1833299999999998</v>
    </oc>
    <nc r="D15">
      <v>27.99108</v>
    </nc>
  </rcc>
  <rcc rId="37737" sId="5" numFmtId="4">
    <oc r="D18">
      <v>0.69</v>
    </oc>
    <nc r="D18">
      <v>5.0199999999999996</v>
    </nc>
  </rcc>
  <rcc rId="37738" sId="5" numFmtId="4">
    <oc r="D28">
      <v>0</v>
    </oc>
    <nc r="D28">
      <v>27.2</v>
    </nc>
  </rcc>
  <rcc rId="37739" sId="5" numFmtId="4">
    <oc r="D29">
      <v>39.911000000000001</v>
    </oc>
    <nc r="D29">
      <v>16.597999999999999</v>
    </nc>
  </rcc>
  <rcc rId="37740" sId="5" numFmtId="4">
    <oc r="D31">
      <v>93.559849999999997</v>
    </oc>
    <nc r="D31">
      <v>101.69374999999999</v>
    </nc>
  </rcc>
  <rcc rId="37741" sId="5" numFmtId="4">
    <oc r="D42">
      <v>750.6</v>
    </oc>
    <nc r="D42">
      <v>100.8</v>
    </nc>
  </rcc>
  <rcc rId="37742" sId="5" numFmtId="4">
    <oc r="D44">
      <v>336.74200000000002</v>
    </oc>
    <nc r="D44">
      <v>538.78700000000003</v>
    </nc>
  </rcc>
  <rcc rId="37743" sId="5" numFmtId="4">
    <oc r="D46">
      <v>44.499000000000002</v>
    </oc>
    <nc r="D46">
      <v>59.548999999999999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61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Справка!$33:$34</formula>
    <oldFormula>Справка!$33:$34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36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62.xml><?xml version="1.0" encoding="utf-8"?>
<revisions xmlns="http://schemas.openxmlformats.org/spreadsheetml/2006/main" xmlns:r="http://schemas.openxmlformats.org/officeDocument/2006/relationships">
  <rcc rId="37150" sId="2" numFmtId="4">
    <oc r="DG34">
      <v>119090.27473</v>
    </oc>
    <nc r="DG34">
      <v>143039.30645</v>
    </nc>
  </rcc>
  <rcc rId="37151" sId="2" numFmtId="4">
    <oc r="DH34">
      <v>7802.1563299999998</v>
    </oc>
    <nc r="DH34">
      <v>16688.464489999998</v>
    </nc>
  </rcc>
  <rcc rId="37152" sId="2" numFmtId="4">
    <oc r="DJ34">
      <v>21912.312000000002</v>
    </oc>
    <nc r="DJ34">
      <v>21939.312000000002</v>
    </nc>
  </rcc>
  <rcc rId="37153" sId="2" numFmtId="4">
    <oc r="DK34">
      <v>2270.8410699999999</v>
    </oc>
    <nc r="DK34">
      <v>4299.9396800000004</v>
    </nc>
  </rcc>
  <rcc rId="37154" sId="2" numFmtId="4">
    <oc r="DM34">
      <v>21499.286</v>
    </oc>
    <nc r="DM34">
      <v>21522.286</v>
    </nc>
  </rcc>
  <rcc rId="37155" sId="2" numFmtId="4">
    <oc r="DN34">
      <v>2193.89057</v>
    </oc>
    <nc r="DN34">
      <v>4001.9811100000002</v>
    </nc>
  </rcc>
  <rcc rId="37156" sId="2" numFmtId="4">
    <oc r="DV34">
      <v>333.02600000000001</v>
    </oc>
    <nc r="DV34">
      <v>337.02600000000001</v>
    </nc>
  </rcc>
  <rcc rId="37157" sId="2" numFmtId="4">
    <oc r="DW34">
      <v>76.950500000000005</v>
    </oc>
    <nc r="DW34">
      <v>297.95857000000001</v>
    </nc>
  </rcc>
  <rcc rId="37158" sId="2" numFmtId="4">
    <oc r="DZ34">
      <v>225.51338000000001</v>
    </oc>
    <nc r="DZ34">
      <v>406.63159999999999</v>
    </nc>
  </rcc>
  <rcc rId="37159" sId="2" numFmtId="4">
    <oc r="EB34">
      <v>161.375</v>
    </oc>
    <nc r="EB34">
      <v>180.88</v>
    </nc>
  </rcc>
  <rcc rId="37160" sId="2" numFmtId="4">
    <oc r="EC34">
      <v>8.1604299999999999</v>
    </oc>
    <nc r="EC34">
      <v>44.750430000000001</v>
    </nc>
  </rcc>
  <rcc rId="37161" sId="2" numFmtId="4">
    <oc r="EE34">
      <v>41781.398359999999</v>
    </oc>
    <nc r="EE34">
      <v>59616.744010000002</v>
    </nc>
  </rcc>
  <rcc rId="37162" sId="2" numFmtId="4">
    <oc r="EF34">
      <v>650.97672</v>
    </oc>
    <nc r="EF34">
      <v>4133.2453599999999</v>
    </nc>
  </rcc>
  <rcc rId="37163" sId="2" numFmtId="4">
    <oc r="EH34">
      <v>10259.247890000001</v>
    </oc>
    <nc r="EH34">
      <v>20854.551800000001</v>
    </nc>
  </rcc>
  <rcc rId="37164" sId="2" numFmtId="4">
    <oc r="EI34">
      <v>705.98099999999999</v>
    </oc>
    <nc r="EI34">
      <v>1745.85563</v>
    </nc>
  </rcc>
  <rcc rId="37165" sId="2" numFmtId="4">
    <oc r="EK34">
      <v>33874.519630000003</v>
    </oc>
    <nc r="EK34">
      <v>38112.206639999997</v>
    </nc>
  </rcc>
  <rcc rId="37166" sId="2" numFmtId="4">
    <oc r="EL34">
      <v>3926.1297300000001</v>
    </oc>
    <nc r="EL34">
      <v>6005.1757900000002</v>
    </nc>
  </rcc>
  <rcc rId="37167" sId="2" numFmtId="4">
    <oc r="EQ34">
      <v>162.91200000000001</v>
    </oc>
    <nc r="EQ34">
      <v>176.91200000000001</v>
    </nc>
  </rcc>
  <rcc rId="37168" sId="2" numFmtId="4">
    <oc r="ER34">
      <v>14.554</v>
    </oc>
    <nc r="ER34">
      <v>52.866</v>
    </nc>
  </rcc>
  <rcc rId="37169" sId="2" numFmtId="4">
    <oc r="EW34">
      <v>-4759.1599699999997</v>
    </oc>
    <nc r="EW34">
      <v>-7596.2977600000004</v>
    </nc>
  </rcc>
  <rcc rId="37170" sId="2" numFmtId="4">
    <oc r="EX34">
      <v>2114.7462700000001</v>
    </oc>
    <nc r="EX34">
      <v>2213.9567400000001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621.xml><?xml version="1.0" encoding="utf-8"?>
<revisions xmlns="http://schemas.openxmlformats.org/spreadsheetml/2006/main" xmlns:r="http://schemas.openxmlformats.org/officeDocument/2006/relationships">
  <rfmt sheetId="2" sqref="M31">
    <dxf>
      <numFmt numFmtId="4" formatCode="#,##0.00"/>
    </dxf>
  </rfmt>
  <rfmt sheetId="2" sqref="M31">
    <dxf>
      <numFmt numFmtId="173" formatCode="#,##0.000"/>
    </dxf>
  </rfmt>
  <rfmt sheetId="2" sqref="M31">
    <dxf>
      <numFmt numFmtId="183" formatCode="#,##0.0000"/>
    </dxf>
  </rfmt>
  <rfmt sheetId="2" sqref="M31">
    <dxf>
      <numFmt numFmtId="172" formatCode="#,##0.0000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7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71.xml><?xml version="1.0" encoding="utf-8"?>
<revisions xmlns="http://schemas.openxmlformats.org/spreadsheetml/2006/main" xmlns:r="http://schemas.openxmlformats.org/officeDocument/2006/relationships">
  <rcc rId="37774" sId="9">
    <oc r="A1" t="inlineStr">
      <is>
        <t xml:space="preserve">                     Анализ исполнения бюджета Москакасинского сельского поселения на 01.04.2019 г.</t>
      </is>
    </oc>
    <nc r="A1" t="inlineStr">
      <is>
        <t xml:space="preserve">                     Анализ исполнения бюджета Москакасинского сельского поселения на 01.05.2019 г.</t>
      </is>
    </nc>
  </rcc>
  <rcc rId="37775" sId="9">
    <oc r="D3" t="inlineStr">
      <is>
        <t>исполнен на 01.04.2019 г.</t>
      </is>
    </oc>
    <nc r="D3" t="inlineStr">
      <is>
        <t>исполнен на 01.05.2019 г.</t>
      </is>
    </nc>
  </rcc>
  <rcc rId="37776" sId="9">
    <oc r="D55" t="inlineStr">
      <is>
        <t>исполнено на 01.04.2019 г.</t>
      </is>
    </oc>
    <nc r="D55" t="inlineStr">
      <is>
        <t>исполнено на 01.05.2019 г.</t>
      </is>
    </nc>
  </rcc>
  <rcc rId="37777" sId="9" numFmtId="4">
    <oc r="D6">
      <v>337.89508999999998</v>
    </oc>
    <nc r="D6">
      <v>471.82778000000002</v>
    </nc>
  </rcc>
  <rcc rId="37778" sId="9" numFmtId="4">
    <oc r="D8">
      <v>85.845150000000004</v>
    </oc>
    <nc r="D8">
      <v>115.75762</v>
    </nc>
  </rcc>
  <rcc rId="37779" sId="9" numFmtId="4">
    <oc r="D9">
      <v>0.5998</v>
    </oc>
    <nc r="D9">
      <v>0.84497</v>
    </nc>
  </rcc>
  <rcc rId="37780" sId="9" numFmtId="4">
    <oc r="D10">
      <v>125.86671</v>
    </oc>
    <nc r="D10">
      <v>164.54411999999999</v>
    </nc>
  </rcc>
  <rcc rId="37781" sId="9" numFmtId="4">
    <oc r="D11">
      <v>-16.89499</v>
    </oc>
    <nc r="D11">
      <v>-23.9268</v>
    </nc>
  </rcc>
  <rcc rId="37782" sId="9" numFmtId="4">
    <oc r="D15">
      <v>6.9102199999999998</v>
    </oc>
    <nc r="D15">
      <v>10.32643</v>
    </nc>
  </rcc>
  <rcc rId="37783" sId="9" numFmtId="4">
    <oc r="D16">
      <v>167.86416</v>
    </oc>
    <nc r="D16">
      <v>378.00630999999998</v>
    </nc>
  </rcc>
  <rcc rId="37784" sId="9" numFmtId="4">
    <oc r="D18">
      <v>0.3</v>
    </oc>
    <nc r="D18">
      <v>3.4</v>
    </nc>
  </rcc>
  <rcc rId="37785" sId="9" numFmtId="4">
    <oc r="D43">
      <v>87.915000000000006</v>
    </oc>
    <nc r="D43">
      <v>175.83</v>
    </nc>
  </rcc>
  <rcc rId="37786" sId="9" numFmtId="4">
    <oc r="D45">
      <v>44.499000000000002</v>
    </oc>
    <nc r="D45">
      <v>60.1464</v>
    </nc>
  </rcc>
  <rcc rId="37787" sId="9" numFmtId="4">
    <oc r="D51">
      <v>0</v>
    </oc>
    <nc r="D51">
      <v>887.46906999999999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7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7111.xml><?xml version="1.0" encoding="utf-8"?>
<revisions xmlns="http://schemas.openxmlformats.org/spreadsheetml/2006/main" xmlns:r="http://schemas.openxmlformats.org/officeDocument/2006/relationships"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Мор!$A$1:$F$100</formula>
    <oldFormula>Мор!$A$1:$F$100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Мор!$17:$17,Мор!$21:$21,Мор!$23:$23,Мор!$37:$37,Мор!$44:$44,Мор!$46:$47,Мор!$49:$50,Мор!$57:$57,Мор!$59:$60,Мор!$67:$68,Мор!$82:$87,Мор!$90:$96</formula>
    <oldFormula>Мор!$17:$17,Мор!$21:$21,Мор!$23:$23,Мор!$37:$37,Мор!$44:$44,Мор!$46:$47,Мор!$49:$50,Мор!$57:$57,Мор!$59:$60,Мор!$67:$68,Мор!$82:$87,Мор!$90:$96</oldFormula>
  </rdn>
  <rdn rId="0" localSheetId="9" customView="1" name="Z_1A52382B_3765_4E8C_903F_6B8919B7242E_.wvu.Rows" hidden="1" oldHidden="1">
    <formula>Мос!$19:$24,Мос!$44:$44,Мос!$57:$57,Мос!$59:$60,Мос!$67:$68,Мос!$80:$80,Мос!$84:$88,Мос!$93:$98</formula>
    <oldFormula>Мос!$19:$24,Мос!$44:$44,Мос!$57:$57,Мос!$59:$60,Мос!$67:$68,Мос!$80:$80,Мос!$84:$88,Мос!$93:$98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37112.xml><?xml version="1.0" encoding="utf-8"?>
<revisions xmlns="http://schemas.openxmlformats.org/spreadsheetml/2006/main" xmlns:r="http://schemas.openxmlformats.org/officeDocument/2006/relationships">
  <rcc rId="33957" sId="3" numFmtId="4">
    <oc r="C6">
      <v>109007.3</v>
    </oc>
    <nc r="C6">
      <v>110707.3</v>
    </nc>
  </rcc>
  <rcc rId="33958" sId="3" numFmtId="4">
    <oc r="D6">
      <v>5700.8595400000004</v>
    </oc>
    <nc r="D6">
      <v>15114.433499999999</v>
    </nc>
  </rcc>
  <rcc rId="33959" sId="3" numFmtId="4">
    <oc r="D8">
      <v>218.29213999999999</v>
    </oc>
    <nc r="D8">
      <v>396.27823000000001</v>
    </nc>
  </rcc>
  <rcc rId="33960" sId="3" numFmtId="4">
    <oc r="D9">
      <v>1.6299699999999999</v>
    </oc>
    <nc r="D9">
      <v>2.6888700000000001</v>
    </nc>
  </rcc>
  <rcc rId="33961" sId="3" numFmtId="4">
    <oc r="D10">
      <v>317.71478000000002</v>
    </oc>
    <nc r="D10">
      <v>582.05391999999995</v>
    </nc>
  </rcc>
  <rcc rId="33962" sId="3" numFmtId="4">
    <oc r="D11">
      <v>-37.775910000000003</v>
    </oc>
    <nc r="D11">
      <v>-86.332329999999999</v>
    </nc>
  </rcc>
  <rcc rId="33963" sId="3" numFmtId="4">
    <oc r="D13">
      <v>2318.9210800000001</v>
    </oc>
    <nc r="D13">
      <v>2371.3861299999999</v>
    </nc>
  </rcc>
  <rcc rId="33964" sId="3" numFmtId="4">
    <oc r="D14">
      <v>22.935500000000001</v>
    </oc>
    <nc r="D14">
      <v>53.40316</v>
    </nc>
  </rcc>
  <rcc rId="33965" sId="3" numFmtId="4">
    <oc r="D15">
      <v>31.357340000000001</v>
    </oc>
    <nc r="D15">
      <v>39.706339999999997</v>
    </nc>
  </rcc>
  <rcc rId="33966" sId="3" numFmtId="4">
    <oc r="D19">
      <v>81.532089999999997</v>
    </oc>
    <nc r="D19">
      <v>147.60910999999999</v>
    </nc>
  </rcc>
  <rcc rId="33967" sId="3" numFmtId="4">
    <oc r="C22">
      <v>500</v>
    </oc>
    <nc r="C22">
      <v>1000</v>
    </nc>
  </rcc>
  <rcc rId="33968" sId="3" numFmtId="4">
    <oc r="D22">
      <v>0</v>
    </oc>
    <nc r="D22">
      <v>12.452159999999999</v>
    </nc>
  </rcc>
  <rcc rId="33969" sId="3" numFmtId="4">
    <oc r="D24">
      <v>81.042810000000003</v>
    </oc>
    <nc r="D24">
      <v>260.50499000000002</v>
    </nc>
  </rcc>
  <rcc rId="33970" sId="3" numFmtId="4">
    <oc r="C26">
      <v>600</v>
    </oc>
    <nc r="C26">
      <v>800</v>
    </nc>
  </rcc>
  <rcc rId="33971" sId="3" numFmtId="4">
    <oc r="D26">
      <v>54.151000000000003</v>
    </oc>
    <nc r="D26">
      <v>105.49683</v>
    </nc>
  </rcc>
  <rcc rId="33972" sId="3" numFmtId="4">
    <oc r="C37">
      <v>250</v>
    </oc>
    <nc r="C37">
      <v>350</v>
    </nc>
  </rcc>
  <rcc rId="33973" sId="3" numFmtId="4">
    <oc r="D37">
      <v>19.230180000000001</v>
    </oc>
    <nc r="D37">
      <v>44.519219999999997</v>
    </nc>
  </rcc>
  <rcc rId="33974" sId="3" numFmtId="4">
    <oc r="D41">
      <v>25.274999999999999</v>
    </oc>
    <nc r="D41">
      <v>60.484180000000002</v>
    </nc>
  </rcc>
  <rcc rId="33975" sId="3" numFmtId="4">
    <oc r="C43">
      <v>500</v>
    </oc>
    <nc r="C43">
      <v>600</v>
    </nc>
  </rcc>
  <rcc rId="33976" sId="3" numFmtId="4">
    <oc r="D43">
      <v>15.76685</v>
    </oc>
    <nc r="D43">
      <v>236.94937999999999</v>
    </nc>
  </rcc>
  <rcc rId="33977" sId="3" numFmtId="4">
    <oc r="D45">
      <v>1.2607900000000001</v>
    </oc>
    <nc r="D45">
      <v>13.960789999999999</v>
    </nc>
  </rcc>
  <rcc rId="33978" sId="3" numFmtId="4">
    <oc r="D49">
      <v>23.686859999999999</v>
    </oc>
    <nc r="D49">
      <v>143.24653000000001</v>
    </nc>
  </rcc>
  <rcc rId="33979" sId="3" numFmtId="4">
    <oc r="D53">
      <v>1.1499999999999999</v>
    </oc>
    <nc r="D53">
      <v>2.625</v>
    </nc>
  </rcc>
  <rcc rId="33980" sId="3" numFmtId="4">
    <oc r="D54">
      <v>0.52500000000000002</v>
    </oc>
    <nc r="D54">
      <v>2.125</v>
    </nc>
  </rcc>
  <rcc rId="33981" sId="3" numFmtId="4">
    <oc r="D58">
      <v>31</v>
    </oc>
    <nc r="D58">
      <v>38.500999999999998</v>
    </nc>
  </rcc>
  <rcc rId="33982" sId="3" numFmtId="4">
    <oc r="D61">
      <v>20.426500000000001</v>
    </oc>
    <nc r="D61">
      <v>39.926499999999997</v>
    </nc>
  </rcc>
  <rcc rId="33983" sId="3" numFmtId="4">
    <oc r="D63">
      <v>14.05</v>
    </oc>
    <nc r="D63">
      <v>29.631270000000001</v>
    </nc>
  </rcc>
  <rcc rId="33984" sId="3" numFmtId="4">
    <oc r="D64">
      <v>2.5</v>
    </oc>
    <nc r="D64">
      <v>102.5</v>
    </nc>
  </rcc>
  <rcc rId="33985" sId="3" numFmtId="4">
    <oc r="D65">
      <v>13.225820000000001</v>
    </oc>
    <nc r="D65">
      <v>34.531500000000001</v>
    </nc>
  </rcc>
  <rcc rId="33986" sId="3" numFmtId="4">
    <nc r="C66">
      <v>0</v>
    </nc>
  </rcc>
  <rcc rId="33987" sId="3" numFmtId="4">
    <nc r="D66">
      <v>0</v>
    </nc>
  </rcc>
  <rcc rId="33988" sId="3" numFmtId="4">
    <oc r="C68">
      <v>2333</v>
    </oc>
    <nc r="C68">
      <v>3333</v>
    </nc>
  </rcc>
  <rcc rId="33989" sId="3" numFmtId="4">
    <oc r="D68">
      <v>316.71776</v>
    </oc>
    <nc r="D68">
      <v>517.73716999999999</v>
    </nc>
  </rcc>
  <rcc rId="33990" sId="3" numFmtId="4">
    <oc r="D74">
      <v>160.9</v>
    </oc>
    <nc r="D74">
      <v>321.8</v>
    </nc>
  </rcc>
  <rcc rId="33991" sId="3" numFmtId="4">
    <oc r="D76">
      <v>842</v>
    </oc>
    <nc r="D76">
      <v>1684</v>
    </nc>
  </rcc>
  <rcc rId="33992" sId="3" numFmtId="4">
    <oc r="C77">
      <v>86857.701000000001</v>
    </oc>
    <nc r="C77">
      <v>205486.06044</v>
    </nc>
  </rcc>
  <rcc rId="33993" sId="3" numFmtId="4">
    <oc r="C78">
      <v>327725.49</v>
    </oc>
    <nc r="C78">
      <v>328936.52</v>
    </nc>
  </rcc>
  <rcc rId="33994" sId="3" numFmtId="4">
    <oc r="D78">
      <v>14490.545</v>
    </oc>
    <nc r="D78">
      <v>54071.682079999999</v>
    </nc>
  </rcc>
  <rcc rId="33995" sId="3" numFmtId="4">
    <oc r="C79">
      <v>131450.70000000001</v>
    </oc>
    <nc r="C79">
      <v>23990.7</v>
    </nc>
  </rcc>
  <rcc rId="33996" sId="3" numFmtId="4">
    <oc r="D79">
      <v>1655.1420000000001</v>
    </oc>
    <nc r="D79">
      <v>3397.2840000000001</v>
    </nc>
  </rcc>
  <rcc rId="33997" sId="3" numFmtId="4">
    <oc r="D25">
      <v>0</v>
    </oc>
    <nc r="D25">
      <v>2.25</v>
    </nc>
  </rcc>
  <rcc rId="33998" sId="3" numFmtId="4">
    <oc r="C36">
      <v>9041.11</v>
    </oc>
    <nc r="C36">
      <v>10636.6</v>
    </nc>
  </rcc>
  <rcc rId="33999" sId="3" numFmtId="4">
    <oc r="D36">
      <v>1914.1415400000001</v>
    </oc>
    <nc r="D36">
      <v>2185.81927</v>
    </nc>
  </rcc>
  <rcc rId="34000" sId="3" numFmtId="4">
    <oc r="C90">
      <v>21864.261999999999</v>
    </oc>
    <nc r="C90">
      <v>21817.662</v>
    </nc>
  </rcc>
  <rcc rId="34001" sId="3" numFmtId="4">
    <oc r="D90">
      <v>573.64318000000003</v>
    </oc>
    <nc r="D90">
      <v>2347.4261999999999</v>
    </nc>
  </rcc>
  <rcc rId="34002" sId="3" numFmtId="4">
    <oc r="C94">
      <v>1802.9628700000001</v>
    </oc>
    <nc r="C94">
      <v>3769.3833800000002</v>
    </nc>
  </rcc>
  <rcc rId="34003" sId="3" numFmtId="4">
    <oc r="C95">
      <v>15165.897999999999</v>
    </oc>
    <nc r="C95">
      <v>15577.442999999999</v>
    </nc>
  </rcc>
  <rcc rId="34004" sId="3" numFmtId="4">
    <oc r="D95">
      <v>1341</v>
    </oc>
    <nc r="D95">
      <v>2751.2379999999998</v>
    </nc>
  </rcc>
  <rcc rId="34005" sId="3" numFmtId="4">
    <oc r="C97">
      <v>2135.4</v>
    </oc>
    <nc r="C97">
      <v>2158.6999999999998</v>
    </nc>
  </rcc>
  <rcc rId="34006" sId="3" numFmtId="4">
    <oc r="D97">
      <v>178</v>
    </oc>
    <nc r="D97">
      <v>356</v>
    </nc>
  </rcc>
  <rcc rId="34007" sId="3" numFmtId="4">
    <oc r="C100">
      <v>1537.8</v>
    </oc>
    <nc r="C100">
      <v>1808.2</v>
    </nc>
  </rcc>
  <rcc rId="34008" sId="3" numFmtId="4">
    <oc r="D100">
      <v>18</v>
    </oc>
    <nc r="D100">
      <v>116.39514</v>
    </nc>
  </rcc>
  <rcc rId="34009" sId="3" numFmtId="4">
    <oc r="D101">
      <v>51</v>
    </oc>
    <nc r="D101">
      <v>242.68984</v>
    </nc>
  </rcc>
  <rcc rId="34010" sId="3" numFmtId="4">
    <oc r="C103">
      <v>280</v>
    </oc>
    <nc r="C103">
      <v>7790.5</v>
    </nc>
  </rcc>
  <rcc rId="34011" sId="3" numFmtId="4">
    <oc r="C107">
      <v>300</v>
    </oc>
    <nc r="C107">
      <v>500</v>
    </nc>
  </rcc>
  <rcc rId="34012" sId="3" numFmtId="4">
    <oc r="D108">
      <v>0</v>
    </oc>
    <nc r="D108">
      <v>397.42324000000002</v>
    </nc>
  </rcc>
  <rcc rId="34013" sId="3" numFmtId="4">
    <oc r="D109">
      <v>0</v>
    </oc>
    <nc r="D109">
      <v>119.764</v>
    </nc>
  </rcc>
  <rcc rId="34014" sId="3" numFmtId="4">
    <oc r="D111">
      <v>60.786909999999999</v>
    </oc>
    <nc r="D111">
      <v>152.22256999999999</v>
    </nc>
  </rcc>
  <rcc rId="34015" sId="3" numFmtId="4">
    <oc r="C113">
      <v>6289.1086299999997</v>
    </oc>
    <nc r="C113">
      <v>0</v>
    </nc>
  </rcc>
  <rcc rId="34016" sId="3" numFmtId="4">
    <oc r="C117">
      <v>90053.35</v>
    </oc>
    <nc r="C117">
      <v>89551.65</v>
    </nc>
  </rcc>
  <rcc rId="34017" sId="3" numFmtId="4">
    <oc r="D117">
      <v>3839.14</v>
    </oc>
    <nc r="D117">
      <v>16062.602000000001</v>
    </nc>
  </rcc>
  <rcc rId="34018" sId="3" numFmtId="4">
    <oc r="C118">
      <v>240556.75</v>
    </oc>
    <nc r="C118">
      <v>239029.15244999999</v>
    </nc>
  </rcc>
  <rcc rId="34019" sId="3" numFmtId="4">
    <oc r="D118">
      <v>10727.44881</v>
    </oc>
    <nc r="D118">
      <v>45437.008309999997</v>
    </nc>
  </rcc>
  <rcc rId="34020" sId="3" numFmtId="4">
    <oc r="C119">
      <v>18752.7</v>
    </oc>
    <nc r="C119">
      <v>19444.400000000001</v>
    </nc>
  </rcc>
  <rcc rId="34021" sId="3" numFmtId="4">
    <oc r="D119">
      <v>847.90200000000004</v>
    </oc>
    <nc r="D119">
      <v>2591.7510000000002</v>
    </nc>
  </rcc>
  <rcc rId="34022" sId="3" numFmtId="4">
    <oc r="D120">
      <v>3.7</v>
    </oc>
    <nc r="D120">
      <v>7.5279999999999996</v>
    </nc>
  </rcc>
  <rcc rId="34023" sId="3" numFmtId="4">
    <oc r="D121">
      <v>45.5</v>
    </oc>
    <nc r="D121">
      <v>271.95609000000002</v>
    </nc>
  </rcc>
  <rcc rId="34024" sId="3" numFmtId="4">
    <oc r="C123">
      <v>45308.408259999997</v>
    </oc>
    <nc r="C123">
      <v>49516.459340000001</v>
    </nc>
  </rcc>
  <rcc rId="34025" sId="3" numFmtId="4">
    <oc r="D123">
      <v>2727.2420000000002</v>
    </oc>
    <nc r="D123">
      <v>5838.8162700000003</v>
    </nc>
  </rcc>
  <rcc rId="34026" sId="3" numFmtId="4">
    <oc r="D124">
      <v>154.66399999999999</v>
    </oc>
    <nc r="D124">
      <v>478.34109999999998</v>
    </nc>
  </rcc>
  <rcc rId="34027" sId="3" numFmtId="4">
    <oc r="C127">
      <v>39813.62124</v>
    </oc>
    <nc r="C127">
      <v>39720.250269999997</v>
    </nc>
  </rcc>
  <rcc rId="34028" sId="3" numFmtId="4">
    <oc r="D127">
      <v>41.145000000000003</v>
    </oc>
    <nc r="D127">
      <v>650.52261999999996</v>
    </nc>
  </rcc>
  <rcc rId="34029" sId="3" numFmtId="4">
    <oc r="C128">
      <v>2979.19</v>
    </oc>
    <nc r="C128">
      <v>3943.12</v>
    </nc>
  </rcc>
  <rcc rId="34030" sId="3" numFmtId="4">
    <oc r="D129">
      <v>0</v>
    </oc>
    <nc r="D129">
      <v>5.36822</v>
    </nc>
  </rcc>
  <rcc rId="34031" sId="3" numFmtId="4">
    <oc r="D131">
      <v>0</v>
    </oc>
    <nc r="D131">
      <v>105.25875000000001</v>
    </nc>
  </rcc>
  <rcc rId="34032" sId="3" numFmtId="4">
    <oc r="D132">
      <v>361.24799999999999</v>
    </oc>
    <nc r="D132">
      <v>834.02099999999996</v>
    </nc>
  </rcc>
  <rcc rId="34033" sId="3" numFmtId="4">
    <oc r="D141">
      <v>2357.7829999999999</v>
    </oc>
    <nc r="D141">
      <v>4715.5659999999998</v>
    </nc>
  </rcc>
  <rcc rId="34034" sId="3" numFmtId="4">
    <oc r="C142">
      <v>2620</v>
    </oc>
    <nc r="C142">
      <v>5014</v>
    </nc>
  </rcc>
  <rcc rId="34035" sId="3" numFmtId="4">
    <oc r="C143">
      <v>0</v>
    </oc>
    <nc r="C143">
      <v>371.15257000000003</v>
    </nc>
  </rcc>
  <rfmt sheetId="3" sqref="H144" start="0" length="0">
    <dxf>
      <numFmt numFmtId="168" formatCode="0.00000"/>
    </dxf>
  </rfmt>
  <rcc rId="34036" sId="3" numFmtId="4">
    <oc r="D92">
      <v>387.11934000000002</v>
    </oc>
    <nc r="D92">
      <v>540.32883000000004</v>
    </nc>
  </rcc>
  <rcc rId="34037" sId="3" numFmtId="4">
    <oc r="C108">
      <v>170497.8</v>
    </oc>
    <nc r="C108">
      <v>180186.90900000001</v>
    </nc>
  </rcc>
  <rcc rId="34038" sId="2" numFmtId="4">
    <oc r="C35">
      <f>C34-C31</f>
    </oc>
    <nc r="C35">
      <v>105551.30491000001</v>
    </nc>
  </rcc>
  <rcc rId="34039" sId="2" numFmtId="4">
    <oc r="D35">
      <f>D34-D31</f>
    </oc>
    <nc r="D35">
      <v>9916.9025999999994</v>
    </nc>
  </rcc>
  <rcc rId="34040" sId="2" numFmtId="4">
    <oc r="F35">
      <f>F34-F31</f>
    </oc>
    <nc r="F35">
      <v>39284.527269999999</v>
    </nc>
  </rcc>
  <rcc rId="34041" sId="2">
    <nc r="C36">
      <f>C35-C31</f>
    </nc>
  </rcc>
  <rcc rId="34042" sId="2">
    <nc r="D36">
      <f>D35-D31</f>
    </nc>
  </rcc>
  <rcc rId="34043" sId="2">
    <nc r="F36">
      <f>F35-F31</f>
    </nc>
  </rcc>
  <rcc rId="34044" sId="2">
    <nc r="G36">
      <f>G35-G31</f>
    </nc>
  </rcc>
  <rcc rId="34045" sId="2">
    <nc r="I36">
      <f>I35-I31</f>
    </nc>
  </rcc>
  <rcc rId="34046" sId="2">
    <nc r="J36">
      <f>J35-J31</f>
    </nc>
  </rcc>
  <rcc rId="34047" sId="2">
    <nc r="L36">
      <f>L35-L31</f>
    </nc>
  </rcc>
  <rcc rId="34048" sId="2">
    <nc r="M36">
      <f>M35-M31</f>
    </nc>
  </rcc>
  <rcc rId="34049" sId="2">
    <nc r="O36">
      <f>O35-O31</f>
    </nc>
  </rcc>
  <rcc rId="34050" sId="2">
    <nc r="P36">
      <f>P35-P31</f>
    </nc>
  </rcc>
  <rcc rId="34051" sId="2">
    <nc r="R36">
      <f>R35-R31</f>
    </nc>
  </rcc>
  <rcc rId="34052" sId="2">
    <nc r="S36">
      <f>S35-S31</f>
    </nc>
  </rcc>
  <rcc rId="34053" sId="2">
    <nc r="U36">
      <f>U35-U31</f>
    </nc>
  </rcc>
  <rcc rId="34054" sId="2">
    <nc r="V36">
      <f>V35-V31</f>
    </nc>
  </rcc>
  <rcc rId="34055" sId="2">
    <nc r="X36">
      <f>X35-X31</f>
    </nc>
  </rcc>
  <rcc rId="34056" sId="2">
    <nc r="Y36">
      <f>Y35-Y31</f>
    </nc>
  </rcc>
  <rcc rId="34057" sId="2">
    <nc r="AA36">
      <f>AA35-AA31</f>
    </nc>
  </rcc>
  <rcc rId="34058" sId="2">
    <nc r="AB36">
      <f>AB35-AB31</f>
    </nc>
  </rcc>
  <rcc rId="34059" sId="2">
    <nc r="AD36">
      <f>AD35-AD31</f>
    </nc>
  </rcc>
  <rcc rId="34060" sId="2">
    <nc r="AE36">
      <f>AE35-AE31</f>
    </nc>
  </rcc>
  <rcc rId="34061" sId="2">
    <nc r="AG36">
      <f>AG35-AG31</f>
    </nc>
  </rcc>
  <rcc rId="34062" sId="2">
    <nc r="AH36">
      <f>AH35-AH31</f>
    </nc>
  </rcc>
  <rcc rId="34063" sId="2">
    <nc r="AJ36">
      <f>AJ35-AJ31</f>
    </nc>
  </rcc>
  <rcc rId="34064" sId="2">
    <nc r="AK36">
      <f>AK35-AK31</f>
    </nc>
  </rcc>
  <rcc rId="34065" sId="2">
    <nc r="AL36">
      <f>AL35-AL31</f>
    </nc>
  </rcc>
  <rcc rId="34066" sId="2">
    <nc r="AM36">
      <f>AM35-AM31</f>
    </nc>
  </rcc>
  <rcc rId="34067" sId="2">
    <nc r="AN36">
      <f>AN35-AN31</f>
    </nc>
  </rcc>
  <rcc rId="34068" sId="2">
    <nc r="AO36">
      <f>AO35-AO31</f>
    </nc>
  </rcc>
  <rcc rId="34069" sId="2">
    <nc r="AP36">
      <f>AP35-AP31</f>
    </nc>
  </rcc>
  <rcc rId="34070" sId="2">
    <nc r="AQ36">
      <f>AQ35-AQ31</f>
    </nc>
  </rcc>
  <rcc rId="34071" sId="2">
    <nc r="AS36">
      <f>AS35-AS31</f>
    </nc>
  </rcc>
  <rcc rId="34072" sId="2">
    <nc r="AT36">
      <f>AT35-AT31</f>
    </nc>
  </rcc>
  <rcc rId="34073" sId="2">
    <nc r="AV36">
      <f>AV35-AV31</f>
    </nc>
  </rcc>
  <rcc rId="34074" sId="2">
    <nc r="AW36">
      <f>AW35-AW31</f>
    </nc>
  </rcc>
  <rcc rId="34075" sId="2">
    <nc r="AX36">
      <f>AX35-AX31</f>
    </nc>
  </rcc>
  <rcc rId="34076" sId="2">
    <nc r="AY36">
      <f>AY35-AY31</f>
    </nc>
  </rcc>
  <rcc rId="34077" sId="2">
    <nc r="AZ36">
      <f>AZ35-AZ31</f>
    </nc>
  </rcc>
  <rcc rId="34078" sId="2">
    <nc r="BB36">
      <f>BB35-BB31</f>
    </nc>
  </rcc>
  <rcc rId="34079" sId="2">
    <nc r="BC36">
      <f>BC35-BC31</f>
    </nc>
  </rcc>
  <rcc rId="34080" sId="2">
    <nc r="BD36">
      <f>BD35-BD31</f>
    </nc>
  </rcc>
  <rcc rId="34081" sId="2">
    <nc r="BE36">
      <f>BE35-BE31</f>
    </nc>
  </rcc>
  <rcc rId="34082" sId="2">
    <nc r="BF36">
      <f>BF35-BF31</f>
    </nc>
  </rcc>
  <rcc rId="34083" sId="2">
    <nc r="BH36">
      <f>BH35-BH31</f>
    </nc>
  </rcc>
  <rcc rId="34084" sId="2">
    <nc r="BI36">
      <f>BI35-BI31</f>
    </nc>
  </rcc>
  <rcc rId="34085" sId="2">
    <nc r="BJ36">
      <f>BJ35-BJ31</f>
    </nc>
  </rcc>
  <rcc rId="34086" sId="2">
    <nc r="BK36">
      <f>BK35-BK31</f>
    </nc>
  </rcc>
  <rcc rId="34087" sId="2">
    <nc r="BL36">
      <f>BL35-BL31</f>
    </nc>
  </rcc>
  <rcc rId="34088" sId="2">
    <nc r="BM36">
      <f>BM35-BM31</f>
    </nc>
  </rcc>
  <rcc rId="34089" sId="2">
    <nc r="BN36">
      <f>BN35-BN31</f>
    </nc>
  </rcc>
  <rcc rId="34090" sId="2">
    <nc r="BO36">
      <f>BO35-BO31</f>
    </nc>
  </rcc>
  <rcc rId="34091" sId="2">
    <nc r="BQ36">
      <f>BQ35-BQ31</f>
    </nc>
  </rcc>
  <rcc rId="34092" sId="2">
    <nc r="BR36">
      <f>BR35-BR31</f>
    </nc>
  </rcc>
  <rcc rId="34093" sId="2">
    <nc r="BT36">
      <f>BT35-BT31</f>
    </nc>
  </rcc>
  <rcc rId="34094" sId="2">
    <nc r="BU36">
      <f>BU35-BU31</f>
    </nc>
  </rcc>
  <rcc rId="34095" sId="2">
    <nc r="BV36">
      <f>BV35-BV31</f>
    </nc>
  </rcc>
  <rcc rId="34096" sId="2">
    <nc r="BW36">
      <f>BW35-BW31</f>
    </nc>
  </rcc>
  <rcc rId="34097" sId="2">
    <nc r="BX36">
      <f>BX35-BX31</f>
    </nc>
  </rcc>
  <rcc rId="34098" sId="2">
    <nc r="BY36">
      <f>BY35-BY31</f>
    </nc>
  </rcc>
  <rcc rId="34099" sId="2">
    <nc r="BZ36">
      <f>BZ35-BZ31</f>
    </nc>
  </rcc>
  <rcc rId="34100" sId="2">
    <nc r="CA36">
      <f>CA35-CA31</f>
    </nc>
  </rcc>
  <rcc rId="34101" sId="2">
    <nc r="CC36">
      <f>CC35-CC31</f>
    </nc>
  </rcc>
  <rcc rId="34102" sId="2">
    <nc r="CD36">
      <f>CD35-CD31</f>
    </nc>
  </rcc>
  <rcc rId="34103" sId="2">
    <nc r="CF36">
      <f>CF35-CF31</f>
    </nc>
  </rcc>
  <rcc rId="34104" sId="2">
    <nc r="CG36">
      <f>CG35-CG31</f>
    </nc>
  </rcc>
  <rcc rId="34105" sId="2">
    <nc r="CI36">
      <f>CI35-CI31</f>
    </nc>
  </rcc>
  <rcc rId="34106" sId="2">
    <nc r="CJ36">
      <f>CJ35-CJ31</f>
    </nc>
  </rcc>
  <rcc rId="34107" sId="2">
    <nc r="CL36">
      <f>CL35-CL31</f>
    </nc>
  </rcc>
  <rcc rId="34108" sId="2">
    <nc r="CM36">
      <f>CM35-CM31</f>
    </nc>
  </rcc>
  <rcc rId="34109" sId="2">
    <nc r="CO36">
      <f>CO35-CO31</f>
    </nc>
  </rcc>
  <rcc rId="34110" sId="2">
    <nc r="CP36">
      <f>CP35-CP31</f>
    </nc>
  </rcc>
  <rcc rId="34111" sId="2">
    <nc r="CR36">
      <f>CR35-CR31</f>
    </nc>
  </rcc>
  <rcc rId="34112" sId="2">
    <nc r="CS36">
      <f>CS35-CS31</f>
    </nc>
  </rcc>
  <rcc rId="34113" sId="2">
    <nc r="CU36">
      <f>CU35-CU31</f>
    </nc>
  </rcc>
  <rcc rId="34114" sId="2">
    <nc r="CV36">
      <f>CV35-CV31</f>
    </nc>
  </rcc>
  <rcc rId="34115" sId="2">
    <nc r="CX36">
      <f>CX35-CX31</f>
    </nc>
  </rcc>
  <rcc rId="34116" sId="2">
    <nc r="CY36">
      <f>CY35-CY31</f>
    </nc>
  </rcc>
  <rcc rId="34117" sId="2">
    <nc r="CZ36">
      <f>CZ35-CZ31</f>
    </nc>
  </rcc>
  <rcc rId="34118" sId="2">
    <nc r="DA36">
      <f>DA35-DA31</f>
    </nc>
  </rcc>
  <rcc rId="34119" sId="2">
    <nc r="DB36">
      <f>DB35-DB31</f>
    </nc>
  </rcc>
  <rcc rId="34120" sId="2">
    <nc r="DC36">
      <f>DC35-DC31</f>
    </nc>
  </rcc>
  <rcc rId="34121" sId="2">
    <nc r="DD36">
      <f>DD35-DD31</f>
    </nc>
  </rcc>
  <rcc rId="34122" sId="2">
    <nc r="DE36">
      <f>DE35-DE31</f>
    </nc>
  </rcc>
  <rcc rId="34123" sId="2">
    <nc r="DF36">
      <f>DF35-DF31</f>
    </nc>
  </rcc>
  <rcc rId="34124" sId="2">
    <nc r="DG36">
      <f>DG35-DG31</f>
    </nc>
  </rcc>
  <rcc rId="34125" sId="2">
    <nc r="DH36">
      <f>DH35-DH31</f>
    </nc>
  </rcc>
  <rcc rId="34126" sId="2">
    <nc r="DJ36">
      <f>DJ35-DJ31</f>
    </nc>
  </rcc>
  <rcc rId="34127" sId="2">
    <nc r="DK36">
      <f>DK35-DK31</f>
    </nc>
  </rcc>
  <rcc rId="34128" sId="2">
    <nc r="DM36">
      <f>DM35-DM31</f>
    </nc>
  </rcc>
  <rcc rId="34129" sId="2">
    <nc r="DN36">
      <f>DN35-DN31</f>
    </nc>
  </rcc>
  <rcc rId="34130" sId="2">
    <nc r="DP36">
      <f>DP35-DP31</f>
    </nc>
  </rcc>
  <rcc rId="34131" sId="2">
    <nc r="DQ36">
      <f>DQ35-DQ31</f>
    </nc>
  </rcc>
  <rcc rId="34132" sId="2">
    <nc r="DS36">
      <f>DS35-DS31</f>
    </nc>
  </rcc>
  <rcc rId="34133" sId="2">
    <nc r="DT36">
      <f>DT35-DT31</f>
    </nc>
  </rcc>
  <rcc rId="34134" sId="2">
    <nc r="DV36">
      <f>DV35-DV31</f>
    </nc>
  </rcc>
  <rcc rId="34135" sId="2">
    <nc r="DW36">
      <f>DW35-DW31</f>
    </nc>
  </rcc>
  <rcc rId="34136" sId="2">
    <nc r="DY36">
      <f>DY35-DY31</f>
    </nc>
  </rcc>
  <rcc rId="34137" sId="2">
    <nc r="DZ36">
      <f>DZ35-DZ31</f>
    </nc>
  </rcc>
  <rcc rId="34138" sId="2">
    <nc r="EB36">
      <f>EB35-EB31</f>
    </nc>
  </rcc>
  <rcc rId="34139" sId="2">
    <nc r="EC36">
      <f>EC35-EC31</f>
    </nc>
  </rcc>
  <rcc rId="34140" sId="2">
    <nc r="EE36">
      <f>EE35-EE31</f>
    </nc>
  </rcc>
  <rcc rId="34141" sId="2">
    <nc r="EF36">
      <f>EF35-EF31</f>
    </nc>
  </rcc>
  <rcc rId="34142" sId="2">
    <nc r="EH36">
      <f>EH35-EH31</f>
    </nc>
  </rcc>
  <rcc rId="34143" sId="2">
    <nc r="EI36">
      <f>EI35-EI31</f>
    </nc>
  </rcc>
  <rcc rId="34144" sId="2">
    <nc r="EK36">
      <f>EK35-EK31</f>
    </nc>
  </rcc>
  <rcc rId="34145" sId="2">
    <nc r="EL36">
      <f>EL35-EL31</f>
    </nc>
  </rcc>
  <rcc rId="34146" sId="2">
    <nc r="EO36">
      <f>EO35-EO31</f>
    </nc>
  </rcc>
  <rcc rId="34147" sId="2">
    <nc r="EQ36">
      <f>EQ35-EQ31</f>
    </nc>
  </rcc>
  <rcc rId="34148" sId="2">
    <nc r="ER36">
      <f>ER35-ER31</f>
    </nc>
  </rcc>
  <rcc rId="34149" sId="2">
    <nc r="ET36">
      <f>ET35-ET31</f>
    </nc>
  </rcc>
  <rcc rId="34150" sId="2">
    <nc r="EU36">
      <f>EU35-EU31</f>
    </nc>
  </rcc>
  <rcc rId="34151" sId="2">
    <nc r="EW36">
      <f>EW35-EW31</f>
    </nc>
  </rcc>
  <rcc rId="34152" sId="2">
    <nc r="EX36">
      <f>EX35-EX31</f>
    </nc>
  </rcc>
  <rcc rId="34153" sId="2" numFmtId="4">
    <oc r="G35">
      <f>G34-G31</f>
    </oc>
    <nc r="G35">
      <v>3988.4219199999998</v>
    </nc>
  </rcc>
  <rcc rId="34154" sId="2" numFmtId="4">
    <oc r="I35">
      <f>I34-I31</f>
    </oc>
    <nc r="I35">
      <v>5296.7</v>
    </nc>
  </rcc>
  <rcc rId="34155" sId="2" numFmtId="4">
    <oc r="J35">
      <f>J34-J31</f>
    </oc>
    <nc r="J35">
      <v>733.00216999999998</v>
    </nc>
  </rcc>
  <rcc rId="34156" sId="2" numFmtId="4">
    <oc r="L35">
      <f>L34-L31</f>
    </oc>
    <nc r="L35">
      <v>3048.8850000000002</v>
    </nc>
  </rcc>
  <rcc rId="34157" sId="2" numFmtId="4">
    <oc r="M35">
      <f>M34-M31</f>
    </oc>
    <nc r="M35">
      <v>737.52859999999998</v>
    </nc>
  </rcc>
  <rcc rId="34158" sId="2" numFmtId="4">
    <oc r="O35">
      <f>O34-O31</f>
    </oc>
    <nc r="O35">
      <v>32.633000000000003</v>
    </nc>
  </rcc>
  <rcc rId="34159" sId="2" numFmtId="4">
    <oc r="P35">
      <f>P34-P31</f>
    </oc>
    <nc r="P35">
      <v>5.0042400000000002</v>
    </nc>
  </rcc>
  <rcc rId="34160" sId="2" numFmtId="4">
    <oc r="R35">
      <f>R34-R31</f>
    </oc>
    <nc r="R35">
      <v>5092.3969999999999</v>
    </nc>
  </rcc>
  <rcc rId="34161" sId="2" numFmtId="4">
    <oc r="S35">
      <f>S34-S31</f>
    </oc>
    <nc r="S35">
      <v>1083.28297</v>
    </nc>
  </rcc>
  <rcc rId="34162" sId="2" numFmtId="4">
    <oc r="V35">
      <f>V34-V31</f>
    </oc>
    <nc r="V35">
      <v>-160.67634000000001</v>
    </nc>
  </rcc>
  <rcc rId="34163" sId="2" numFmtId="4">
    <oc r="X35">
      <f>X34-X31</f>
    </oc>
    <nc r="X35">
      <v>470</v>
    </nc>
  </rcc>
  <rcc rId="34164" sId="2" numFmtId="4">
    <oc r="Y35">
      <f>Y34-Y31</f>
    </oc>
    <nc r="Y35">
      <v>22.887070000000001</v>
    </nc>
  </rcc>
  <rcc rId="34165" sId="2" numFmtId="4">
    <oc r="AA35">
      <f>AA34-AA31</f>
    </oc>
    <nc r="AA35">
      <v>5031</v>
    </nc>
  </rcc>
  <rcc rId="34166" sId="2" numFmtId="4">
    <oc r="AB35">
      <f>AB34-AB31</f>
    </oc>
    <nc r="AB35">
      <v>150.52557999999999</v>
    </nc>
  </rcc>
  <rcc rId="34167" sId="2" numFmtId="4">
    <oc r="AD35">
      <f>AD34-AD31</f>
    </oc>
    <nc r="AD35">
      <v>17575</v>
    </nc>
  </rcc>
  <rcc rId="34168" sId="2" numFmtId="4">
    <oc r="AE35">
      <f>AE34-AE31</f>
    </oc>
    <nc r="AE35">
      <v>1141.7193</v>
    </nc>
  </rcc>
  <rcc rId="34169" sId="2" numFmtId="4">
    <oc r="AG35">
      <f>AG34-AG31</f>
    </oc>
    <nc r="AG35">
      <v>147</v>
    </nc>
  </rcc>
  <rcc rId="34170" sId="2" numFmtId="4">
    <oc r="AH35">
      <f>AH34-AH31</f>
    </oc>
    <nc r="AH35">
      <v>14.46</v>
    </nc>
  </rcc>
  <rcc rId="34171" sId="2" numFmtId="4">
    <oc r="AP35">
      <f>AP34-AP31</f>
    </oc>
    <nc r="AP35">
      <v>1611.4</v>
    </nc>
  </rcc>
  <rcc rId="34172" sId="2" numFmtId="4">
    <oc r="AQ35">
      <f>AQ34-AQ31</f>
    </oc>
    <nc r="AQ35">
      <v>72.138999999999996</v>
    </nc>
  </rcc>
  <rcc rId="34173" sId="2" numFmtId="4">
    <oc r="AS35">
      <f>AS34-AS31</f>
    </oc>
    <nc r="AS35">
      <v>243.7</v>
    </nc>
  </rcc>
  <rcc rId="34174" sId="2" numFmtId="4">
    <oc r="AT35">
      <f>AT34-AT31</f>
    </oc>
    <nc r="AT35">
      <v>67.404660000000007</v>
    </nc>
  </rcc>
  <rcc rId="34175" sId="2" numFmtId="4">
    <oc r="AY35">
      <f>AY34-AY31</f>
    </oc>
    <nc r="AY35">
      <v>130</v>
    </nc>
  </rcc>
  <rcc rId="34176" sId="2" numFmtId="4">
    <oc r="AZ35">
      <f>AZ34-AZ31</f>
    </oc>
    <nc r="AZ35">
      <v>80.516080000000002</v>
    </nc>
  </rcc>
  <rcc rId="34177" sId="2" numFmtId="4">
    <oc r="BE35">
      <f>BE34-BE31</f>
    </oc>
    <nc r="BE35">
      <v>605.81227000000001</v>
    </nc>
  </rcc>
  <rcc rId="34178" sId="2" numFmtId="4">
    <oc r="BF35">
      <f>BF34-BF31</f>
    </oc>
    <nc r="BF35">
      <v>6.399</v>
    </nc>
  </rcc>
  <rcc rId="34179" sId="2" numFmtId="4">
    <oc r="BN35">
      <f>BN34-BN31</f>
    </oc>
    <nc r="BN35">
      <v>0</v>
    </nc>
  </rcc>
  <rcc rId="34180" sId="2" numFmtId="4">
    <oc r="BO35">
      <f>BO34-BO31</f>
    </oc>
    <nc r="BO35">
      <v>38.87959</v>
    </nc>
  </rcc>
  <rcc rId="34181" sId="2" numFmtId="4">
    <oc r="BR35">
      <f>BR34-BR31</f>
    </oc>
    <nc r="BR35">
      <v>-4.6500000000000004</v>
    </nc>
  </rcc>
  <rcc rId="34182" sId="2" numFmtId="4">
    <oc r="BZ35">
      <f>BZ34-BZ31</f>
    </oc>
    <nc r="BZ35">
      <v>66266.77764</v>
    </nc>
  </rcc>
  <rcc rId="34183" sId="2" numFmtId="4">
    <oc r="CA35">
      <f>CA34-CA31</f>
    </oc>
    <nc r="CA35">
      <v>5928.4806799999997</v>
    </nc>
  </rcc>
  <rcc rId="34184" sId="2" numFmtId="4">
    <oc r="CC35">
      <f>CC34-CC31</f>
    </oc>
    <nc r="CC35">
      <v>28294</v>
    </nc>
  </rcc>
  <rcc rId="34185" sId="2" numFmtId="4">
    <oc r="CD35">
      <f>CD34-CD31</f>
    </oc>
    <nc r="CD35">
      <v>4715.5659999999998</v>
    </nc>
  </rcc>
  <rcc rId="34186" sId="2" numFmtId="4">
    <oc r="CF35">
      <f>CF34-CF31</f>
    </oc>
    <nc r="CF35">
      <v>5014</v>
    </nc>
  </rcc>
  <rcc rId="34187" sId="2" numFmtId="4">
    <oc r="CG35">
      <f>CG34-CG31</f>
    </oc>
    <nc r="CG35">
      <v>0</v>
    </nc>
  </rcc>
  <rcc rId="34188" sId="2">
    <oc r="CH35">
      <f>CH34-CH31</f>
    </oc>
    <nc r="CH35"/>
  </rcc>
  <rcc rId="34189" sId="2" numFmtId="4">
    <oc r="CI35">
      <f>CI34-CI31</f>
    </oc>
    <nc r="CI35">
      <v>27365.61551</v>
    </nc>
  </rcc>
  <rcc rId="34190" sId="2">
    <oc r="CJ35">
      <f>CJ34-CJ31</f>
    </oc>
    <nc r="CJ35"/>
  </rcc>
  <rcc rId="34191" sId="2" numFmtId="4">
    <oc r="CL35">
      <f>CL34-CL31</f>
    </oc>
    <nc r="CL35">
      <v>2201.1</v>
    </nc>
  </rcc>
  <rcc rId="34192" sId="2" numFmtId="4">
    <oc r="CM35">
      <f>CM34-CM31</f>
    </oc>
    <nc r="CM35">
      <v>356</v>
    </nc>
  </rcc>
  <rcc rId="34193" sId="2" numFmtId="4">
    <oc r="CO35">
      <f>CO34-CO31</f>
    </oc>
    <nc r="CO35">
      <v>76.638130000000004</v>
    </nc>
  </rcc>
  <rcc rId="34194" sId="2" numFmtId="4">
    <oc r="CR35">
      <f>CR34-CR31</f>
    </oc>
    <nc r="CR35">
      <v>3315.424</v>
    </nc>
  </rcc>
  <rcc rId="34195" sId="2" numFmtId="4">
    <oc r="CS35">
      <f>CS34-CS31</f>
    </oc>
    <nc r="CS35">
      <v>856.91467999999998</v>
    </nc>
  </rcc>
  <rcc rId="34196" sId="2" numFmtId="4">
    <oc r="DG35">
      <f>DG34-DG31</f>
    </oc>
    <nc r="DG35">
      <v>110310.46488</v>
    </nc>
  </rcc>
  <rcc rId="34197" sId="2" numFmtId="4">
    <oc r="DH35">
      <f>DH34-DH31</f>
    </oc>
    <nc r="DH35">
      <v>7802.1563299999998</v>
    </nc>
  </rcc>
  <rcc rId="34198" sId="2" numFmtId="4">
    <oc r="DJ35">
      <f>DJ34-DJ31</f>
    </oc>
    <nc r="DJ35">
      <v>21912.312000000002</v>
    </nc>
  </rcc>
  <rcc rId="34199" sId="2" numFmtId="4">
    <oc r="DK35">
      <f>DK34-DK31</f>
    </oc>
    <nc r="DK35">
      <v>2270.8410699999999</v>
    </nc>
  </rcc>
  <rcc rId="34200" sId="2" numFmtId="4">
    <oc r="DM35">
      <f>DM34-DM31</f>
    </oc>
    <nc r="DM35">
      <v>21499.286</v>
    </nc>
  </rcc>
  <rcc rId="34201" sId="2" numFmtId="4">
    <oc r="DN35">
      <f>DN34-DN31</f>
    </oc>
    <nc r="DN35">
      <v>2193.89057</v>
    </nc>
  </rcc>
  <rcc rId="34202" sId="2" numFmtId="4">
    <oc r="DP35">
      <f>DP34-DP31</f>
    </oc>
    <nc r="DP35">
      <v>0</v>
    </nc>
  </rcc>
  <rcc rId="34203" sId="2" numFmtId="4">
    <oc r="DQ35">
      <f>DQ34-DQ31</f>
    </oc>
    <nc r="DQ35">
      <v>0</v>
    </nc>
  </rcc>
  <rcc rId="34204" sId="2" numFmtId="4">
    <oc r="DS35">
      <f>DS34-DS31</f>
    </oc>
    <nc r="DS35">
      <v>80</v>
    </nc>
  </rcc>
  <rcc rId="34205" sId="2" numFmtId="4">
    <oc r="DV35">
      <f>DV34-DV31</f>
    </oc>
    <nc r="DV35">
      <v>333.02600000000001</v>
    </nc>
  </rcc>
  <rcc rId="34206" sId="2" numFmtId="4">
    <oc r="DW35">
      <f>DW34-DW31</f>
    </oc>
    <nc r="DW35">
      <v>76.950500000000005</v>
    </nc>
  </rcc>
  <rcc rId="34207" sId="2" numFmtId="4">
    <oc r="DY35">
      <f>DY34-DY31</f>
    </oc>
    <nc r="DY35">
      <v>2158.6999999999998</v>
    </nc>
  </rcc>
  <rcc rId="34208" sId="2" numFmtId="4">
    <oc r="DZ35">
      <f>DZ34-DZ31</f>
    </oc>
    <nc r="DZ35">
      <v>225.51338000000001</v>
    </nc>
  </rcc>
  <rcc rId="34209" sId="2" numFmtId="4">
    <oc r="EB35">
      <f>EB34-EB31</f>
    </oc>
    <nc r="EB35">
      <v>161.375</v>
    </nc>
  </rcc>
  <rcc rId="34210" sId="2" numFmtId="4">
    <oc r="EC35">
      <f>EC34-EC31</f>
    </oc>
    <nc r="EC35">
      <v>8.1604299999999999</v>
    </nc>
  </rcc>
  <rcc rId="34211" sId="2" numFmtId="4">
    <oc r="EE35">
      <f>EE34-EE31</f>
    </oc>
    <nc r="EE35">
      <v>41781.398359999999</v>
    </nc>
  </rcc>
  <rcc rId="34212" sId="2" numFmtId="4">
    <oc r="EF35">
      <f>EF34-EF31</f>
    </oc>
    <nc r="EF35">
      <v>650.97672</v>
    </nc>
  </rcc>
  <rcc rId="34213" sId="2" numFmtId="4">
    <oc r="EH35">
      <f>EH34-EH31</f>
    </oc>
    <nc r="EH35">
      <v>10259.247890000001</v>
    </nc>
  </rcc>
  <rcc rId="34214" sId="2" numFmtId="4">
    <oc r="EI35">
      <f>EI34-EI31</f>
    </oc>
    <nc r="EI35">
      <v>705.98099999999999</v>
    </nc>
  </rcc>
  <rcc rId="34215" sId="2" numFmtId="4">
    <oc r="EK35">
      <f>EK34-EK31</f>
    </oc>
    <nc r="EK35">
      <v>33874.519630000003</v>
    </nc>
  </rcc>
  <rcc rId="34216" sId="2" numFmtId="4">
    <oc r="EL35">
      <f>EL34-EL31</f>
    </oc>
    <nc r="EL35">
      <v>3926.1297300000001</v>
    </nc>
  </rcc>
  <rcc rId="34217" sId="2" numFmtId="4">
    <oc r="EN35">
      <f>EN34-EN31</f>
    </oc>
    <nc r="EN35">
      <v>0</v>
    </nc>
  </rcc>
  <rcc rId="34218" sId="2" numFmtId="4">
    <oc r="EO35">
      <f>EO34-EO31</f>
    </oc>
    <nc r="EO35">
      <v>0</v>
    </nc>
  </rcc>
  <rcc rId="34219" sId="2">
    <nc r="EN36">
      <f>EN35-EN31</f>
    </nc>
  </rcc>
  <rcc rId="34220" sId="2" numFmtId="4">
    <oc r="EQ35">
      <f>EQ34-EQ31</f>
    </oc>
    <nc r="EQ35">
      <v>162.91200000000001</v>
    </nc>
  </rcc>
  <rcc rId="34221" sId="2" numFmtId="4">
    <oc r="ER35">
      <f>ER34-ER31</f>
    </oc>
    <nc r="ER35">
      <v>14.554</v>
    </nc>
  </rcc>
  <rcc rId="34222" sId="2" numFmtId="4">
    <oc r="EW35">
      <f>EW34-EW31</f>
    </oc>
    <nc r="EW35">
      <v>-4759.1599699999997</v>
    </nc>
  </rcc>
  <rcc rId="34223" sId="2" numFmtId="4">
    <oc r="EX35">
      <f>EX34-EX31</f>
    </oc>
    <nc r="EX35">
      <v>2114.7462700000001</v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Мор!$A$1:$F$100</formula>
    <oldFormula>Мор!$A$1:$F$100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Мор!$17:$17,Мор!$21:$21,Мор!$23:$23,Мор!$37:$37,Мор!$44:$44,Мор!$46:$47,Мор!$49:$50,Мор!$57:$57,Мор!$59:$60,Мор!$67:$68,Мор!$82:$87,Мор!$90:$96</formula>
    <oldFormula>Мор!$17:$17,Мор!$21:$21,Мор!$23:$23,Мор!$37:$37,Мор!$44:$44,Мор!$46:$47,Мор!$49:$50,Мор!$57:$57,Мор!$59:$60,Мор!$67:$68,Мор!$82:$87,Мор!$90:$96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3712.xml><?xml version="1.0" encoding="utf-8"?>
<revisions xmlns="http://schemas.openxmlformats.org/spreadsheetml/2006/main" xmlns:r="http://schemas.openxmlformats.org/officeDocument/2006/relationships">
  <rcc rId="34969" sId="3" numFmtId="4">
    <oc r="C77">
      <v>205486.06044</v>
    </oc>
    <nc r="C77">
      <v>214265.87028999999</v>
    </nc>
  </rcc>
  <rfmt sheetId="3" sqref="C83">
    <dxf>
      <numFmt numFmtId="168" formatCode="0.00000"/>
    </dxf>
  </rfmt>
  <rfmt sheetId="3" sqref="C83">
    <dxf>
      <numFmt numFmtId="174" formatCode="0.00000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7121.xml><?xml version="1.0" encoding="utf-8"?>
<revisions xmlns="http://schemas.openxmlformats.org/spreadsheetml/2006/main" xmlns:r="http://schemas.openxmlformats.org/officeDocument/2006/relationships">
  <rcc rId="34394" sId="5" numFmtId="4">
    <oc r="D6">
      <v>30.35623</v>
    </oc>
    <nc r="D6">
      <v>58.231430000000003</v>
    </nc>
  </rcc>
  <rcc rId="34395" sId="5" numFmtId="4">
    <oc r="D8">
      <v>31.597729999999999</v>
    </oc>
    <nc r="D8">
      <v>57.361170000000001</v>
    </nc>
  </rcc>
  <rcc rId="34396" sId="5" numFmtId="4">
    <oc r="D9">
      <v>0.23594000000000001</v>
    </oc>
    <nc r="D9">
      <v>0.38921</v>
    </nc>
  </rcc>
  <rcc rId="34397" sId="5" numFmtId="4">
    <oc r="D10">
      <v>45.989130000000003</v>
    </oc>
    <nc r="D10">
      <v>84.252160000000003</v>
    </nc>
  </rcc>
  <rcc rId="34398" sId="5" numFmtId="4">
    <oc r="D11">
      <v>-5.4680499999999999</v>
    </oc>
    <nc r="D11">
      <v>-12.49657</v>
    </nc>
  </rcc>
  <rcc rId="34399" sId="5" numFmtId="4">
    <oc r="D13">
      <v>1.1237999999999999</v>
    </oc>
    <nc r="D13">
      <v>3.0156800000000001</v>
    </nc>
  </rcc>
  <rcc rId="34400" sId="5" numFmtId="4">
    <oc r="D15">
      <v>3.2949199999999998</v>
    </oc>
    <nc r="D15">
      <v>4.96014</v>
    </nc>
  </rcc>
  <rcc rId="34401" sId="5" numFmtId="4">
    <oc r="D16">
      <v>64.465689999999995</v>
    </oc>
    <nc r="D16">
      <v>94.995099999999994</v>
    </nc>
  </rcc>
  <rcc rId="34402" sId="5" numFmtId="4">
    <oc r="D18">
      <v>0.24</v>
    </oc>
    <nc r="D18">
      <v>0.69</v>
    </nc>
  </rcc>
  <rcc rId="34403" sId="5" numFmtId="4">
    <oc r="D29">
      <v>4.2370000000000001</v>
    </oc>
    <nc r="D29">
      <v>35.673999999999999</v>
    </nc>
  </rcc>
  <rcc rId="34404" sId="5" numFmtId="4">
    <oc r="D31">
      <v>0.66400000000000003</v>
    </oc>
    <nc r="D31">
      <v>1.304</v>
    </nc>
  </rcc>
  <rcc rId="34405" sId="5" numFmtId="4">
    <oc r="D42">
      <v>250.2</v>
    </oc>
    <nc r="D42">
      <v>500.4</v>
    </nc>
  </rcc>
  <rcc rId="34406" sId="5" numFmtId="4">
    <oc r="C44">
      <v>3296.61</v>
    </oc>
    <nc r="C44">
      <v>3815.5949500000002</v>
    </nc>
  </rcc>
  <rcc rId="34407" sId="5" numFmtId="4">
    <oc r="C46">
      <v>181.077</v>
    </oc>
    <nc r="C46">
      <v>183.01900000000001</v>
    </nc>
  </rcc>
  <rcc rId="34408" sId="5" numFmtId="4">
    <oc r="D46">
      <v>14.833</v>
    </oc>
    <nc r="D46">
      <v>29.666</v>
    </nc>
  </rcc>
  <rcc rId="34409" sId="5" numFmtId="4">
    <oc r="C48">
      <v>0</v>
    </oc>
    <nc r="C48">
      <v>328.95848999999998</v>
    </nc>
  </rcc>
  <rcc rId="34410" sId="5" numFmtId="4">
    <oc r="D48">
      <v>0</v>
    </oc>
    <nc r="D48">
      <v>328.99</v>
    </nc>
  </rcc>
  <rcc rId="34411" sId="5">
    <nc r="G52">
      <f>D52-1187.43232</f>
    </nc>
  </rcc>
  <rcc rId="34412" sId="5" numFmtId="4">
    <oc r="D39">
      <v>328.99</v>
    </oc>
    <nc r="D39">
      <v>0</v>
    </nc>
  </rcc>
  <rcc rId="34413" sId="5" numFmtId="4">
    <oc r="D59">
      <v>38.672499999999999</v>
    </oc>
    <nc r="D59">
      <v>173.84723</v>
    </nc>
  </rcc>
  <rcc rId="34414" sId="5" numFmtId="4">
    <oc r="C66">
      <v>177.95</v>
    </oc>
    <nc r="C66">
      <v>179.892</v>
    </nc>
  </rcc>
  <rcc rId="34415" sId="5" numFmtId="4">
    <oc r="D66">
      <v>4</v>
    </oc>
    <nc r="D66">
      <v>18.536999999999999</v>
    </nc>
  </rcc>
  <rcc rId="34416" sId="5" xfDxf="1" s="1" dxf="1">
    <oc r="A72" t="inlineStr">
      <is>
        <t>0400</t>
      </is>
    </oc>
    <nc r="A72"/>
    <n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rc rId="34417" sId="5" ref="A71:XFD71" action="insertRow">
    <undo index="26" exp="area" ref3D="1" dr="$A$141:$XFD$141" dn="Z_61528DAC_5C4C_48F4_ADE2_8A724B05A086_.wvu.Rows" sId="5"/>
    <undo index="24" exp="area" ref3D="1" dr="$A$92:$XFD$99" dn="Z_61528DAC_5C4C_48F4_ADE2_8A724B05A086_.wvu.Rows" sId="5"/>
    <undo index="22" exp="area" ref3D="1" dr="$A$86:$XFD$88" dn="Z_61528DAC_5C4C_48F4_ADE2_8A724B05A086_.wvu.Rows" sId="5"/>
    <undo index="20" exp="area" ref3D="1" dr="$A$84:$XFD$84" dn="Z_61528DAC_5C4C_48F4_ADE2_8A724B05A086_.wvu.Rows" sId="5"/>
    <undo index="18" exp="area" ref3D="1" dr="$A$81:$XFD$81" dn="Z_61528DAC_5C4C_48F4_ADE2_8A724B05A086_.wvu.Rows" sId="5"/>
    <undo index="16" exp="area" ref3D="1" dr="$A$78:$XFD$79" dn="Z_61528DAC_5C4C_48F4_ADE2_8A724B05A086_.wvu.Rows" sId="5"/>
    <undo index="26" exp="area" ref3D="1" dr="$A$141:$XFD$141" dn="Z_B30CE22D_C12F_4E12_8BB9_3AAE0A6991CC_.wvu.Rows" sId="5"/>
    <undo index="24" exp="area" ref3D="1" dr="$A$92:$XFD$99" dn="Z_B30CE22D_C12F_4E12_8BB9_3AAE0A6991CC_.wvu.Rows" sId="5"/>
    <undo index="22" exp="area" ref3D="1" dr="$A$86:$XFD$88" dn="Z_B30CE22D_C12F_4E12_8BB9_3AAE0A6991CC_.wvu.Rows" sId="5"/>
    <undo index="20" exp="area" ref3D="1" dr="$A$84:$XFD$84" dn="Z_B30CE22D_C12F_4E12_8BB9_3AAE0A6991CC_.wvu.Rows" sId="5"/>
    <undo index="18" exp="area" ref3D="1" dr="$A$81:$XFD$81" dn="Z_B30CE22D_C12F_4E12_8BB9_3AAE0A6991CC_.wvu.Rows" sId="5"/>
    <undo index="16" exp="area" ref3D="1" dr="$A$78:$XFD$79" dn="Z_B30CE22D_C12F_4E12_8BB9_3AAE0A6991CC_.wvu.Rows" sId="5"/>
    <undo index="28" exp="area" ref3D="1" dr="$A$141:$XFD$141" dn="Z_A54C432C_6C68_4B53_A75C_446EB3A61B2B_.wvu.Rows" sId="5"/>
    <undo index="26" exp="area" ref3D="1" dr="$A$92:$XFD$99" dn="Z_A54C432C_6C68_4B53_A75C_446EB3A61B2B_.wvu.Rows" sId="5"/>
    <undo index="24" exp="area" ref3D="1" dr="$A$86:$XFD$88" dn="Z_A54C432C_6C68_4B53_A75C_446EB3A61B2B_.wvu.Rows" sId="5"/>
    <undo index="22" exp="area" ref3D="1" dr="$A$84:$XFD$84" dn="Z_A54C432C_6C68_4B53_A75C_446EB3A61B2B_.wvu.Rows" sId="5"/>
    <undo index="20" exp="area" ref3D="1" dr="$A$81:$XFD$81" dn="Z_A54C432C_6C68_4B53_A75C_446EB3A61B2B_.wvu.Rows" sId="5"/>
    <undo index="18" exp="area" ref3D="1" dr="$A$78:$XFD$79" dn="Z_A54C432C_6C68_4B53_A75C_446EB3A61B2B_.wvu.Rows" sId="5"/>
    <undo index="16" exp="area" ref3D="1" dr="$A$92:$XFD$96" dn="Z_5BFCA170_DEAE_4D2C_98A0_1E68B427AC01_.wvu.Rows" sId="5"/>
    <undo index="14" exp="area" ref3D="1" dr="$A$87:$XFD$88" dn="Z_5BFCA170_DEAE_4D2C_98A0_1E68B427AC01_.wvu.Rows" sId="5"/>
    <undo index="12" exp="area" ref3D="1" dr="$A$81:$XFD$81" dn="Z_5BFCA170_DEAE_4D2C_98A0_1E68B427AC01_.wvu.Rows" sId="5"/>
    <undo index="10" exp="area" ref3D="1" dr="$A$78:$XFD$79" dn="Z_5BFCA170_DEAE_4D2C_98A0_1E68B427AC01_.wvu.Rows" sId="5"/>
    <undo index="20" exp="area" ref3D="1" dr="$A$92:$XFD$99" dn="Z_42584DC0_1D41_4C93_9B38_C388E7B8DAC4_.wvu.Rows" sId="5"/>
    <undo index="18" exp="area" ref3D="1" dr="$A$86:$XFD$88" dn="Z_42584DC0_1D41_4C93_9B38_C388E7B8DAC4_.wvu.Rows" sId="5"/>
    <undo index="16" exp="area" ref3D="1" dr="$A$84:$XFD$84" dn="Z_42584DC0_1D41_4C93_9B38_C388E7B8DAC4_.wvu.Rows" sId="5"/>
    <undo index="14" exp="area" ref3D="1" dr="$A$81:$XFD$81" dn="Z_42584DC0_1D41_4C93_9B38_C388E7B8DAC4_.wvu.Rows" sId="5"/>
    <undo index="12" exp="area" ref3D="1" dr="$A$78:$XFD$79" dn="Z_42584DC0_1D41_4C93_9B38_C388E7B8DAC4_.wvu.Rows" sId="5"/>
    <undo index="16" exp="area" ref3D="1" dr="$A$92:$XFD$96" dn="Z_3DCB9AAA_F09C_4EA6_B992_F93E466D374A_.wvu.Rows" sId="5"/>
    <undo index="14" exp="area" ref3D="1" dr="$A$87:$XFD$88" dn="Z_3DCB9AAA_F09C_4EA6_B992_F93E466D374A_.wvu.Rows" sId="5"/>
    <undo index="12" exp="area" ref3D="1" dr="$A$81:$XFD$84" dn="Z_3DCB9AAA_F09C_4EA6_B992_F93E466D374A_.wvu.Rows" sId="5"/>
    <undo index="10" exp="area" ref3D="1" dr="$A$78:$XFD$79" dn="Z_3DCB9AAA_F09C_4EA6_B992_F93E466D374A_.wvu.Rows" sId="5"/>
    <undo index="16" exp="area" ref3D="1" dr="$A$92:$XFD$96" dn="Z_1A52382B_3765_4E8C_903F_6B8919B7242E_.wvu.Rows" sId="5"/>
    <undo index="14" exp="area" ref3D="1" dr="$A$87:$XFD$88" dn="Z_1A52382B_3765_4E8C_903F_6B8919B7242E_.wvu.Rows" sId="5"/>
    <undo index="12" exp="area" ref3D="1" dr="$A$81:$XFD$81" dn="Z_1A52382B_3765_4E8C_903F_6B8919B7242E_.wvu.Rows" sId="5"/>
    <undo index="10" exp="area" ref3D="1" dr="$A$78:$XFD$79" dn="Z_1A52382B_3765_4E8C_903F_6B8919B7242E_.wvu.Rows" sId="5"/>
    <undo index="26" exp="area" ref3D="1" dr="$A$141:$XFD$141" dn="Z_1718F1EE_9F48_4DBE_9531_3B70F9C4A5DD_.wvu.Rows" sId="5"/>
    <undo index="24" exp="area" ref3D="1" dr="$A$92:$XFD$99" dn="Z_1718F1EE_9F48_4DBE_9531_3B70F9C4A5DD_.wvu.Rows" sId="5"/>
    <undo index="22" exp="area" ref3D="1" dr="$A$84:$XFD$89" dn="Z_1718F1EE_9F48_4DBE_9531_3B70F9C4A5DD_.wvu.Rows" sId="5"/>
    <undo index="20" exp="area" ref3D="1" dr="$A$81:$XFD$81" dn="Z_1718F1EE_9F48_4DBE_9531_3B70F9C4A5DD_.wvu.Rows" sId="5"/>
    <undo index="18" exp="area" ref3D="1" dr="$A$78:$XFD$79" dn="Z_1718F1EE_9F48_4DBE_9531_3B70F9C4A5DD_.wvu.Rows" sId="5"/>
  </rrc>
  <rcc rId="34418" sId="5">
    <nc r="A71" t="inlineStr">
      <is>
        <t>0314</t>
      </is>
    </nc>
  </rcc>
  <rcc rId="34419" sId="5">
    <nc r="B71" t="inlineStr">
      <is>
        <t>Другие вопросы в области национальной безопасности</t>
      </is>
    </nc>
  </rcc>
  <rcc rId="34420" sId="5" numFmtId="4">
    <nc r="C71">
      <v>2</v>
    </nc>
  </rcc>
  <rcc rId="34421" sId="5" numFmtId="4">
    <nc r="D71">
      <v>0</v>
    </nc>
  </rcc>
  <rcc rId="34422" sId="5" numFmtId="4">
    <nc r="E71">
      <v>0</v>
    </nc>
  </rcc>
  <rcc rId="34423" sId="5" numFmtId="4">
    <nc r="F71">
      <v>0</v>
    </nc>
  </rcc>
  <rcc rId="34424" sId="5">
    <oc r="C67">
      <f>C70+C72</f>
    </oc>
    <nc r="C67">
      <f>C70+C72+C71</f>
    </nc>
  </rcc>
  <rcc rId="34425" sId="5" numFmtId="4">
    <oc r="C74">
      <v>7.5</v>
    </oc>
    <nc r="C74">
      <v>8.0429999999999993</v>
    </nc>
  </rcc>
  <rcc rId="34426" sId="5" numFmtId="4">
    <oc r="C75">
      <v>300</v>
    </oc>
    <nc r="C75">
      <v>1000</v>
    </nc>
  </rcc>
  <rcc rId="34427" sId="5" numFmtId="4">
    <oc r="C76">
      <v>1879.9849999999999</v>
    </oc>
    <nc r="C76">
      <v>2749.5864900000001</v>
    </nc>
  </rcc>
  <rcc rId="34428" sId="5" numFmtId="4">
    <oc r="C81">
      <v>3086.549</v>
    </oc>
    <nc r="C81">
      <v>3144.89095</v>
    </nc>
  </rcc>
  <rcc rId="34429" sId="5" numFmtId="4">
    <oc r="D84">
      <v>200</v>
    </oc>
    <nc r="D84">
      <v>413.846</v>
    </nc>
  </rcc>
  <rcc rId="34430" sId="5" numFmtId="4">
    <oc r="D92">
      <v>0</v>
    </oc>
    <nc r="D92">
      <v>4.05</v>
    </nc>
  </rcc>
  <rcc rId="34431" sId="5" numFmtId="4">
    <oc r="D64">
      <v>0</v>
    </oc>
    <nc r="D64">
      <v>5.9424999999999999</v>
    </nc>
  </rcc>
  <rcc rId="34432" sId="5" numFmtId="4">
    <oc r="D76">
      <v>0</v>
    </oc>
    <nc r="D76">
      <v>27.551850000000002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8.xml><?xml version="1.0" encoding="utf-8"?>
<revisions xmlns="http://schemas.openxmlformats.org/spreadsheetml/2006/main" xmlns:r="http://schemas.openxmlformats.org/officeDocument/2006/relationships">
  <rcc rId="38783" sId="11">
    <oc r="A1" t="inlineStr">
      <is>
        <t xml:space="preserve">                     Анализ исполнения бюджета Сятракасинского сельского поселения на 01.04.2019 г.</t>
      </is>
    </oc>
    <nc r="A1" t="inlineStr">
      <is>
        <t xml:space="preserve">                     Анализ исполнения бюджета Сятракасинского сельского поселения на 01.05.2019 г.</t>
      </is>
    </nc>
  </rcc>
  <rcc rId="38784" sId="11">
    <oc r="D3" t="inlineStr">
      <is>
        <t>исполнен на 01.04.2019 г.</t>
      </is>
    </oc>
    <nc r="D3" t="inlineStr">
      <is>
        <t>исполнен на 01.05.2019 г.</t>
      </is>
    </nc>
  </rcc>
  <rcc rId="38785" sId="11">
    <oc r="D54" t="inlineStr">
      <is>
        <t>исполнено на 01.04.2019 г.</t>
      </is>
    </oc>
    <nc r="D54" t="inlineStr">
      <is>
        <t>исполнено на 01.05.2019 г.</t>
      </is>
    </nc>
  </rcc>
  <rcc rId="38786" sId="11" numFmtId="4">
    <oc r="D6">
      <v>26.415610000000001</v>
    </oc>
    <nc r="D6">
      <v>48.75544</v>
    </nc>
  </rcc>
  <rcc rId="38787" sId="11" numFmtId="4">
    <oc r="D8">
      <v>67.509299999999996</v>
    </oc>
    <nc r="D8">
      <v>91.032669999999996</v>
    </nc>
  </rcc>
  <rcc rId="38788" sId="11" numFmtId="4">
    <oc r="D9">
      <v>0.47171000000000002</v>
    </oc>
    <nc r="D9">
      <v>0.66449999999999998</v>
    </nc>
  </rcc>
  <rcc rId="38789" sId="11" numFmtId="4">
    <oc r="D10">
      <v>98.982529999999997</v>
    </oc>
    <nc r="D10">
      <v>129.39876000000001</v>
    </nc>
  </rcc>
  <rcc rId="38790" sId="11" numFmtId="4">
    <oc r="D11">
      <v>-13.286350000000001</v>
    </oc>
    <nc r="D11">
      <v>-18.816210000000002</v>
    </nc>
  </rcc>
  <rcc rId="38791" sId="11" numFmtId="4">
    <oc r="D13">
      <v>13.5954</v>
    </oc>
    <nc r="D13">
      <v>98.752200000000002</v>
    </nc>
  </rcc>
  <rcc rId="38792" sId="11" numFmtId="4">
    <oc r="D15">
      <v>5.8067399999999996</v>
    </oc>
    <nc r="D15">
      <v>6.3902000000000001</v>
    </nc>
  </rcc>
  <rcc rId="38793" sId="11" numFmtId="4">
    <oc r="D16">
      <v>144.12299999999999</v>
    </oc>
    <nc r="D16">
      <v>160.35204999999999</v>
    </nc>
  </rcc>
  <rcc rId="38794" sId="11" numFmtId="4">
    <oc r="D18">
      <v>2.1749999999999998</v>
    </oc>
    <nc r="D18">
      <v>2.5750000000000002</v>
    </nc>
  </rcc>
  <rcc rId="38795" sId="11" numFmtId="4">
    <oc r="D28">
      <v>1.6934400000000001</v>
    </oc>
    <nc r="D28">
      <v>2.2579199999999999</v>
    </nc>
  </rcc>
  <rcc rId="38796" sId="11" numFmtId="4">
    <oc r="D41">
      <v>715.5</v>
    </oc>
    <nc r="D41">
      <v>954</v>
    </nc>
  </rcc>
  <rcc rId="38797" sId="11" numFmtId="4">
    <oc r="D43">
      <v>264.649</v>
    </oc>
    <nc r="D43">
      <v>396.66399999999999</v>
    </nc>
  </rcc>
  <rcc rId="38798" sId="11" numFmtId="4">
    <oc r="D44">
      <v>44.499000000000002</v>
    </oc>
    <nc r="D44">
      <v>60.1464</v>
    </nc>
  </rcc>
  <rcc rId="38799" sId="11" numFmtId="34">
    <oc r="D58">
      <v>233.30271999999999</v>
    </oc>
    <nc r="D58">
      <v>431.81697000000003</v>
    </nc>
  </rcc>
  <rcc rId="38800" sId="11" numFmtId="34">
    <oc r="D65">
      <v>34.253120000000003</v>
    </oc>
    <nc r="D65">
      <v>59.827770000000001</v>
    </nc>
  </rcc>
  <rcc rId="38801" sId="11" numFmtId="34">
    <oc r="D73">
      <v>0</v>
    </oc>
    <nc r="D73">
      <v>1.3405</v>
    </nc>
  </rcc>
  <rcc rId="38802" sId="11" numFmtId="34">
    <oc r="D74">
      <v>0</v>
    </oc>
    <nc r="D74">
      <v>32.950000000000003</v>
    </nc>
  </rcc>
  <rcc rId="38803" sId="11" numFmtId="34">
    <oc r="D75">
      <v>186.72681</v>
    </oc>
    <nc r="D75">
      <v>450.75680999999997</v>
    </nc>
  </rcc>
  <rcc rId="38804" sId="11" numFmtId="34">
    <oc r="D80">
      <v>17</v>
    </oc>
    <nc r="D80">
      <v>21.85</v>
    </nc>
  </rcc>
  <rcc rId="38805" sId="11" numFmtId="34">
    <oc r="D82">
      <v>580.41615000000002</v>
    </oc>
    <nc r="D82">
      <v>725.41615000000002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81.xml><?xml version="1.0" encoding="utf-8"?>
<revisions xmlns="http://schemas.openxmlformats.org/spreadsheetml/2006/main" xmlns:r="http://schemas.openxmlformats.org/officeDocument/2006/relationships">
  <rcc rId="38423" sId="6">
    <oc r="A1" t="inlineStr">
      <is>
        <t xml:space="preserve">                     Анализ исполнения бюджета Ильинского сельского поселения на 01.04.2019 г.</t>
      </is>
    </oc>
    <nc r="A1" t="inlineStr">
      <is>
        <t xml:space="preserve">                     Анализ исполнения бюджета Ильинского сельского поселения на 01.05.2019 г.</t>
      </is>
    </nc>
  </rcc>
  <rcc rId="38424" sId="6">
    <oc r="D3" t="inlineStr">
      <is>
        <t>исполнен на 01.04.2019 г.</t>
      </is>
    </oc>
    <nc r="D3" t="inlineStr">
      <is>
        <t>исполнен на 01.05.2019 г.</t>
      </is>
    </nc>
  </rcc>
  <rcc rId="38425" sId="6">
    <oc r="D55" t="inlineStr">
      <is>
        <t>исполнено на 01.04.2019 г.</t>
      </is>
    </oc>
    <nc r="D55" t="inlineStr">
      <is>
        <t>исполнено на 01.05.2019 г.</t>
      </is>
    </nc>
  </rcc>
  <rfmt sheetId="6" sqref="D4:D53">
    <dxf>
      <numFmt numFmtId="2" formatCode="0.00"/>
    </dxf>
  </rfmt>
  <rfmt sheetId="6" sqref="C57:C101">
    <dxf>
      <numFmt numFmtId="2" formatCode="0.00"/>
    </dxf>
  </rfmt>
  <rcc rId="38426" sId="6" numFmtId="4">
    <oc r="D6">
      <v>12.36163</v>
    </oc>
    <nc r="D6">
      <v>19.418970000000002</v>
    </nc>
  </rcc>
  <rcc rId="38427" sId="6" numFmtId="4">
    <oc r="D8">
      <v>77.510679999999994</v>
    </oc>
    <nc r="D8">
      <v>104.51903</v>
    </nc>
  </rcc>
  <rcc rId="38428" sId="6" numFmtId="4">
    <oc r="D9">
      <v>0.54157</v>
    </oc>
    <nc r="D9">
      <v>0.76292000000000004</v>
    </nc>
  </rcc>
  <rcc rId="38429" sId="6" numFmtId="4">
    <oc r="D10">
      <v>113.64664</v>
    </oc>
    <nc r="D10">
      <v>148.56898000000001</v>
    </nc>
  </rcc>
  <rcc rId="38430" sId="6" numFmtId="4">
    <oc r="D11">
      <v>-15.2547</v>
    </oc>
    <nc r="D11">
      <v>-21.603809999999999</v>
    </nc>
  </rcc>
  <rcc rId="38431" sId="6" numFmtId="4">
    <oc r="D13">
      <v>0.12393</v>
    </oc>
    <nc r="D13">
      <v>7.8471299999999999</v>
    </nc>
  </rcc>
  <rcc rId="38432" sId="6" numFmtId="4">
    <oc r="D15">
      <v>6.6738999999999997</v>
    </oc>
    <nc r="D15">
      <v>4.8604000000000003</v>
    </nc>
  </rcc>
  <rcc rId="38433" sId="6" numFmtId="4">
    <oc r="D16">
      <v>39.472299999999997</v>
    </oc>
    <nc r="D16">
      <v>53.362369999999999</v>
    </nc>
  </rcc>
  <rcc rId="38434" sId="6" numFmtId="4">
    <oc r="D18">
      <v>0</v>
    </oc>
    <nc r="D18">
      <v>2</v>
    </nc>
  </rcc>
  <rcc rId="38435" sId="6" numFmtId="4">
    <oc r="D28">
      <v>3.05</v>
    </oc>
    <nc r="D28">
      <v>12.2</v>
    </nc>
  </rcc>
  <rcc rId="38436" sId="6" numFmtId="4">
    <oc r="D29">
      <v>18.690449999999998</v>
    </oc>
    <nc r="D29">
      <v>21.240600000000001</v>
    </nc>
  </rcc>
  <rcc rId="38437" sId="6" numFmtId="4">
    <oc r="D31">
      <v>10.038930000000001</v>
    </oc>
    <nc r="D31">
      <v>14.69904</v>
    </nc>
  </rcc>
  <rcc rId="38438" sId="6" numFmtId="4">
    <oc r="D42">
      <v>439.77600000000001</v>
    </oc>
    <nc r="D42">
      <v>586.36800000000005</v>
    </nc>
  </rcc>
  <rcc rId="38439" sId="6" numFmtId="4">
    <oc r="D43">
      <v>30</v>
    </oc>
    <nc r="D43">
      <v>60</v>
    </nc>
  </rcc>
  <rcc rId="38440" sId="6" numFmtId="4">
    <oc r="D44">
      <v>0</v>
    </oc>
    <nc r="D44">
      <v>220</v>
    </nc>
  </rcc>
  <rcc rId="38441" sId="6" numFmtId="4">
    <oc r="D46">
      <v>44.499000000000002</v>
    </oc>
    <nc r="D46">
      <v>59.548999999999999</v>
    </nc>
  </rcc>
  <rcc rId="38442" sId="6" numFmtId="4">
    <oc r="D51">
      <v>0</v>
    </oc>
    <nc r="D51">
      <v>30.638999999999999</v>
    </nc>
  </rcc>
  <rcc rId="38443" sId="6" numFmtId="34">
    <oc r="D59">
      <v>204.49257</v>
    </oc>
    <nc r="D59">
      <v>404.54878000000002</v>
    </nc>
  </rcc>
  <rcc rId="38444" sId="6" numFmtId="34">
    <oc r="D66">
      <v>33.378</v>
    </oc>
    <nc r="D66">
      <v>59.527000000000001</v>
    </nc>
  </rcc>
  <rcc rId="38445" sId="6" numFmtId="34">
    <oc r="D76">
      <v>30</v>
    </oc>
    <nc r="D76">
      <v>250</v>
    </nc>
  </rcc>
  <rcc rId="38446" sId="6" numFmtId="34">
    <oc r="D83">
      <v>115.47093</v>
    </oc>
    <nc r="D83">
      <v>150.49757</v>
    </nc>
  </rcc>
  <rcc rId="38447" sId="6" numFmtId="34">
    <oc r="D85">
      <v>493.44531999999998</v>
    </oc>
    <nc r="D85">
      <v>641.44518000000005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8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82.xml><?xml version="1.0" encoding="utf-8"?>
<revisions xmlns="http://schemas.openxmlformats.org/spreadsheetml/2006/main" xmlns:r="http://schemas.openxmlformats.org/officeDocument/2006/relationships">
  <rcc rId="35149" sId="1" numFmtId="4">
    <oc r="C32">
      <v>184226.90599999999</v>
    </oc>
    <nc r="C32">
      <v>201223.10735999999</v>
    </nc>
  </rcc>
  <rcc rId="35150" sId="1" numFmtId="4">
    <oc r="D32">
      <v>118.85877000000001</v>
    </oc>
    <nc r="D32">
      <v>1168.1639600000001</v>
    </nc>
  </rcc>
  <rcc rId="35151" sId="1" numFmtId="4">
    <oc r="C33">
      <v>19221.842629999999</v>
    </oc>
    <nc r="C33">
      <v>21849.657739999999</v>
    </nc>
  </rcc>
  <rcc rId="35152" sId="1" numFmtId="4">
    <oc r="D33">
      <v>232.66848999999999</v>
    </oc>
    <nc r="D33">
      <v>858.20357000000001</v>
    </nc>
  </rcc>
  <rcc rId="35153" sId="1" numFmtId="4">
    <oc r="C36">
      <v>50847.648050000003</v>
    </oc>
    <nc r="C36">
      <v>55522.677900000002</v>
    </nc>
  </rcc>
  <rcc rId="35154" sId="1" numFmtId="4">
    <oc r="D36">
      <v>2881.9059999999999</v>
    </oc>
    <nc r="D36">
      <v>6846.0030999999999</v>
    </nc>
  </rcc>
  <rfmt sheetId="1" sqref="D37">
    <dxf>
      <numFmt numFmtId="2" formatCode="0.00"/>
    </dxf>
  </rfmt>
  <rfmt sheetId="1" sqref="D37">
    <dxf>
      <numFmt numFmtId="186" formatCode="0.000"/>
    </dxf>
  </rfmt>
  <rfmt sheetId="1" sqref="D37">
    <dxf>
      <numFmt numFmtId="175" formatCode="0.0000"/>
    </dxf>
  </rfmt>
  <rfmt sheetId="1" sqref="D37">
    <dxf>
      <numFmt numFmtId="168" formatCode="0.00000"/>
    </dxf>
  </rfmt>
  <rfmt sheetId="1" sqref="D37">
    <dxf>
      <numFmt numFmtId="175" formatCode="0.0000"/>
    </dxf>
  </rfmt>
  <rfmt sheetId="1" sqref="D37">
    <dxf>
      <numFmt numFmtId="186" formatCode="0.000"/>
    </dxf>
  </rfmt>
  <rfmt sheetId="1" sqref="D37">
    <dxf>
      <numFmt numFmtId="2" formatCode="0.00"/>
    </dxf>
  </rfmt>
  <rfmt sheetId="1" sqref="D37">
    <dxf>
      <numFmt numFmtId="166" formatCode="0.0"/>
    </dxf>
  </rfmt>
  <rcc rId="35155" sId="1" numFmtId="4">
    <oc r="D38">
      <v>361.24799999999999</v>
    </oc>
    <nc r="D38">
      <v>953.83375000000001</v>
    </nc>
  </rcc>
  <rfmt sheetId="1" sqref="D28">
    <dxf>
      <numFmt numFmtId="2" formatCode="0.00"/>
    </dxf>
  </rfmt>
  <rfmt sheetId="1" sqref="D28">
    <dxf>
      <numFmt numFmtId="166" formatCode="0.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9.xml><?xml version="1.0" encoding="utf-8"?>
<revisions xmlns="http://schemas.openxmlformats.org/spreadsheetml/2006/main" xmlns:r="http://schemas.openxmlformats.org/officeDocument/2006/relationships">
  <rcc rId="39481" sId="12" numFmtId="4">
    <oc r="D27">
      <v>203.77199999999999</v>
    </oc>
    <nc r="D27">
      <v>203.77209999999999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9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PrintArea" hidden="1" oldHidden="1">
    <formula>Хор!$A$1:$F$99</formula>
    <oldFormula>Хор!$A$1:$F$99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PrintArea" hidden="1" oldHidden="1">
    <formula>Шать!$A$1:$F$101</formula>
    <oldFormula>Шать!$A$1:$F$101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Юнг!$19:$24,Юнг!$38:$38,Юнг!$45:$49,Юнг!$56:$56,Юнг!$58:$60,Юнг!$66:$67,Юнг!$77:$78,Юнг!$82:$86,Юнг!$89:$96,Юнг!$142:$142</formula>
    <oldFormula>Юнг!$19:$24,Юнг!$38:$38,Юнг!$45:$49,Юнг!$56:$56,Юнг!$58:$60,Юнг!$66:$67,Юнг!$77:$78,Юнг!$82:$86,Юнг!$89:$96,Юнг!$142:$142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Яра!$19:$24,Яра!$46:$46,Яра!$48:$51,Яра!$58:$58,Яра!$60:$62,Яра!$68:$69,Яра!$79:$80,Яра!$84:$88,Яра!$91:$98,Яра!$143:$143</formula>
    <oldFormula>Яра!$19:$24,Яра!$46:$46,Яра!$48:$51,Яра!$58:$58,Яра!$60:$62,Яра!$68:$69,Яра!$79:$80,Яра!$84:$88,Яра!$91:$98,Яра!$143:$143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Яро!$19:$24,Яро!$28:$28,Яро!$34:$36,Яро!$43:$43,Яро!$46:$47,Яро!$54:$54,Яро!$56:$58,Яро!$64:$65,Яро!$75:$75,Яро!$80:$84,Яро!$87:$90,Яро!$92:$94</formula>
    <oldFormula>Яро!$19:$24,Яро!$28:$28,Яро!$34:$36,Яро!$43:$43,Яро!$46:$47,Яро!$54:$54,Яро!$56:$58,Яро!$64:$65,Яро!$75:$75,Яро!$80:$84,Яро!$87:$90,Яро!$92:$94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39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40.xml><?xml version="1.0" encoding="utf-8"?>
<revisions xmlns="http://schemas.openxmlformats.org/spreadsheetml/2006/main" xmlns:r="http://schemas.openxmlformats.org/officeDocument/2006/relationships">
  <rfmt sheetId="13" sqref="C96">
    <dxf>
      <numFmt numFmtId="2" formatCode="0.00"/>
    </dxf>
  </rfmt>
  <rfmt sheetId="13" sqref="C96">
    <dxf>
      <numFmt numFmtId="30" formatCode="@"/>
    </dxf>
  </rfmt>
  <rfmt sheetId="14" sqref="C98">
    <dxf>
      <numFmt numFmtId="30" formatCode="@"/>
    </dxf>
  </rfmt>
  <rcc rId="39512" sId="14" numFmtId="34">
    <oc r="C73">
      <v>6.7023999999999999</v>
    </oc>
    <nc r="C73">
      <v>6.7024999999999997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01.xml><?xml version="1.0" encoding="utf-8"?>
<revisions xmlns="http://schemas.openxmlformats.org/spreadsheetml/2006/main" xmlns:r="http://schemas.openxmlformats.org/officeDocument/2006/relationships">
  <rcc rId="34848" sId="2" numFmtId="4">
    <oc r="BZ35">
      <v>66266.77764</v>
    </oc>
    <nc r="BZ35">
      <v>75046.587490000005</v>
    </nc>
  </rcc>
  <rcc rId="34849" sId="2" numFmtId="4">
    <oc r="CI35">
      <v>27365.61551</v>
    </oc>
    <nc r="CI35">
      <v>36145.425360000001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32650" sId="18" numFmtId="34">
    <oc r="D59">
      <v>36.847580000000001</v>
    </oc>
    <nc r="D59">
      <v>137.29076000000001</v>
    </nc>
  </rcc>
  <rcc rId="32651" sId="18" numFmtId="34">
    <oc r="D64">
      <v>0</v>
    </oc>
    <nc r="D64">
      <v>7.7694999999999999</v>
    </nc>
  </rcc>
  <rcc rId="32652" sId="18" numFmtId="34">
    <oc r="C66">
      <v>177.95</v>
    </oc>
    <nc r="C66">
      <v>179.892</v>
    </nc>
  </rcc>
  <rcc rId="32653" sId="18" numFmtId="34">
    <oc r="D66">
      <v>4.5</v>
    </oc>
    <nc r="D66">
      <v>19.184550000000002</v>
    </nc>
  </rcc>
  <rcc rId="32654" sId="18" numFmtId="34">
    <oc r="C74">
      <v>5</v>
    </oc>
    <nc r="C74">
      <v>5.3620000000000001</v>
    </nc>
  </rcc>
  <rcc rId="32655" sId="18" numFmtId="34">
    <oc r="C75">
      <v>250</v>
    </oc>
    <nc r="C75">
      <v>220</v>
    </nc>
  </rcc>
  <rcc rId="32656" sId="18" numFmtId="34">
    <oc r="C76">
      <v>2067.14</v>
    </oc>
    <nc r="C76">
      <v>3252.7210100000002</v>
    </nc>
  </rcc>
  <rcc rId="32657" sId="18" numFmtId="34">
    <oc r="C81">
      <v>483.14299999999997</v>
    </oc>
    <nc r="C81">
      <v>512.78099999999995</v>
    </nc>
  </rcc>
  <rcc rId="32658" sId="18" numFmtId="34">
    <oc r="D81">
      <v>0</v>
    </oc>
    <nc r="D81">
      <v>37.380409999999998</v>
    </nc>
  </rcc>
  <rcc rId="32659" sId="18" numFmtId="34">
    <oc r="C83">
      <v>2417.7730000000001</v>
    </oc>
    <nc r="C83">
      <v>3937.1748400000001</v>
    </nc>
  </rcc>
  <rcc rId="32660" sId="18" numFmtId="34">
    <oc r="D83">
      <v>0</v>
    </oc>
    <nc r="D83">
      <v>342.00076999999999</v>
    </nc>
  </rcc>
  <rcc rId="32661" sId="18" numFmtId="34">
    <oc r="D90">
      <v>0</v>
    </oc>
    <nc r="D90">
      <v>6.2190000000000003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42.xml><?xml version="1.0" encoding="utf-8"?>
<revisions xmlns="http://schemas.openxmlformats.org/spreadsheetml/2006/main" xmlns:r="http://schemas.openxmlformats.org/officeDocument/2006/relationships">
  <rcc rId="38621" sId="10">
    <oc r="A1" t="inlineStr">
      <is>
        <t xml:space="preserve">                     Анализ исполнения бюджета Орининского сельского поселения на 01.04.2019 г.</t>
      </is>
    </oc>
    <nc r="A1" t="inlineStr">
      <is>
        <t xml:space="preserve">                     Анализ исполнения бюджета Орининского сельского поселения на 01.05.2019 г.</t>
      </is>
    </nc>
  </rcc>
  <rcc rId="38622" sId="10">
    <oc r="D3" t="inlineStr">
      <is>
        <t>исполнен на 01.04.2019 г.</t>
      </is>
    </oc>
    <nc r="D3" t="inlineStr">
      <is>
        <t>исполнен на 01.05.2019 г.</t>
      </is>
    </nc>
  </rcc>
  <rcc rId="38623" sId="10">
    <oc r="D54" t="inlineStr">
      <is>
        <t>исполнено на 01.04.2019 г.</t>
      </is>
    </oc>
    <nc r="D54" t="inlineStr">
      <is>
        <t>исполнено на 01.05.2019 г.</t>
      </is>
    </nc>
  </rcc>
  <rcc rId="38624" sId="10" numFmtId="4">
    <oc r="D6">
      <v>45.724499999999999</v>
    </oc>
    <nc r="D6">
      <v>57.582340000000002</v>
    </nc>
  </rcc>
  <rcc rId="38625" sId="10" numFmtId="4">
    <oc r="D8">
      <v>54.729759999999999</v>
    </oc>
    <nc r="D8">
      <v>73.800160000000005</v>
    </nc>
  </rcc>
  <rcc rId="38626" sId="10" numFmtId="4">
    <oc r="D9">
      <v>0.38240000000000002</v>
    </oc>
    <nc r="D9">
      <v>0.53868000000000005</v>
    </nc>
  </rcc>
  <rcc rId="38627" sId="10" numFmtId="4">
    <oc r="D10">
      <v>80.24512</v>
    </oc>
    <nc r="D10">
      <v>104.90354000000001</v>
    </nc>
  </rcc>
  <rcc rId="38628" sId="10" numFmtId="4">
    <oc r="D11">
      <v>-10.771229999999999</v>
    </oc>
    <nc r="D11">
      <v>-15.25427</v>
    </nc>
  </rcc>
  <rcc rId="38629" sId="10" numFmtId="4">
    <oc r="D13">
      <v>1.026</v>
    </oc>
    <nc r="D13">
      <v>9.3778500000000005</v>
    </nc>
  </rcc>
  <rcc rId="38630" sId="10" numFmtId="4">
    <oc r="D15">
      <v>0.98126000000000002</v>
    </oc>
    <nc r="D15">
      <v>43.477440000000001</v>
    </nc>
  </rcc>
  <rcc rId="38631" sId="10" numFmtId="4">
    <oc r="D16">
      <v>61.166229999999999</v>
    </oc>
    <nc r="D16">
      <v>97.247489999999999</v>
    </nc>
  </rcc>
  <rcc rId="38632" sId="10" numFmtId="4">
    <oc r="D18">
      <v>0.5</v>
    </oc>
    <nc r="D18">
      <v>1.1399999999999999</v>
    </nc>
  </rcc>
  <rcc rId="38633" sId="10" numFmtId="4">
    <oc r="D28">
      <v>9</v>
    </oc>
    <nc r="D28">
      <v>13.5</v>
    </nc>
  </rcc>
  <rcc rId="38634" sId="10" numFmtId="4">
    <oc r="D30">
      <v>11.231909999999999</v>
    </oc>
    <nc r="D30">
      <v>12.594049999999999</v>
    </nc>
  </rcc>
  <rcc rId="38635" sId="10" numFmtId="4">
    <oc r="D41">
      <v>365.625</v>
    </oc>
    <nc r="D41">
      <v>487.5</v>
    </nc>
  </rcc>
  <rcc rId="38636" sId="10" numFmtId="4">
    <oc r="D43">
      <v>211.191</v>
    </oc>
    <nc r="D43">
      <v>263.95699999999999</v>
    </nc>
  </rcc>
  <rcc rId="38637" sId="10" numFmtId="4">
    <oc r="D45">
      <v>44.499000000000002</v>
    </oc>
    <nc r="D45">
      <v>59.548999999999999</v>
    </nc>
  </rcc>
  <rcc rId="38638" sId="10" numFmtId="34">
    <oc r="D58">
      <v>233.73683</v>
    </oc>
    <nc r="D58">
      <v>383.30784</v>
    </nc>
  </rcc>
  <rcc rId="38639" sId="10" numFmtId="34">
    <oc r="D65">
      <v>33.378</v>
    </oc>
    <nc r="D65">
      <v>58.756</v>
    </nc>
  </rcc>
  <rcc rId="38640" sId="10" numFmtId="34">
    <oc r="D70">
      <v>1.35</v>
    </oc>
    <nc r="D70">
      <v>2.95</v>
    </nc>
  </rcc>
  <rcc rId="38641" sId="10" numFmtId="34">
    <oc r="D74">
      <v>10.69</v>
    </oc>
    <nc r="D74">
      <v>15.69</v>
    </nc>
  </rcc>
  <rcc rId="38642" sId="10" numFmtId="34">
    <oc r="D75">
      <v>190.80244999999999</v>
    </oc>
    <nc r="D75">
      <v>299.95245</v>
    </nc>
  </rcc>
  <rcc rId="38643" sId="10" numFmtId="34">
    <oc r="D76">
      <v>23</v>
    </oc>
    <nc r="D76">
      <v>31.225000000000001</v>
    </nc>
  </rcc>
  <rcc rId="38644" sId="10" numFmtId="34">
    <oc r="D80">
      <v>67.317260000000005</v>
    </oc>
    <nc r="D80">
      <v>169.16134</v>
    </nc>
  </rcc>
  <rcc rId="38645" sId="10" numFmtId="34">
    <oc r="D83">
      <v>397.57799999999997</v>
    </oc>
    <nc r="D83">
      <v>502.50200000000001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21.xml><?xml version="1.0" encoding="utf-8"?>
<revisions xmlns="http://schemas.openxmlformats.org/spreadsheetml/2006/main" xmlns:r="http://schemas.openxmlformats.org/officeDocument/2006/relationships">
  <rcc rId="35926" sId="6" numFmtId="4">
    <oc r="D6">
      <v>6.27928</v>
    </oc>
    <nc r="D6">
      <v>12.36163</v>
    </nc>
  </rcc>
  <rcc rId="35927" sId="6" numFmtId="4">
    <oc r="D8">
      <v>54.250079999999997</v>
    </oc>
    <nc r="D8">
      <v>77.510679999999994</v>
    </nc>
  </rcc>
  <rcc rId="35928" sId="6" numFmtId="4">
    <oc r="D9">
      <v>0.36808999999999997</v>
    </oc>
    <nc r="D9">
      <v>0.54157</v>
    </nc>
  </rcc>
  <rcc rId="35929" sId="6" numFmtId="4">
    <oc r="D10">
      <v>79.682550000000006</v>
    </oc>
    <nc r="D10">
      <v>113.64664</v>
    </nc>
  </rcc>
  <rcc rId="35930" sId="6" numFmtId="4">
    <oc r="D11">
      <v>-11.818809999999999</v>
    </oc>
    <nc r="D11">
      <v>-15.2547</v>
    </nc>
  </rcc>
  <rcc rId="35931" sId="6" numFmtId="4">
    <oc r="D13">
      <v>0</v>
    </oc>
    <nc r="D13">
      <v>0.12393</v>
    </nc>
  </rcc>
  <rcc rId="35932" sId="6" numFmtId="4">
    <oc r="D15">
      <v>5.6575600000000001</v>
    </oc>
    <nc r="D15">
      <v>6.6738999999999997</v>
    </nc>
  </rcc>
  <rcc rId="35933" sId="6" numFmtId="4">
    <oc r="D16">
      <v>24.311599999999999</v>
    </oc>
    <nc r="D16">
      <v>39.472299999999997</v>
    </nc>
  </rcc>
  <rcc rId="35934" sId="6" numFmtId="4">
    <oc r="D29">
      <v>5.1002999999999998</v>
    </oc>
    <nc r="D29">
      <v>18.690449999999998</v>
    </nc>
  </rcc>
  <rcc rId="35935" sId="6" numFmtId="4">
    <oc r="D42">
      <v>293.18400000000003</v>
    </oc>
    <nc r="D42">
      <v>439.77600000000001</v>
    </nc>
  </rcc>
  <rcc rId="35936" sId="6" numFmtId="4">
    <oc r="D43">
      <v>0</v>
    </oc>
    <nc r="D43">
      <v>30</v>
    </nc>
  </rcc>
  <rcc rId="35937" sId="6" numFmtId="4">
    <oc r="C44">
      <v>2558.4050000000002</v>
    </oc>
    <nc r="C44">
      <v>3964.4985700000002</v>
    </nc>
  </rcc>
  <rcc rId="35938" sId="6" numFmtId="4">
    <oc r="D46">
      <v>29.666</v>
    </oc>
    <nc r="D46">
      <v>44.499000000000002</v>
    </nc>
  </rcc>
  <rcc rId="35939" sId="6" numFmtId="4">
    <oc r="C47">
      <v>41.375279999999997</v>
    </oc>
    <nc r="C47">
      <v>641.37527999999998</v>
    </nc>
  </rcc>
  <rcc rId="35940" sId="6" numFmtId="4">
    <oc r="D31">
      <v>0</v>
    </oc>
    <nc r="D31">
      <v>10.038930000000001</v>
    </nc>
  </rcc>
  <rcc rId="35941" sId="6" numFmtId="34">
    <oc r="D59">
      <v>101.75008</v>
    </oc>
    <nc r="D59">
      <v>204.49257</v>
    </nc>
  </rcc>
  <rcc rId="35942" sId="6" numFmtId="34">
    <oc r="D66">
      <v>18.689</v>
    </oc>
    <nc r="D66">
      <v>33.378</v>
    </nc>
  </rcc>
  <rcc rId="35943" sId="6" numFmtId="34">
    <oc r="C75">
      <v>0</v>
    </oc>
    <nc r="C75">
      <v>600</v>
    </nc>
  </rcc>
  <rcc rId="35944" sId="6" numFmtId="34">
    <oc r="C76">
      <v>3844.67472</v>
    </oc>
    <nc r="C76">
      <v>5250.76829</v>
    </nc>
  </rcc>
  <rcc rId="35945" sId="6" numFmtId="34">
    <oc r="D76">
      <v>0</v>
    </oc>
    <nc r="D76">
      <v>30</v>
    </nc>
  </rcc>
  <rcc rId="35946" sId="6" numFmtId="34">
    <oc r="C83">
      <v>279.56900000000002</v>
    </oc>
    <nc r="C83">
      <v>368.5686</v>
    </nc>
  </rcc>
  <rcc rId="35947" sId="6" numFmtId="34">
    <oc r="D83">
      <v>0</v>
    </oc>
    <nc r="D83">
      <v>115.47093</v>
    </nc>
  </rcc>
  <rcc rId="35948" sId="6" numFmtId="34">
    <oc r="D85">
      <v>252</v>
    </oc>
    <nc r="D85">
      <v>493.44531999999998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Rows" hidden="1" oldHidden="1">
    <formula>Справка!$33:$33,Справка!$35:$35</formula>
    <oldFormula>Справка!$33:$33,Справка!$35:$35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B31C8DB7_3E78_4144_A6B5_8DE36DE63F0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422.xml><?xml version="1.0" encoding="utf-8"?>
<revisions xmlns="http://schemas.openxmlformats.org/spreadsheetml/2006/main" xmlns:r="http://schemas.openxmlformats.org/officeDocument/2006/relationships">
  <rcc rId="36672" sId="8">
    <oc r="A1" t="inlineStr">
      <is>
        <t xml:space="preserve">                     Анализ исполнения бюджета Моргаушского сельского поселения на 01.03.2019 г.</t>
      </is>
    </oc>
    <nc r="A1" t="inlineStr">
      <is>
        <t xml:space="preserve">                     Анализ исполнения бюджета Моргаушского сельского поселения на 01.04.2019 г.</t>
      </is>
    </nc>
  </rcc>
  <rcc rId="36673" sId="8">
    <oc r="D3" t="inlineStr">
      <is>
        <t>исполнен на 01.03.2019 г.</t>
      </is>
    </oc>
    <nc r="D3" t="inlineStr">
      <is>
        <t>исполнен на 01.04.2019 г.</t>
      </is>
    </nc>
  </rcc>
  <rcc rId="36674" sId="8">
    <oc r="D54" t="inlineStr">
      <is>
        <t>исполнено на 01.03.2019 г.</t>
      </is>
    </oc>
    <nc r="D54" t="inlineStr">
      <is>
        <t>исполнено на 01.04.2019 г.</t>
      </is>
    </nc>
  </rcc>
  <rcc rId="36675" sId="8" numFmtId="4">
    <oc r="D8">
      <v>31.888919999999999</v>
    </oc>
    <nc r="D8">
      <v>45.56183</v>
    </nc>
  </rcc>
  <rcc rId="36676" sId="8" numFmtId="4">
    <oc r="D9">
      <v>0.21636</v>
    </oc>
    <nc r="D9">
      <v>0.31835000000000002</v>
    </nc>
  </rcc>
  <rcc rId="36677" sId="8" numFmtId="4">
    <oc r="D10">
      <v>46.838500000000003</v>
    </oc>
    <nc r="D10">
      <v>66.803039999999996</v>
    </nc>
  </rcc>
  <rcc rId="36678" sId="8" numFmtId="4">
    <oc r="D11">
      <v>-6.9472300000000002</v>
    </oc>
    <nc r="D11">
      <v>-8.96692</v>
    </nc>
  </rcc>
  <rcc rId="36679" sId="8" numFmtId="4">
    <oc r="D13">
      <v>5.5380000000000003</v>
    </oc>
    <nc r="D13">
      <v>40.386299999999999</v>
    </nc>
  </rcc>
  <rcc rId="36680" sId="8" numFmtId="4">
    <oc r="D15">
      <v>51.655850000000001</v>
    </oc>
    <nc r="D15">
      <v>65.380229999999997</v>
    </nc>
  </rcc>
  <rcc rId="36681" sId="8" numFmtId="4">
    <oc r="D16">
      <v>193.4032</v>
    </oc>
    <nc r="D16">
      <v>213.48330999999999</v>
    </nc>
  </rcc>
  <rcc rId="36682" sId="8" numFmtId="4">
    <oc r="D41">
      <v>781.25</v>
    </oc>
    <nc r="D41">
      <v>1171.875</v>
    </nc>
  </rcc>
  <rcc rId="36683" sId="8" numFmtId="4">
    <oc r="C43">
      <v>7583.9678999999996</v>
    </oc>
    <nc r="C43">
      <v>8600.4907500000008</v>
    </nc>
  </rcc>
  <rcc rId="36684" sId="8" numFmtId="4">
    <oc r="D43">
      <v>0</v>
    </oc>
    <nc r="D43">
      <v>291.52999999999997</v>
    </nc>
  </rcc>
  <rcc rId="36685" sId="8" numFmtId="4">
    <oc r="C48">
      <v>336.17829</v>
    </oc>
    <nc r="C48">
      <v>469.18729000000002</v>
    </nc>
  </rcc>
  <rcc rId="36686" sId="8" numFmtId="4">
    <oc r="D48">
      <v>0</v>
    </oc>
    <nc r="D48">
      <v>133.85</v>
    </nc>
  </rcc>
  <rcc rId="36687" sId="8" numFmtId="4">
    <oc r="D6">
      <v>243.81647000000001</v>
    </oc>
    <nc r="D6">
      <v>413.20069000000001</v>
    </nc>
  </rcc>
  <rcc rId="36688" sId="8" numFmtId="34">
    <oc r="D58">
      <v>216.83358999999999</v>
    </oc>
    <nc r="D58">
      <v>364.71341999999999</v>
    </nc>
  </rcc>
  <rcc rId="36689" sId="8" numFmtId="34">
    <oc r="C63">
      <v>169.91800000000001</v>
    </oc>
    <nc r="C63">
      <v>173.91800000000001</v>
    </nc>
  </rcc>
  <rcc rId="36690" sId="8" numFmtId="34">
    <oc r="D63">
      <v>18.917999999999999</v>
    </oc>
    <nc r="D63">
      <v>139.92607000000001</v>
    </nc>
  </rcc>
  <rcc rId="36691" sId="8" numFmtId="34">
    <oc r="D74">
      <v>56.549799999999998</v>
    </oc>
    <nc r="D74">
      <v>111.65203</v>
    </nc>
  </rcc>
  <rcc rId="36692" sId="8" numFmtId="34">
    <oc r="C75">
      <v>1734.68658</v>
    </oc>
    <nc r="C75">
      <v>2866.7937000000002</v>
    </nc>
  </rcc>
  <rcc rId="36693" sId="8" numFmtId="34">
    <oc r="D75">
      <v>17.836670000000002</v>
    </oc>
    <nc r="D75">
      <v>343.39697000000001</v>
    </nc>
  </rcc>
  <rcc rId="36694" sId="8" numFmtId="34">
    <oc r="C76">
      <v>165.536</v>
    </oc>
    <nc r="C76">
      <v>315.536</v>
    </nc>
  </rcc>
  <rcc rId="36695" sId="8" numFmtId="34">
    <oc r="C80">
      <v>9723.6699000000008</v>
    </oc>
    <nc r="C80">
      <v>10031.6669</v>
    </nc>
  </rcc>
  <rcc rId="36696" sId="8" numFmtId="34">
    <oc r="D80">
      <v>222.10022000000001</v>
    </oc>
    <nc r="D80">
      <v>570.24426000000005</v>
    </nc>
  </rcc>
  <rcc rId="36697" sId="8" numFmtId="34">
    <oc r="D82">
      <v>622.5</v>
    </oc>
    <nc r="D82">
      <v>933.75</v>
    </nc>
  </rcc>
  <rcc rId="36698" sId="8">
    <oc r="G51">
      <f>C51-17361.12019</f>
    </oc>
    <nc r="G51">
      <f>18510.65204-C51</f>
    </nc>
  </rcc>
  <rcc rId="36699" sId="8">
    <oc r="G98">
      <f>C98-17471.35848</f>
    </oc>
    <nc r="G98">
      <f>19065.4626-C98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3.xml><?xml version="1.0" encoding="utf-8"?>
<revisions xmlns="http://schemas.openxmlformats.org/spreadsheetml/2006/main" xmlns:r="http://schemas.openxmlformats.org/officeDocument/2006/relationships"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Тор!$19:$24,Тор!$32:$39,Тор!$46:$47,Тор!$49:$50,Тор!$57:$57,Тор!$59:$60,Тор!$67:$68,Тор!$75:$75,Тор!$79:$80,Тор!$84:$96</formula>
    <oldFormula>Тор!$19:$24,Тор!$32:$39,Тор!$46:$47,Тор!$49:$50,Тор!$57:$57,Тор!$59:$60,Тор!$67:$68,Тор!$75:$75,Тор!$79:$80,Тор!$84:$96</oldFormula>
  </rdn>
  <rdn rId="0" localSheetId="13" customView="1" name="Z_1A52382B_3765_4E8C_903F_6B8919B7242E_.wvu.PrintArea" hidden="1" oldHidden="1">
    <formula>Хор!$A$1:$F$99</formula>
    <oldFormula>Хор!$A$1:$F$99</oldFormula>
  </rdn>
  <rdn rId="0" localSheetId="13" customView="1" name="Z_1A52382B_3765_4E8C_903F_6B8919B7242E_.wvu.Rows" hidden="1" oldHidden="1">
    <formula>Хор!$19:$24,Хор!$28:$36,Хор!$40:$40,Хор!$46:$48,Хор!$55:$55,Хор!$57:$59,Хор!$65:$66,Хор!$72:$72,Хор!$76:$77,Хор!$81:$85,Хор!$88:$95</formula>
    <oldFormula>Хор!$19:$24,Хор!$28:$36,Хор!$40:$40,Хор!$46:$48,Хор!$55:$55,Хор!$57:$59,Хор!$65:$66,Хор!$72:$72,Хор!$76:$77,Хор!$81:$85,Хор!$88:$95</oldFormula>
  </rdn>
  <rdn rId="0" localSheetId="14" customView="1" name="Z_1A52382B_3765_4E8C_903F_6B8919B7242E_.wvu.PrintArea" hidden="1" oldHidden="1">
    <formula>Чум!$A$1:$F$101</formula>
    <oldFormula>Чум!$A$1:$F$101</oldFormula>
  </rdn>
  <rdn rId="0" localSheetId="14" customView="1" name="Z_1A52382B_3765_4E8C_903F_6B8919B7242E_.wvu.Rows" hidden="1" oldHidden="1">
    <formula>Чум!$19:$21,Чум!$23:$24,Чум!$28:$28,Чум!$31:$39,Чум!$47:$49,Чум!$57:$57,Чум!$59:$60,Чум!$67:$68,Чум!$78:$79,Чум!$83:$87,Чум!$90:$97</formula>
    <oldFormula>Чум!$19:$21,Чум!$23:$24,Чум!$28:$28,Чум!$31:$39,Чум!$47:$49,Чум!$57:$57,Чум!$59:$60,Чум!$67:$68,Чум!$78:$79,Чум!$83:$87,Чум!$90:$97</oldFormula>
  </rdn>
  <rdn rId="0" localSheetId="15" customView="1" name="Z_1A52382B_3765_4E8C_903F_6B8919B7242E_.wvu.PrintArea" hidden="1" oldHidden="1">
    <formula>Шать!$A$1:$F$101</formula>
    <oldFormula>Шать!$A$1:$F$101</oldFormula>
  </rdn>
  <rdn rId="0" localSheetId="15" customView="1" name="Z_1A52382B_3765_4E8C_903F_6B8919B7242E_.wvu.Rows" hidden="1" oldHidden="1">
    <formula>Шать!$19:$24,Шать!$31:$39,Шать!$46:$49,Шать!$57:$57,Шать!$59:$60,Шать!$67:$68,Шать!$78:$79,Шать!$83:$87,Шать!$90:$97</formula>
    <oldFormula>Шать!$19:$24,Шать!$31:$39,Шать!$46:$49,Шать!$57:$57,Шать!$59:$60,Шать!$67:$68,Шать!$78:$79,Шать!$83:$87,Шать!$90:$97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Юнг!$19:$24,Юнг!$31:$38,Юнг!$45:$49,Юнг!$56:$56,Юнг!$58:$59,Юнг!$66:$67,Юнг!$77:$77,Юнг!$82:$86,Юнг!$89:$96</formula>
    <oldFormula>Юнг!$19:$24,Юнг!$31:$38,Юнг!$45:$49,Юнг!$56:$56,Юнг!$58:$59,Юнг!$66:$67,Юнг!$77:$77,Юнг!$82:$86,Юнг!$89:$96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Юсь!$20:$24,Юсь!$36:$36,Юсь!$40:$40,Юсь!$44:$49,Юсь!$58:$58,Юсь!$60:$61,Юсь!$68:$69,Юсь!$79:$80,Юсь!$84:$88,Юсь!$91:$98</formula>
    <oldFormula>Юсь!$20:$24,Юсь!$36:$36,Юсь!$40:$40,Юсь!$44:$49,Юсь!$58:$58,Юсь!$60:$61,Юсь!$68:$69,Юсь!$79:$80,Юсь!$84:$88,Юсь!$91:$98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Яра!$19:$24,Яра!$46:$46,Яра!$48:$51,Яра!$58:$58,Яра!$60:$61,Яра!$68:$69,Яра!$79:$80,Яра!$84:$88,Яра!$91:$98</formula>
    <oldFormula>Яра!$19:$24,Яра!$46:$46,Яра!$48:$51,Яра!$58:$58,Яра!$60:$61,Яра!$68:$69,Яра!$79:$80,Яра!$84:$88,Яра!$91:$98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431.xml><?xml version="1.0" encoding="utf-8"?>
<revisions xmlns="http://schemas.openxmlformats.org/spreadsheetml/2006/main" xmlns:r="http://schemas.openxmlformats.org/officeDocument/2006/relationships">
  <rfmt sheetId="14" sqref="D6:D40">
    <dxf>
      <numFmt numFmtId="175" formatCode="0.0000"/>
    </dxf>
  </rfmt>
  <rfmt sheetId="14" sqref="D6:D40">
    <dxf>
      <numFmt numFmtId="186" formatCode="0.000"/>
    </dxf>
  </rfmt>
  <rfmt sheetId="14" sqref="D6:D40">
    <dxf>
      <numFmt numFmtId="2" formatCode="0.00"/>
    </dxf>
  </rfmt>
  <rfmt sheetId="14" sqref="D6:D40">
    <dxf>
      <numFmt numFmtId="166" formatCode="0.0"/>
    </dxf>
  </rfmt>
  <rfmt sheetId="14" sqref="D41">
    <dxf>
      <numFmt numFmtId="175" formatCode="0.0000"/>
    </dxf>
  </rfmt>
  <rfmt sheetId="14" sqref="D41">
    <dxf>
      <numFmt numFmtId="186" formatCode="0.000"/>
    </dxf>
  </rfmt>
  <rfmt sheetId="14" sqref="D41">
    <dxf>
      <numFmt numFmtId="2" formatCode="0.00"/>
    </dxf>
  </rfmt>
  <rfmt sheetId="14" sqref="D41">
    <dxf>
      <numFmt numFmtId="166" formatCode="0.0"/>
    </dxf>
  </rfmt>
  <rcc rId="36195" sId="14" numFmtId="4">
    <oc r="D6">
      <v>13.22367</v>
    </oc>
    <nc r="D6">
      <v>19.645399999999999</v>
    </nc>
  </rcc>
  <rcc rId="36196" sId="14" numFmtId="4">
    <oc r="D8">
      <v>28.583359999999999</v>
    </oc>
    <nc r="D8">
      <v>40.838949999999997</v>
    </nc>
  </rcc>
  <rcc rId="36197" sId="14" numFmtId="4">
    <oc r="D9">
      <v>0.19392999999999999</v>
    </oc>
    <nc r="D9">
      <v>0.28534999999999999</v>
    </nc>
  </rcc>
  <rcc rId="36198" sId="14" numFmtId="4">
    <oc r="D10">
      <v>41.983280000000001</v>
    </oc>
    <nc r="D10">
      <v>59.878340000000001</v>
    </nc>
  </rcc>
  <rcc rId="36199" sId="14" numFmtId="4">
    <oc r="D11">
      <v>-6.2270899999999996</v>
    </oc>
    <nc r="D11">
      <v>-8.0374300000000005</v>
    </nc>
  </rcc>
  <rcc rId="36200" sId="14" numFmtId="4">
    <oc r="D13">
      <v>0</v>
    </oc>
    <nc r="D13">
      <v>20.793299999999999</v>
    </nc>
  </rcc>
  <rcc rId="36201" sId="14" numFmtId="4">
    <oc r="D15">
      <v>1.91743</v>
    </oc>
    <nc r="D15">
      <v>3.6108199999999999</v>
    </nc>
  </rcc>
  <rcc rId="36202" sId="14" numFmtId="4">
    <oc r="D16">
      <v>12.838089999999999</v>
    </oc>
    <nc r="D16">
      <v>40.158520000000003</v>
    </nc>
  </rcc>
  <rcc rId="36203" sId="14" numFmtId="4">
    <oc r="D18">
      <v>0.95</v>
    </oc>
    <nc r="D18">
      <v>1.1499999999999999</v>
    </nc>
  </rcc>
  <rcc rId="36204" sId="14" numFmtId="4">
    <oc r="D42">
      <v>328.31599999999997</v>
    </oc>
    <nc r="D42">
      <v>492.47399999999999</v>
    </nc>
  </rcc>
  <rcc rId="36205" sId="14" numFmtId="4">
    <oc r="D44">
      <v>0</v>
    </oc>
    <nc r="D44">
      <v>140.80000000000001</v>
    </nc>
  </rcc>
  <rcc rId="36206" sId="14" numFmtId="4">
    <oc r="D45">
      <v>14.834</v>
    </oc>
    <nc r="D45">
      <v>22.251000000000001</v>
    </nc>
  </rcc>
  <rcc rId="36207" sId="14" numFmtId="4">
    <oc r="D50">
      <v>287.44099999999997</v>
    </oc>
    <nc r="D50">
      <v>329.44099999999997</v>
    </nc>
  </rcc>
  <rcc rId="36208" sId="14">
    <nc r="G51">
      <f>5983.9151-C51</f>
    </nc>
  </rcc>
  <rcc rId="36209" sId="14" odxf="1" dxf="1">
    <nc r="H51">
      <f>1166.88463-D51</f>
    </nc>
    <odxf>
      <numFmt numFmtId="0" formatCode="General"/>
    </odxf>
    <ndxf>
      <numFmt numFmtId="172" formatCode="#,##0.00000"/>
    </ndxf>
  </rcc>
  <rfmt sheetId="14" sqref="C41:D41">
    <dxf>
      <numFmt numFmtId="2" formatCode="0.00"/>
    </dxf>
  </rfmt>
  <rfmt sheetId="14" sqref="C41:D41">
    <dxf>
      <numFmt numFmtId="186" formatCode="0.000"/>
    </dxf>
  </rfmt>
  <rfmt sheetId="14" sqref="C41:D41">
    <dxf>
      <numFmt numFmtId="175" formatCode="0.0000"/>
    </dxf>
  </rfmt>
  <rcc rId="36210" sId="14" numFmtId="4">
    <oc r="C43">
      <v>0</v>
    </oc>
    <nc r="C43">
      <v>650</v>
    </nc>
  </rcc>
  <rcc rId="36211" sId="14" numFmtId="4">
    <oc r="C44">
      <v>837.01599999999996</v>
    </oc>
    <nc r="C44">
      <v>1825.30438</v>
    </nc>
  </rcc>
  <rcc rId="36212" sId="14" numFmtId="4">
    <oc r="D30">
      <v>0</v>
    </oc>
    <nc r="D30">
      <v>3.59538</v>
    </nc>
  </rcc>
  <rfmt sheetId="14" sqref="C41:D41">
    <dxf>
      <numFmt numFmtId="186" formatCode="0.000"/>
    </dxf>
  </rfmt>
  <rfmt sheetId="14" sqref="C41:D41">
    <dxf>
      <numFmt numFmtId="2" formatCode="0.00"/>
    </dxf>
  </rfmt>
  <rfmt sheetId="14" sqref="C41:D41">
    <dxf>
      <numFmt numFmtId="166" formatCode="0.0"/>
    </dxf>
  </rfmt>
  <rcc rId="36213" sId="14">
    <oc r="G89">
      <f>C98-4485.71024</f>
    </oc>
    <nc r="G89"/>
  </rcc>
  <rcc rId="36214" sId="14">
    <nc r="G98">
      <f>6153.99862-C98</f>
    </nc>
  </rcc>
  <rcc rId="36215" sId="14" odxf="1" dxf="1">
    <nc r="H98">
      <f>850.38803-D98</f>
    </nc>
    <odxf>
      <numFmt numFmtId="0" formatCode="General"/>
    </odxf>
    <ndxf>
      <numFmt numFmtId="172" formatCode="#,##0.00000"/>
    </ndxf>
  </rcc>
  <rcc rId="36216" sId="14" numFmtId="34">
    <oc r="D58">
      <v>156.04003</v>
    </oc>
    <nc r="D58">
      <v>311.69357000000002</v>
    </nc>
  </rcc>
  <rcc rId="36217" sId="14" numFmtId="34">
    <oc r="D65">
      <v>9.5892800000000005</v>
    </oc>
    <nc r="D65">
      <v>17.202559999999998</v>
    </nc>
  </rcc>
  <rcc rId="36218" sId="14" numFmtId="34">
    <oc r="C75">
      <v>1526.03574</v>
    </oc>
    <nc r="C75">
      <v>2388.3583400000002</v>
    </nc>
  </rcc>
  <rcc rId="36219" sId="14" numFmtId="34">
    <oc r="D75">
      <v>17.600000000000001</v>
    </oc>
    <nc r="D75">
      <v>169.6</v>
    </nc>
  </rcc>
  <rcc rId="36220" sId="14" numFmtId="34">
    <oc r="C76">
      <v>45</v>
    </oc>
    <nc r="C76">
      <v>55</v>
    </nc>
  </rcc>
  <rcc rId="36221" sId="14" numFmtId="34">
    <oc r="D76">
      <v>1.2</v>
    </oc>
    <nc r="D76">
      <v>35.866999999999997</v>
    </nc>
  </rcc>
  <rcc rId="36222" sId="14" numFmtId="34">
    <oc r="C80">
      <v>475.38799999999998</v>
    </oc>
    <nc r="C80">
      <v>612.35378000000003</v>
    </nc>
  </rcc>
  <rcc rId="36223" sId="14" numFmtId="34">
    <oc r="D80">
      <v>42</v>
    </oc>
    <nc r="D80">
      <v>69.713999999999999</v>
    </nc>
  </rcc>
  <rcc rId="36224" sId="14" numFmtId="34">
    <oc r="C82">
      <v>957.4</v>
    </oc>
    <nc r="C82">
      <v>1615.4</v>
    </nc>
  </rcc>
  <rcc rId="36225" sId="14" numFmtId="34">
    <oc r="D82">
      <v>159.6</v>
    </oc>
    <nc r="D82">
      <v>239.4</v>
    </nc>
  </rcc>
  <rcc rId="36226" sId="14" numFmtId="34">
    <oc r="C89">
      <v>1</v>
    </oc>
    <nc r="C89">
      <v>2</v>
    </nc>
  </rcc>
  <rcc rId="36227" sId="14" numFmtId="34">
    <oc r="D70">
      <v>0</v>
    </oc>
    <nc r="D70">
      <v>0.6</v>
    </nc>
  </rcc>
  <rcc rId="36228" sId="14" numFmtId="34">
    <oc r="D74">
      <v>0</v>
    </oc>
    <nc r="D74">
      <v>2.0729000000000002</v>
    </nc>
  </rcc>
  <rfmt sheetId="14" sqref="C98:D98">
    <dxf>
      <numFmt numFmtId="183" formatCode="#,##0.0000"/>
    </dxf>
  </rfmt>
  <rfmt sheetId="14" sqref="C98:D98">
    <dxf>
      <numFmt numFmtId="173" formatCode="#,##0.000"/>
    </dxf>
  </rfmt>
  <rfmt sheetId="14" sqref="C98:D98">
    <dxf>
      <numFmt numFmtId="4" formatCode="#,##0.00"/>
    </dxf>
  </rfmt>
  <rfmt sheetId="14" sqref="C98:D98">
    <dxf>
      <numFmt numFmtId="167" formatCode="#,##0.0"/>
    </dxf>
  </rfmt>
  <rfmt sheetId="14" sqref="C51:D52">
    <dxf>
      <numFmt numFmtId="183" formatCode="#,##0.0000"/>
    </dxf>
  </rfmt>
  <rfmt sheetId="14" sqref="C51:D52">
    <dxf>
      <numFmt numFmtId="173" formatCode="#,##0.000"/>
    </dxf>
  </rfmt>
  <rfmt sheetId="14" sqref="C51:D52">
    <dxf>
      <numFmt numFmtId="4" formatCode="#,##0.00"/>
    </dxf>
  </rfmt>
  <rfmt sheetId="14" sqref="C51:D52">
    <dxf>
      <numFmt numFmtId="167" formatCode="#,##0.0"/>
    </dxf>
  </rfmt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PrintArea" hidden="1" oldHidden="1">
    <formula>Чум!$A$1:$F$101</formula>
    <oldFormula>Чум!$A$1:$F$101</oldFormula>
  </rdn>
  <rdn rId="0" localSheetId="14" customView="1" name="Z_1A52382B_3765_4E8C_903F_6B8919B7242E_.wvu.Rows" hidden="1" oldHidden="1">
    <formula>Чум!$19:$21,Чум!$23:$24,Чум!$28:$28,Чум!$31:$39,Чум!$47:$49,Чум!$57:$57,Чум!$59:$60,Чум!$67:$68,Чум!$78:$79,Чум!$83:$87,Чум!$90:$97</formula>
    <oldFormula>Чум!$19:$21,Чум!$23:$24,Чум!$34:$39,Чум!$47:$49,Чум!$57:$57,Чум!$59:$60,Чум!$67:$68,Чум!$83:$87,Чум!$90:$97</oldFormula>
  </rdn>
  <rdn rId="0" localSheetId="15" customView="1" name="Z_1A52382B_3765_4E8C_903F_6B8919B7242E_.wvu.PrintArea" hidden="1" oldHidden="1">
    <formula>Шать!$A$1:$F$101</formula>
    <oldFormula>Шать!$A$1:$F$101</oldFormula>
  </rdn>
  <rdn rId="0" localSheetId="15" customView="1" name="Z_1A52382B_3765_4E8C_903F_6B8919B7242E_.wvu.Rows" hidden="1" oldHidden="1">
    <formula>Шать!$19:$24,Шать!$31:$39,Шать!$46:$49,Шать!$57:$57,Шать!$59:$60,Шать!$67:$68,Шать!$78:$79,Шать!$83:$87,Шать!$90:$97</formula>
    <oldFormula>Шать!$19:$24,Шать!$31:$39,Шать!$46:$49,Шать!$57:$57,Шать!$59:$60,Шать!$67:$68,Шать!$78:$79,Шать!$83:$87,Шать!$90:$97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Юнг!$19:$24,Юнг!$31:$38,Юнг!$45:$49,Юнг!$56:$56,Юнг!$58:$59,Юнг!$66:$67,Юнг!$77:$77,Юнг!$82:$86,Юнг!$89:$96</formula>
    <oldFormula>Юнг!$19:$24,Юнг!$31:$38,Юнг!$45:$49,Юнг!$56:$56,Юнг!$58:$59,Юнг!$66:$67,Юнг!$77:$77,Юнг!$82:$86,Юнг!$89:$96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Юсь!$20:$24,Юсь!$36:$36,Юсь!$40:$40,Юсь!$44:$49,Юсь!$58:$58,Юсь!$60:$61,Юсь!$68:$69,Юсь!$79:$80,Юсь!$84:$88,Юсь!$91:$98</formula>
    <oldFormula>Юсь!$20:$24,Юсь!$36:$36,Юсь!$40:$40,Юсь!$44:$49,Юсь!$58:$58,Юсь!$60:$61,Юсь!$68:$69,Юсь!$79:$80,Юсь!$84:$88,Юсь!$91:$98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Яра!$19:$24,Яра!$46:$46,Яра!$48:$51,Яра!$58:$58,Яра!$60:$61,Яра!$68:$69,Яра!$79:$80,Яра!$84:$88,Яра!$91:$98</formula>
    <oldFormula>Яра!$19:$24,Яра!$46:$46,Яра!$48:$51,Яра!$58:$58,Яра!$60:$61,Яра!$68:$69,Яра!$79:$80,Яра!$84:$88,Яра!$91:$98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44.xml><?xml version="1.0" encoding="utf-8"?>
<revisions xmlns="http://schemas.openxmlformats.org/spreadsheetml/2006/main" xmlns:r="http://schemas.openxmlformats.org/officeDocument/2006/relationships">
  <rcc rId="36384" sId="13" numFmtId="4">
    <oc r="D6">
      <v>2.2951899999999998</v>
    </oc>
    <nc r="D6">
      <v>4.0829399999999998</v>
    </nc>
  </rcc>
  <rcc rId="36385" sId="13" numFmtId="4">
    <oc r="D8">
      <v>29.944479999999999</v>
    </oc>
    <nc r="D8">
      <v>42.783670000000001</v>
    </nc>
  </rcc>
  <rcc rId="36386" sId="13" numFmtId="4">
    <oc r="D9">
      <v>0.20316000000000001</v>
    </oc>
    <nc r="D9">
      <v>0.29892999999999997</v>
    </nc>
  </rcc>
  <rcc rId="36387" sId="13" numFmtId="4">
    <oc r="D10">
      <v>43.982500000000002</v>
    </oc>
    <nc r="D10">
      <v>62.729680000000002</v>
    </nc>
  </rcc>
  <rcc rId="36388" sId="13" numFmtId="4">
    <oc r="D11">
      <v>-6.5236299999999998</v>
    </oc>
    <nc r="D11">
      <v>-8.4201499999999996</v>
    </nc>
  </rcc>
  <rcc rId="36389" sId="13" numFmtId="4">
    <oc r="D15">
      <v>33.9313</v>
    </oc>
    <nc r="D15">
      <v>242.38261</v>
    </nc>
  </rcc>
  <rcc rId="36390" sId="13" numFmtId="4">
    <oc r="D16">
      <v>17.841239999999999</v>
    </oc>
    <nc r="D16">
      <v>38.149839999999998</v>
    </nc>
  </rcc>
  <rcc rId="36391" sId="13" numFmtId="4">
    <oc r="D18">
      <v>0.6</v>
    </oc>
    <nc r="D18">
      <v>1.4</v>
    </nc>
  </rcc>
  <rcc rId="36392" sId="13" numFmtId="4">
    <oc r="D27">
      <v>1.7416400000000001</v>
    </oc>
    <nc r="D27">
      <v>1.8445800000000001</v>
    </nc>
  </rcc>
  <rcc rId="36393" sId="13" numFmtId="4">
    <oc r="D39">
      <v>212.566</v>
    </oc>
    <nc r="D39">
      <v>318.84899999999999</v>
    </nc>
  </rcc>
  <rcc rId="36394" sId="13" numFmtId="4">
    <oc r="D41">
      <v>0</v>
    </oc>
    <nc r="D41">
      <v>22.5</v>
    </nc>
  </rcc>
  <rcc rId="36395" sId="13" numFmtId="4">
    <oc r="C42">
      <v>880.49800000000005</v>
    </oc>
    <nc r="C42">
      <v>1537.9304299999999</v>
    </nc>
  </rcc>
  <rcc rId="36396" sId="13" numFmtId="4">
    <oc r="D42">
      <v>0</v>
    </oc>
    <nc r="D42">
      <v>80.959999999999994</v>
    </nc>
  </rcc>
  <rcc rId="36397" sId="13" numFmtId="4">
    <oc r="D43">
      <v>14.834</v>
    </oc>
    <nc r="D43">
      <v>22.251000000000001</v>
    </nc>
  </rcc>
  <rcc rId="36398" sId="13" numFmtId="4">
    <oc r="C45">
      <v>7</v>
    </oc>
    <nc r="C45">
      <v>6.1711999999999998</v>
    </nc>
  </rcc>
  <rcc rId="36399" sId="13" numFmtId="4">
    <oc r="D45">
      <v>0</v>
    </oc>
    <nc r="D45">
      <v>6.1711999999999998</v>
    </nc>
  </rcc>
  <rcc rId="36400" sId="13">
    <nc r="G49">
      <f>5031.24963-C49</f>
    </nc>
  </rcc>
  <rcc rId="36401" sId="13">
    <nc r="H49">
      <f>837.6438-D49</f>
    </nc>
  </rcc>
  <rcc rId="36402" sId="13" odxf="1" dxf="1">
    <nc r="G96">
      <f>5314.80213-C96</f>
    </nc>
    <odxf>
      <numFmt numFmtId="0" formatCode="General"/>
    </odxf>
    <ndxf>
      <numFmt numFmtId="177" formatCode="_(* #,##0.00000_);_(* \(#,##0.00000\);_(* &quot;-&quot;??_);_(@_)"/>
    </ndxf>
  </rcc>
  <rcc rId="36403" sId="13" odxf="1" dxf="1">
    <nc r="H96">
      <f>542.3692-D96</f>
    </nc>
    <odxf>
      <numFmt numFmtId="0" formatCode="General"/>
    </odxf>
    <ndxf>
      <numFmt numFmtId="177" formatCode="_(* #,##0.00000_);_(* \(#,##0.00000\);_(* &quot;-&quot;??_);_(@_)"/>
    </ndxf>
  </rcc>
  <rcc rId="36404" sId="13" numFmtId="4">
    <nc r="C44">
      <v>1000</v>
    </nc>
  </rcc>
  <rcc rId="36405" sId="13" numFmtId="4">
    <nc r="D44">
      <v>0</v>
    </nc>
  </rcc>
  <rcc rId="36406" sId="13" numFmtId="34">
    <oc r="D56">
      <v>105.9734</v>
    </oc>
    <nc r="D56">
      <v>177.11725999999999</v>
    </nc>
  </rcc>
  <rcc rId="36407" sId="13" numFmtId="34">
    <oc r="D63">
      <v>9.3450000000000006</v>
    </oc>
    <nc r="D63">
      <v>16.690000000000001</v>
    </nc>
  </rcc>
  <rcc rId="36408" sId="13" numFmtId="34">
    <oc r="C73">
      <v>1441.34095</v>
    </oc>
    <nc r="C73">
      <v>2101.8393299999998</v>
    </nc>
  </rcc>
  <rcc rId="36409" sId="13" numFmtId="34">
    <oc r="D73">
      <v>11.04</v>
    </oc>
    <nc r="D73">
      <v>102.44</v>
    </nc>
  </rcc>
  <rcc rId="36410" sId="13" numFmtId="34">
    <oc r="C74">
      <v>0</v>
    </oc>
    <nc r="C74">
      <v>40</v>
    </nc>
  </rcc>
  <rcc rId="36411" sId="13" numFmtId="34">
    <oc r="D74">
      <v>0</v>
    </oc>
    <nc r="D74">
      <v>4.5</v>
    </nc>
  </rcc>
  <rcc rId="36412" sId="13" numFmtId="34">
    <oc r="C78">
      <v>183.01070000000001</v>
    </oc>
    <nc r="C78">
      <v>210.52430000000001</v>
    </nc>
  </rcc>
  <rcc rId="36413" sId="13" numFmtId="34">
    <oc r="D78">
      <v>0</v>
    </oc>
    <nc r="D78">
      <v>20.931439999999998</v>
    </nc>
  </rcc>
  <rcc rId="36414" sId="13" numFmtId="34">
    <oc r="C80">
      <v>863.7</v>
    </oc>
    <nc r="C80">
      <v>1863.7</v>
    </nc>
  </rcc>
  <rcc rId="36415" sId="13" numFmtId="34">
    <oc r="D80">
      <v>144</v>
    </oc>
    <nc r="D80">
      <v>216</v>
    </nc>
  </rcc>
  <rcc rId="36416" sId="12">
    <oc r="D54" t="inlineStr">
      <is>
        <t>исполнено на 01.03.2019 г.</t>
      </is>
    </oc>
    <nc r="D54" t="inlineStr">
      <is>
        <t>исполнено на 01.04.2019 г.</t>
      </is>
    </nc>
  </rcc>
  <rcc rId="36417" sId="12">
    <oc r="D3" t="inlineStr">
      <is>
        <t>исполнен на 01.03.2019 г.</t>
      </is>
    </oc>
    <nc r="D3" t="inlineStr">
      <is>
        <t>исполнен на 01.04.2019 г.</t>
      </is>
    </nc>
  </rcc>
  <rcc rId="36418" sId="12">
    <oc r="A1" t="inlineStr">
      <is>
        <t xml:space="preserve">                     Анализ исполнения бюджета Тораевского сельского поселения на 01.03.2019 г.</t>
      </is>
    </oc>
    <nc r="A1" t="inlineStr">
      <is>
        <t xml:space="preserve">                     Анализ исполнения бюджета Тораевского сельского поселения на 01.04.2019 г.</t>
      </is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PrintArea" hidden="1" oldHidden="1">
    <formula>Хор!$A$1:$F$99</formula>
  </rdn>
  <rdn rId="0" localSheetId="13" customView="1" name="Z_1A52382B_3765_4E8C_903F_6B8919B7242E_.wvu.Rows" hidden="1" oldHidden="1">
    <formula>Хор!$19:$24,Хор!$28:$36,Хор!$40:$40,Хор!$46:$48,Хор!$55:$55,Хор!$57:$59,Хор!$65:$66,Хор!$72:$72,Хор!$76:$77,Хор!$81:$85,Хор!$88:$95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PrintArea" hidden="1" oldHidden="1">
    <formula>Чум!$A$1:$F$101</formula>
    <oldFormula>Чум!$A$1:$F$101</oldFormula>
  </rdn>
  <rdn rId="0" localSheetId="14" customView="1" name="Z_1A52382B_3765_4E8C_903F_6B8919B7242E_.wvu.Rows" hidden="1" oldHidden="1">
    <formula>Чум!$19:$21,Чум!$23:$24,Чум!$28:$28,Чум!$31:$39,Чум!$47:$49,Чум!$57:$57,Чум!$59:$60,Чум!$67:$68,Чум!$78:$79,Чум!$83:$87,Чум!$90:$97</formula>
    <oldFormula>Чум!$19:$21,Чум!$23:$24,Чум!$28:$28,Чум!$31:$39,Чум!$47:$49,Чум!$57:$57,Чум!$59:$60,Чум!$67:$68,Чум!$78:$79,Чум!$83:$87,Чум!$90:$97</oldFormula>
  </rdn>
  <rdn rId="0" localSheetId="15" customView="1" name="Z_1A52382B_3765_4E8C_903F_6B8919B7242E_.wvu.PrintArea" hidden="1" oldHidden="1">
    <formula>Шать!$A$1:$F$101</formula>
    <oldFormula>Шать!$A$1:$F$101</oldFormula>
  </rdn>
  <rdn rId="0" localSheetId="15" customView="1" name="Z_1A52382B_3765_4E8C_903F_6B8919B7242E_.wvu.Rows" hidden="1" oldHidden="1">
    <formula>Шать!$19:$24,Шать!$31:$39,Шать!$46:$49,Шать!$57:$57,Шать!$59:$60,Шать!$67:$68,Шать!$78:$79,Шать!$83:$87,Шать!$90:$97</formula>
    <oldFormula>Шать!$19:$24,Шать!$31:$39,Шать!$46:$49,Шать!$57:$57,Шать!$59:$60,Шать!$67:$68,Шать!$78:$79,Шать!$83:$87,Шать!$90:$97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Юнг!$19:$24,Юнг!$31:$38,Юнг!$45:$49,Юнг!$56:$56,Юнг!$58:$59,Юнг!$66:$67,Юнг!$77:$77,Юнг!$82:$86,Юнг!$89:$96</formula>
    <oldFormula>Юнг!$19:$24,Юнг!$31:$38,Юнг!$45:$49,Юнг!$56:$56,Юнг!$58:$59,Юнг!$66:$67,Юнг!$77:$77,Юнг!$82:$86,Юнг!$89:$96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Юсь!$20:$24,Юсь!$36:$36,Юсь!$40:$40,Юсь!$44:$49,Юсь!$58:$58,Юсь!$60:$61,Юсь!$68:$69,Юсь!$79:$80,Юсь!$84:$88,Юсь!$91:$98</formula>
    <oldFormula>Юсь!$20:$24,Юсь!$36:$36,Юсь!$40:$40,Юсь!$44:$49,Юсь!$58:$58,Юсь!$60:$61,Юсь!$68:$69,Юсь!$79:$80,Юсь!$84:$88,Юсь!$91:$98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Яра!$19:$24,Яра!$46:$46,Яра!$48:$51,Яра!$58:$58,Яра!$60:$61,Яра!$68:$69,Яра!$79:$80,Яра!$84:$88,Яра!$91:$98</formula>
    <oldFormula>Яра!$19:$24,Яра!$46:$46,Яра!$48:$51,Яра!$58:$58,Яра!$60:$61,Яра!$68:$69,Яра!$79:$80,Яра!$84:$88,Яра!$91:$98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45.xml><?xml version="1.0" encoding="utf-8"?>
<revisions xmlns="http://schemas.openxmlformats.org/spreadsheetml/2006/main" xmlns:r="http://schemas.openxmlformats.org/officeDocument/2006/relationships">
  <rcc rId="37966" sId="18">
    <oc r="H52">
      <f>1113.71067-D52</f>
    </oc>
    <nc r="H52"/>
  </rcc>
  <rcc rId="37967" sId="18">
    <oc r="A1" t="inlineStr">
      <is>
        <t xml:space="preserve">                     Анализ исполнения бюджета Ярабайкасинского сельского поселения на 01.04.2019 г.</t>
      </is>
    </oc>
    <nc r="A1" t="inlineStr">
      <is>
        <t xml:space="preserve">                     Анализ исполнения бюджета Ярабайкасинского сельского поселения на 01.05.2019 г.</t>
      </is>
    </nc>
  </rcc>
  <rcc rId="37968" sId="18">
    <oc r="D3" t="inlineStr">
      <is>
        <t>исполнен на 01.04.2019 г.</t>
      </is>
    </oc>
    <nc r="D3" t="inlineStr">
      <is>
        <t>исполнен на 01.05.2019 г.</t>
      </is>
    </nc>
  </rcc>
  <rcc rId="37969" sId="18">
    <oc r="D55" t="inlineStr">
      <is>
        <t>исполнено на 01.04.2019 г.</t>
      </is>
    </oc>
    <nc r="D55" t="inlineStr">
      <is>
        <t>исполнено на 01.05.2019 г.</t>
      </is>
    </nc>
  </rcc>
  <rcc rId="37970" sId="18" numFmtId="4">
    <oc r="D6">
      <v>17.818680000000001</v>
    </oc>
    <nc r="D6">
      <v>39.724699999999999</v>
    </nc>
  </rcc>
  <rcc rId="37971" sId="18" numFmtId="4">
    <oc r="D8">
      <v>95.013069999999999</v>
    </oc>
    <nc r="D8">
      <v>128.12006</v>
    </nc>
  </rcc>
  <rcc rId="37972" sId="18" numFmtId="4">
    <oc r="D9">
      <v>0.66385000000000005</v>
    </oc>
    <nc r="D9">
      <v>0.93518999999999997</v>
    </nc>
  </rcc>
  <rcc rId="37973" sId="18" numFmtId="4">
    <oc r="D10">
      <v>139.30878000000001</v>
    </oc>
    <nc r="D10">
      <v>182.11678000000001</v>
    </nc>
  </rcc>
  <rcc rId="37974" sId="18" numFmtId="4">
    <oc r="D11">
      <v>-18.699290000000001</v>
    </oc>
    <nc r="D11">
      <v>-26.482050000000001</v>
    </nc>
  </rcc>
  <rfmt sheetId="18" sqref="C4:D45">
    <dxf>
      <numFmt numFmtId="1" formatCode="0"/>
    </dxf>
  </rfmt>
  <rfmt sheetId="18" sqref="C4:D45">
    <dxf>
      <numFmt numFmtId="166" formatCode="0.0"/>
    </dxf>
  </rfmt>
  <rcc rId="37975" sId="18" numFmtId="4">
    <oc r="D13">
      <v>6.5393999999999997</v>
    </oc>
    <nc r="D13">
      <v>18.549779999999998</v>
    </nc>
  </rcc>
  <rcc rId="37976" sId="18" numFmtId="4">
    <oc r="D15">
      <v>19.572600000000001</v>
    </oc>
    <nc r="D15">
      <v>20.812069999999999</v>
    </nc>
  </rcc>
  <rcc rId="37977" sId="18" numFmtId="4">
    <oc r="D16">
      <v>91.031989999999993</v>
    </oc>
    <nc r="D16">
      <v>122.82890999999999</v>
    </nc>
  </rcc>
  <rcc rId="37978" sId="18" numFmtId="4">
    <oc r="D18">
      <v>3.27</v>
    </oc>
    <nc r="D18">
      <v>3.87</v>
    </nc>
  </rcc>
  <rcc rId="37979" sId="18" numFmtId="4">
    <oc r="D27">
      <v>0.39300000000000002</v>
    </oc>
    <nc r="D27">
      <v>0.65500000000000003</v>
    </nc>
  </rcc>
  <rcc rId="37980" sId="18" numFmtId="4">
    <oc r="D42">
      <v>463.2</v>
    </oc>
    <nc r="D42">
      <v>617.6</v>
    </nc>
  </rcc>
  <rcc rId="37981" sId="18" numFmtId="4">
    <oc r="D43">
      <v>50</v>
    </oc>
    <nc r="D43">
      <v>100</v>
    </nc>
  </rcc>
  <rcc rId="37982" sId="18" numFmtId="4">
    <oc r="D44">
      <v>270.22399999999999</v>
    </oc>
    <nc r="D44">
      <v>403.22800000000001</v>
    </nc>
  </rcc>
  <rcc rId="37983" sId="18" numFmtId="4">
    <oc r="D45">
      <v>44.499000000000002</v>
    </oc>
    <nc r="D45">
      <v>60.1464</v>
    </nc>
  </rcc>
  <rcc rId="37984" sId="18" numFmtId="4">
    <oc r="D31">
      <v>25</v>
    </oc>
    <nc r="D31">
      <v>37.896369999999997</v>
    </nc>
  </rcc>
  <rcc rId="37985" sId="18">
    <oc r="G52">
      <f>12545.68858-C52</f>
    </oc>
    <nc r="G52"/>
  </rcc>
  <rfmt sheetId="18" sqref="C52:D53">
    <dxf>
      <numFmt numFmtId="183" formatCode="#,##0.0000"/>
    </dxf>
  </rfmt>
  <rfmt sheetId="18" sqref="C52:D53">
    <dxf>
      <numFmt numFmtId="173" formatCode="#,##0.000"/>
    </dxf>
  </rfmt>
  <rfmt sheetId="18" sqref="C52:D53">
    <dxf>
      <numFmt numFmtId="4" formatCode="#,##0.00"/>
    </dxf>
  </rfmt>
  <rfmt sheetId="18" sqref="C52:D53">
    <dxf>
      <numFmt numFmtId="167" formatCode="#,##0.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Яра!$19:$24,Яра!$46:$46,Яра!$48:$51,Яра!$58:$58,Яра!$60:$62,Яра!$68:$69,Яра!$79:$80,Яра!$84:$88,Яра!$91:$98,Яра!$143:$143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Яро!$19:$24,Яро!$28:$28,Яро!$34:$36,Яро!$43:$43,Яро!$46:$47,Яро!$54:$54,Яро!$56:$58,Яро!$64:$65,Яро!$75:$75,Яро!$80:$84,Яро!$87:$90,Яро!$92:$94</formula>
    <oldFormula>Яро!$19:$24,Яро!$28:$28,Яро!$34:$36,Яро!$43:$43,Яро!$46:$47,Яро!$54:$54,Яро!$56:$58,Яро!$64:$65,Яро!$75:$75,Яро!$80:$84,Яро!$87:$90,Яро!$92:$94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451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Справка!$33:$33,Справка!$35:$35</formula>
    <oldFormula>Справка!$33:$33,Справка!$35:$35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46.xml><?xml version="1.0" encoding="utf-8"?>
<revisions xmlns="http://schemas.openxmlformats.org/spreadsheetml/2006/main" xmlns:r="http://schemas.openxmlformats.org/officeDocument/2006/relationships">
  <rcc rId="38836" sId="13">
    <oc r="A1" t="inlineStr">
      <is>
        <t xml:space="preserve">                     Анализ исполнения бюджета Хорнойского сельского поселения на 01.04.2019 г.</t>
      </is>
    </oc>
    <nc r="A1" t="inlineStr">
      <is>
        <t xml:space="preserve">                     Анализ исполнения бюджета Хорнойского сельского поселения на 01.05.2019 г.</t>
      </is>
    </nc>
  </rcc>
  <rcc rId="38837" sId="13">
    <oc r="D3" t="inlineStr">
      <is>
        <t>исполнен на 01.04.2019 г.</t>
      </is>
    </oc>
    <nc r="D3" t="inlineStr">
      <is>
        <t>исполнен на 01.05.2019 г.</t>
      </is>
    </nc>
  </rcc>
  <rcc rId="38838" sId="13">
    <oc r="D52" t="inlineStr">
      <is>
        <t>исполнено на 01.04.2019 г.</t>
      </is>
    </oc>
    <nc r="D52" t="inlineStr">
      <is>
        <t>исполнено на 01.05.2019 г.</t>
      </is>
    </nc>
  </rcc>
  <rcc rId="38839" sId="13" numFmtId="4">
    <oc r="D6">
      <v>4.0829399999999998</v>
    </oc>
    <nc r="D6">
      <v>17.85491</v>
    </nc>
  </rcc>
  <rcc rId="38840" sId="13" numFmtId="4">
    <oc r="D8">
      <v>42.783670000000001</v>
    </oc>
    <nc r="D8">
      <v>57.691490000000002</v>
    </nc>
  </rcc>
  <rcc rId="38841" sId="13" numFmtId="4">
    <oc r="D9">
      <v>0.29892999999999997</v>
    </oc>
    <nc r="D9">
      <v>0.42110999999999998</v>
    </nc>
  </rcc>
  <rcc rId="38842" sId="13" numFmtId="4">
    <oc r="D10">
      <v>62.729680000000002</v>
    </oc>
    <nc r="D10">
      <v>82.005799999999994</v>
    </nc>
  </rcc>
  <rcc rId="38843" sId="13" numFmtId="4">
    <oc r="D11">
      <v>-8.4201499999999996</v>
    </oc>
    <nc r="D11">
      <v>-11.92468</v>
    </nc>
  </rcc>
  <rcc rId="38844" sId="13" numFmtId="4">
    <oc r="D15">
      <v>242.38261</v>
    </oc>
    <nc r="D15">
      <v>244.00111000000001</v>
    </nc>
  </rcc>
  <rcc rId="38845" sId="13" numFmtId="4">
    <oc r="D16">
      <v>38.149839999999998</v>
    </oc>
    <nc r="D16">
      <v>43.622439999999997</v>
    </nc>
  </rcc>
  <rcc rId="38846" sId="13" numFmtId="4">
    <oc r="D18">
      <v>1.4</v>
    </oc>
    <nc r="D18">
      <v>1.8</v>
    </nc>
  </rcc>
  <rcc rId="38847" sId="13" numFmtId="4">
    <oc r="D27">
      <v>1.8445800000000001</v>
    </oc>
    <nc r="D27">
      <v>76.967389999999995</v>
    </nc>
  </rcc>
  <rfmt sheetId="13" sqref="C37:D38">
    <dxf>
      <numFmt numFmtId="1" formatCode="0"/>
    </dxf>
  </rfmt>
  <rfmt sheetId="13" sqref="C37:D38">
    <dxf>
      <numFmt numFmtId="166" formatCode="0.0"/>
    </dxf>
  </rfmt>
  <rcc rId="38848" sId="13" numFmtId="4">
    <oc r="D39">
      <v>318.84899999999999</v>
    </oc>
    <nc r="D39">
      <v>425.13200000000001</v>
    </nc>
  </rcc>
  <rcc rId="38849" sId="13" numFmtId="4">
    <oc r="D41">
      <v>22.5</v>
    </oc>
    <nc r="D41">
      <v>45</v>
    </nc>
  </rcc>
  <rcc rId="38850" sId="13" numFmtId="4">
    <oc r="D42">
      <v>133.76</v>
    </oc>
    <nc r="D42">
      <v>157.52000000000001</v>
    </nc>
  </rcc>
  <rcc rId="38851" sId="13" numFmtId="4">
    <oc r="D43">
      <v>22.251000000000001</v>
    </oc>
    <nc r="D43">
      <v>29.776</v>
    </nc>
  </rcc>
  <rcc rId="38852" sId="13">
    <oc r="G49">
      <f>5031.24963-C49</f>
    </oc>
    <nc r="G49"/>
  </rcc>
  <rcc rId="38853" sId="13">
    <oc r="H49">
      <f>837.6438-D49</f>
    </oc>
    <nc r="H49"/>
  </rcc>
  <rfmt sheetId="13" sqref="C49:D49">
    <dxf>
      <numFmt numFmtId="176" formatCode="_(* #,##0.0000_);_(* \(#,##0.0000\);_(* &quot;-&quot;??_);_(@_)"/>
    </dxf>
  </rfmt>
  <rfmt sheetId="13" sqref="C49:D49">
    <dxf>
      <numFmt numFmtId="188" formatCode="_(* #,##0.000_);_(* \(#,##0.000\);_(* &quot;-&quot;??_);_(@_)"/>
    </dxf>
  </rfmt>
  <rfmt sheetId="13" sqref="C49:D49">
    <dxf>
      <numFmt numFmtId="165" formatCode="_(* #,##0.00_);_(* \(#,##0.00\);_(* &quot;-&quot;??_);_(@_)"/>
    </dxf>
  </rfmt>
  <rfmt sheetId="13" sqref="C49:D49">
    <dxf>
      <numFmt numFmtId="169" formatCode="_(* #,##0.0_);_(* \(#,##0.0\);_(* &quot;-&quot;??_);_(@_)"/>
    </dxf>
  </rfmt>
  <rcc rId="38854" sId="13" numFmtId="34">
    <oc r="D56">
      <v>177.11725999999999</v>
    </oc>
    <nc r="D56">
      <v>304.70987000000002</v>
    </nc>
  </rcc>
  <rcc rId="38855" sId="13" numFmtId="34">
    <oc r="D63">
      <v>16.690000000000001</v>
    </oc>
    <nc r="D63">
      <v>29.38</v>
    </nc>
  </rcc>
  <rcc rId="38856" sId="13" numFmtId="34">
    <oc r="D73">
      <v>102.44</v>
    </oc>
    <nc r="D73">
      <v>179</v>
    </nc>
  </rcc>
  <rcc rId="38857" sId="13" numFmtId="34">
    <oc r="D74">
      <v>4.5</v>
    </oc>
    <nc r="D74">
      <v>13.835000000000001</v>
    </nc>
  </rcc>
  <rcc rId="38858" sId="13" numFmtId="34">
    <oc r="D78">
      <v>20.931439999999998</v>
    </oc>
    <nc r="D78">
      <v>68.140180000000001</v>
    </nc>
  </rcc>
  <rcc rId="38859" sId="13" numFmtId="34">
    <oc r="D80">
      <v>216</v>
    </oc>
    <nc r="D80">
      <v>288</v>
    </nc>
  </rcc>
  <rcc rId="38860" sId="13">
    <oc r="G96">
      <f>5314.80213-C96</f>
    </oc>
    <nc r="G96"/>
  </rcc>
  <rcc rId="38861" sId="13">
    <oc r="H96">
      <f>542.3692-D96</f>
    </oc>
    <nc r="H96"/>
  </rcc>
  <rfmt sheetId="13" sqref="C96:D96">
    <dxf>
      <numFmt numFmtId="176" formatCode="_(* #,##0.0000_);_(* \(#,##0.0000\);_(* &quot;-&quot;??_);_(@_)"/>
    </dxf>
  </rfmt>
  <rfmt sheetId="13" sqref="C96:D96">
    <dxf>
      <numFmt numFmtId="188" formatCode="_(* #,##0.000_);_(* \(#,##0.000\);_(* &quot;-&quot;??_);_(@_)"/>
    </dxf>
  </rfmt>
  <rfmt sheetId="13" sqref="C96:D96">
    <dxf>
      <numFmt numFmtId="165" formatCode="_(* #,##0.00_);_(* \(#,##0.00\);_(* &quot;-&quot;??_);_(@_)"/>
    </dxf>
  </rfmt>
  <rfmt sheetId="13" sqref="C96:D96">
    <dxf>
      <numFmt numFmtId="169" formatCode="_(* #,##0.0_);_(* \(#,##0.0\);_(* &quot;-&quot;??_);_(@_)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PrintArea" hidden="1" oldHidden="1">
    <formula>Хор!$A$1:$F$99</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PrintArea" hidden="1" oldHidden="1">
    <formula>Шать!$A$1:$F$101</formula>
    <oldFormula>Шать!$A$1:$F$101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Юнг!$19:$24,Юнг!$38:$38,Юнг!$45:$49,Юнг!$56:$56,Юнг!$58:$60,Юнг!$66:$67,Юнг!$77:$78,Юнг!$82:$86,Юнг!$89:$96,Юнг!$142:$142</formula>
    <oldFormula>Юнг!$19:$24,Юнг!$38:$38,Юнг!$45:$49,Юнг!$56:$56,Юнг!$58:$60,Юнг!$66:$67,Юнг!$77:$78,Юнг!$82:$86,Юнг!$89:$96,Юнг!$142:$142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Яра!$19:$24,Яра!$46:$46,Яра!$48:$51,Яра!$58:$58,Яра!$60:$62,Яра!$68:$69,Яра!$79:$80,Яра!$84:$88,Яра!$91:$98,Яра!$143:$143</formula>
    <oldFormula>Яра!$19:$24,Яра!$46:$46,Яра!$48:$51,Яра!$58:$58,Яра!$60:$62,Яра!$68:$69,Яра!$79:$80,Яра!$84:$88,Яра!$91:$98,Яра!$143:$143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Яро!$19:$24,Яро!$28:$28,Яро!$34:$36,Яро!$43:$43,Яро!$46:$47,Яро!$54:$54,Яро!$56:$58,Яро!$64:$65,Яро!$75:$75,Яро!$80:$84,Яро!$87:$90,Яро!$92:$94</formula>
    <oldFormula>Яро!$19:$24,Яро!$28:$28,Яро!$34:$36,Яро!$43:$43,Яро!$46:$47,Яро!$54:$54,Яро!$56:$58,Яро!$64:$65,Яро!$75:$75,Яро!$80:$84,Яро!$87:$90,Яро!$92:$94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461.xml><?xml version="1.0" encoding="utf-8"?>
<revisions xmlns="http://schemas.openxmlformats.org/spreadsheetml/2006/main" xmlns:r="http://schemas.openxmlformats.org/officeDocument/2006/relationships">
  <rcc rId="37818" sId="19">
    <oc r="A1" t="inlineStr">
      <is>
        <t xml:space="preserve">                     Анализ исполнения бюджета Ярославского сельского поселения на 01.04.2019 г.</t>
      </is>
    </oc>
    <nc r="A1" t="inlineStr">
      <is>
        <t xml:space="preserve">                     Анализ исполнения бюджета Ярославского сельского поселения на 01.05.2019 г.</t>
      </is>
    </nc>
  </rcc>
  <rcc rId="37819" sId="19">
    <oc r="D3" t="inlineStr">
      <is>
        <t>исполнен на 01.04.2019 г.</t>
      </is>
    </oc>
    <nc r="D3" t="inlineStr">
      <is>
        <t>исполнен на 01.05.2019 г.</t>
      </is>
    </nc>
  </rcc>
  <rcc rId="37820" sId="19">
    <oc r="D51" t="inlineStr">
      <is>
        <t>исполнено на 01.04.2019 г.</t>
      </is>
    </oc>
    <nc r="D51" t="inlineStr">
      <is>
        <t>исполнено на 01.05.2019 г.</t>
      </is>
    </nc>
  </rcc>
  <rcc rId="37821" sId="19" numFmtId="4">
    <oc r="D6">
      <v>22.947379999999999</v>
    </oc>
    <nc r="D6">
      <v>32.203409999999998</v>
    </nc>
  </rcc>
  <rcc rId="37822" sId="19" numFmtId="4">
    <oc r="D8">
      <v>54.45194</v>
    </oc>
    <nc r="D8">
      <v>73.425539999999998</v>
    </nc>
  </rcc>
  <rcc rId="37823" sId="19" numFmtId="4">
    <oc r="D9">
      <v>0.38045000000000001</v>
    </oc>
    <nc r="D9">
      <v>0.53595000000000004</v>
    </nc>
  </rcc>
  <rcc rId="37824" sId="19" numFmtId="4">
    <oc r="D10">
      <v>79.837779999999995</v>
    </oc>
    <nc r="D10">
      <v>104.37102</v>
    </nc>
  </rcc>
  <rcc rId="37825" sId="19" numFmtId="4">
    <oc r="D13">
      <v>0.74790000000000001</v>
    </oc>
    <nc r="D13">
      <v>0.77749999999999997</v>
    </nc>
  </rcc>
  <rcc rId="37826" sId="19" numFmtId="4">
    <oc r="D15">
      <v>94.37594</v>
    </oc>
    <nc r="D15">
      <v>94.494500000000002</v>
    </nc>
  </rcc>
  <rcc rId="37827" sId="19" numFmtId="4">
    <oc r="D16">
      <v>70.572919999999996</v>
    </oc>
    <nc r="D16">
      <v>82.918080000000003</v>
    </nc>
  </rcc>
  <rcc rId="37828" sId="19" numFmtId="4">
    <oc r="D18">
      <v>1.95</v>
    </oc>
    <nc r="D18">
      <v>2.15</v>
    </nc>
  </rcc>
  <rcc rId="37829" sId="19" numFmtId="4">
    <oc r="D27">
      <v>37.333770000000001</v>
    </oc>
    <nc r="D27">
      <v>77.393360000000001</v>
    </nc>
  </rcc>
  <rfmt sheetId="19" sqref="C37:D38">
    <dxf>
      <numFmt numFmtId="175" formatCode="0.0000"/>
    </dxf>
  </rfmt>
  <rfmt sheetId="19" sqref="C37:D38">
    <dxf>
      <numFmt numFmtId="186" formatCode="0.000"/>
    </dxf>
  </rfmt>
  <rfmt sheetId="19" sqref="C37:D38">
    <dxf>
      <numFmt numFmtId="2" formatCode="0.00"/>
    </dxf>
  </rfmt>
  <rfmt sheetId="19" sqref="C37:D38">
    <dxf>
      <numFmt numFmtId="166" formatCode="0.0"/>
    </dxf>
  </rfmt>
  <rfmt sheetId="19" sqref="C37:D38">
    <dxf>
      <numFmt numFmtId="1" formatCode="0"/>
    </dxf>
  </rfmt>
  <rcc rId="37830" sId="19" numFmtId="4">
    <oc r="D39">
      <v>137.67599999999999</v>
    </oc>
    <nc r="D39">
      <v>183.56800000000001</v>
    </nc>
  </rcc>
  <rcc rId="37831" sId="19" numFmtId="4">
    <oc r="D40">
      <v>70</v>
    </oc>
    <nc r="D40">
      <v>140</v>
    </nc>
  </rcc>
  <rcc rId="37832" sId="19" numFmtId="4">
    <oc r="D41">
      <v>211.54400000000001</v>
    </oc>
    <nc r="D41">
      <v>269.904</v>
    </nc>
  </rcc>
  <rcc rId="37833" sId="19" numFmtId="4">
    <oc r="D42">
      <v>22.254000000000001</v>
    </oc>
    <nc r="D42">
      <v>29.779</v>
    </nc>
  </rcc>
  <rcc rId="37834" sId="19" numFmtId="4">
    <oc r="D11">
      <v>-10.716559999999999</v>
    </oc>
    <nc r="D11">
      <v>-15.17684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Яро!$19:$24,Яро!$28:$28,Яро!$34:$36,Яро!$43:$43,Яро!$46:$47,Яро!$54:$54,Яро!$56:$58,Яро!$64:$65,Яро!$75:$75,Яро!$80:$84,Яро!$87:$90,Яро!$92:$94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47.xml><?xml version="1.0" encoding="utf-8"?>
<revisions xmlns="http://schemas.openxmlformats.org/spreadsheetml/2006/main" xmlns:r="http://schemas.openxmlformats.org/officeDocument/2006/relationships">
  <rcc rId="38015" sId="18" numFmtId="34">
    <oc r="D66">
      <v>33.871110000000002</v>
    </oc>
    <nc r="D66">
      <v>58.744230000000002</v>
    </nc>
  </rcc>
  <rcc rId="38016" sId="18" numFmtId="34">
    <oc r="D71">
      <v>0.17499999999999999</v>
    </oc>
    <nc r="D71">
      <v>1.175</v>
    </nc>
  </rcc>
  <rcc rId="38017" sId="18" numFmtId="34">
    <oc r="D74">
      <v>0</v>
    </oc>
    <nc r="D74">
      <v>1.3405</v>
    </nc>
  </rcc>
  <rcc rId="38018" sId="18" numFmtId="34">
    <oc r="D75">
      <v>0</v>
    </oc>
    <nc r="D75">
      <v>8.8089999999999993</v>
    </nc>
  </rcc>
  <rcc rId="38019" sId="18" numFmtId="34">
    <oc r="D76">
      <v>192.20707999999999</v>
    </oc>
    <nc r="D76">
      <v>458.21508</v>
    </nc>
  </rcc>
  <rcc rId="38020" sId="18" numFmtId="34">
    <oc r="D81">
      <v>37.380409999999998</v>
    </oc>
    <nc r="D81">
      <v>195.06657999999999</v>
    </nc>
  </rcc>
  <rcc rId="38021" sId="18" numFmtId="34">
    <oc r="D83">
      <v>342.00076999999999</v>
    </oc>
    <nc r="D83">
      <v>803.76350000000002</v>
    </nc>
  </rcc>
  <rcc rId="38022" sId="18" numFmtId="34">
    <oc r="D90">
      <v>19.599</v>
    </oc>
    <nc r="D90">
      <v>25.768999999999998</v>
    </nc>
  </rcc>
  <rcc rId="38023" sId="18">
    <oc r="G99">
      <f>13760.58764-C99</f>
    </oc>
    <nc r="G99">
      <f>13760.58764-C99</f>
    </nc>
  </rcc>
  <rcc rId="38024" sId="18">
    <oc r="H99">
      <f>886.37655-D99</f>
    </oc>
    <nc r="H99">
      <f>D99-2015.50722</f>
    </nc>
  </rcc>
  <rcc rId="38025" sId="18" numFmtId="34">
    <oc r="D59">
      <v>253.37368000000001</v>
    </oc>
    <nc r="D59">
      <v>454.85482999999999</v>
    </nc>
  </rcc>
  <rfmt sheetId="18" sqref="C52:D52">
    <dxf>
      <numFmt numFmtId="4" formatCode="#,##0.00"/>
    </dxf>
  </rfmt>
  <rfmt sheetId="18" sqref="C52:D52">
    <dxf>
      <numFmt numFmtId="173" formatCode="#,##0.000"/>
    </dxf>
  </rfmt>
  <rfmt sheetId="18" sqref="C52:D52">
    <dxf>
      <numFmt numFmtId="183" formatCode="#,##0.0000"/>
    </dxf>
  </rfmt>
  <rfmt sheetId="18" sqref="C52:D52">
    <dxf>
      <numFmt numFmtId="172" formatCode="#,##0.00000"/>
    </dxf>
  </rfmt>
  <rfmt sheetId="18" sqref="C52:D52">
    <dxf>
      <numFmt numFmtId="183" formatCode="#,##0.0000"/>
    </dxf>
  </rfmt>
  <rfmt sheetId="18" sqref="C52:D52">
    <dxf>
      <numFmt numFmtId="173" formatCode="#,##0.000"/>
    </dxf>
  </rfmt>
  <rfmt sheetId="18" sqref="C52:D52">
    <dxf>
      <numFmt numFmtId="4" formatCode="#,##0.00"/>
    </dxf>
  </rfmt>
  <rfmt sheetId="18" sqref="C52:D52">
    <dxf>
      <numFmt numFmtId="167" formatCode="#,##0.0"/>
    </dxf>
  </rfmt>
  <rfmt sheetId="18" sqref="C99:D99">
    <dxf>
      <numFmt numFmtId="165" formatCode="_(* #,##0.00_);_(* \(#,##0.00\);_(* &quot;-&quot;??_);_(@_)"/>
    </dxf>
  </rfmt>
  <rfmt sheetId="18" sqref="C99:D99">
    <dxf>
      <numFmt numFmtId="188" formatCode="_(* #,##0.000_);_(* \(#,##0.000\);_(* &quot;-&quot;??_);_(@_)"/>
    </dxf>
  </rfmt>
  <rfmt sheetId="18" sqref="C99:D99">
    <dxf>
      <numFmt numFmtId="176" formatCode="_(* #,##0.0000_);_(* \(#,##0.0000\);_(* &quot;-&quot;??_);_(@_)"/>
    </dxf>
  </rfmt>
  <rfmt sheetId="18" sqref="C99:D99">
    <dxf>
      <numFmt numFmtId="177" formatCode="_(* #,##0.00000_);_(* \(#,##0.00000\);_(* &quot;-&quot;??_);_(@_)"/>
    </dxf>
  </rfmt>
  <rfmt sheetId="18" sqref="C99:D99">
    <dxf>
      <numFmt numFmtId="176" formatCode="_(* #,##0.0000_);_(* \(#,##0.0000\);_(* &quot;-&quot;??_);_(@_)"/>
    </dxf>
  </rfmt>
  <rfmt sheetId="18" sqref="C99:D99">
    <dxf>
      <numFmt numFmtId="188" formatCode="_(* #,##0.000_);_(* \(#,##0.000\);_(* &quot;-&quot;??_);_(@_)"/>
    </dxf>
  </rfmt>
  <rfmt sheetId="18" sqref="C99:D99">
    <dxf>
      <numFmt numFmtId="165" formatCode="_(* #,##0.00_);_(* \(#,##0.00\);_(* &quot;-&quot;??_);_(@_)"/>
    </dxf>
  </rfmt>
  <rfmt sheetId="18" sqref="C99:D99">
    <dxf>
      <numFmt numFmtId="169" formatCode="_(* #,##0.0_);_(* \(#,##0.0\);_(* &quot;-&quot;??_);_(@_)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Яра!$19:$24,Яра!$46:$46,Яра!$48:$51,Яра!$58:$58,Яра!$60:$62,Яра!$68:$69,Яра!$79:$80,Яра!$84:$88,Яра!$91:$98,Яра!$143:$143</formula>
    <oldFormula>Яра!$19:$24,Яра!$46:$46,Яра!$48:$51,Яра!$58:$58,Яра!$60:$62,Яра!$68:$69,Яра!$79:$80,Яра!$84:$88,Яра!$91:$98,Яра!$143:$143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Яро!$19:$24,Яро!$28:$28,Яро!$34:$36,Яро!$43:$43,Яро!$46:$47,Яро!$54:$54,Яро!$56:$58,Яро!$64:$65,Яро!$75:$75,Яро!$80:$84,Яро!$87:$90,Яро!$92:$94</formula>
    <oldFormula>Яро!$19:$24,Яро!$28:$28,Яро!$34:$36,Яро!$43:$43,Яро!$46:$47,Яро!$54:$54,Яро!$56:$58,Яро!$64:$65,Яро!$75:$75,Яро!$80:$84,Яро!$87:$90,Яро!$92:$94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48.xml><?xml version="1.0" encoding="utf-8"?>
<revisions xmlns="http://schemas.openxmlformats.org/spreadsheetml/2006/main" xmlns:r="http://schemas.openxmlformats.org/officeDocument/2006/relationships">
  <rcc rId="38478" sId="14">
    <oc r="D54" t="inlineStr">
      <is>
        <t>исполнено на 01.04.2019 г.</t>
      </is>
    </oc>
    <nc r="D54" t="inlineStr">
      <is>
        <t>исполнено на 01.05.2019 г.</t>
      </is>
    </nc>
  </rcc>
  <rcc rId="38479" sId="14">
    <oc r="D3" t="inlineStr">
      <is>
        <t>исполнен на 01.04.2019 г.</t>
      </is>
    </oc>
    <nc r="D3" t="inlineStr">
      <is>
        <t>исполнен на 01.05.2019 г.</t>
      </is>
    </nc>
  </rcc>
  <rcc rId="38480" sId="14">
    <oc r="A1" t="inlineStr">
      <is>
        <t xml:space="preserve">                     Анализ исполнения бюджета Чуманкасинского сельского поселения на 01.04.2019 г.</t>
      </is>
    </oc>
    <nc r="A1" t="inlineStr">
      <is>
        <t xml:space="preserve">                     Анализ исполнения бюджета Чуманкасинского сельского поселения на 01.05.2019 г.</t>
      </is>
    </nc>
  </rcc>
  <rcc rId="38481" sId="14" numFmtId="4">
    <oc r="D6">
      <v>19.645399999999999</v>
    </oc>
    <nc r="D6">
      <v>28.277259999999998</v>
    </nc>
  </rcc>
  <rcc rId="38482" sId="14" numFmtId="4">
    <oc r="D8">
      <v>40.838949999999997</v>
    </oc>
    <nc r="D8">
      <v>55.06915</v>
    </nc>
  </rcc>
  <rcc rId="38483" sId="14" numFmtId="4">
    <oc r="D9">
      <v>0.28534999999999999</v>
    </oc>
    <nc r="D9">
      <v>0.40196999999999999</v>
    </nc>
  </rcc>
  <rcc rId="38484" sId="14" numFmtId="4">
    <oc r="D10">
      <v>59.878340000000001</v>
    </oc>
    <nc r="D10">
      <v>78.278270000000006</v>
    </nc>
  </rcc>
  <rcc rId="38485" sId="14" numFmtId="4">
    <oc r="D11">
      <v>-8.0374300000000005</v>
    </oc>
    <nc r="D11">
      <v>-11.38265</v>
    </nc>
  </rcc>
  <rcc rId="38486" sId="14" numFmtId="4">
    <oc r="D13">
      <v>20.793299999999999</v>
    </oc>
    <nc r="D13">
      <v>69.128699999999995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Але!$19:$24,Але!$28:$28,Але!$36:$36,Але!$46:$46,Але!$53:$53,Але!$55:$57,Але!$63:$64,Але!$74:$75,Але!$79:$83,Але!$86:$93,Але!$142:$142</formula>
    <oldFormula>Але!$19:$24,Але!$28:$28,Але!$36:$36,Але!$46:$46,Але!$53:$53,Але!$55:$57,Але!$63:$64,Але!$74:$75,Але!$79:$83,Але!$86:$93,Але!$142:$142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Мос!$19:$24,Мос!$29:$35,Мос!$44:$44,Мос!$58:$58,Мос!$60:$61,Мос!$68:$69,Мос!$79:$80,Мос!$82:$82,Мос!$85:$92,Мос!$95:$102,Мос!$143:$143</formula>
    <oldFormula>Мос!$19:$24,Мос!$29:$35,Мос!$44:$44,Мос!$58:$58,Мос!$60:$61,Мос!$68:$69,Мос!$79:$80,Мос!$82:$82,Мос!$85:$92,Мос!$95:$102,Мос!$143:$143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PrintArea" hidden="1" oldHidden="1">
    <formula>Шать!$A$1:$F$101</formula>
    <oldFormula>Шать!$A$1:$F$101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Юнг!$19:$24,Юнг!$38:$38,Юнг!$45:$49,Юнг!$56:$56,Юнг!$58:$60,Юнг!$66:$67,Юнг!$77:$78,Юнг!$82:$86,Юнг!$89:$96,Юнг!$142:$142</formula>
    <oldFormula>Юнг!$19:$24,Юнг!$38:$38,Юнг!$45:$49,Юнг!$56:$56,Юнг!$58:$60,Юнг!$66:$67,Юнг!$77:$78,Юнг!$82:$86,Юнг!$89:$96,Юнг!$142:$142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Яра!$19:$24,Яра!$46:$46,Яра!$48:$51,Яра!$58:$58,Яра!$60:$62,Яра!$68:$69,Яра!$79:$80,Яра!$84:$88,Яра!$91:$98,Яра!$143:$143</formula>
    <oldFormula>Яра!$19:$24,Яра!$46:$46,Яра!$48:$51,Яра!$58:$58,Яра!$60:$62,Яра!$68:$69,Яра!$79:$80,Яра!$84:$88,Яра!$91:$98,Яра!$143:$143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Яро!$19:$24,Яро!$28:$28,Яро!$34:$36,Яро!$43:$43,Яро!$46:$47,Яро!$54:$54,Яро!$56:$58,Яро!$64:$65,Яро!$75:$75,Яро!$80:$84,Яро!$87:$90,Яро!$92:$94</formula>
    <oldFormula>Яро!$19:$24,Яро!$28:$28,Яро!$34:$36,Яро!$43:$43,Яро!$46:$47,Яро!$54:$54,Яро!$56:$58,Яро!$64:$65,Яро!$75:$75,Яро!$80:$84,Яро!$87:$90,Яро!$92:$94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49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33583" sId="11" numFmtId="34">
    <oc r="D58">
      <v>42.603900000000003</v>
    </oc>
    <nc r="D58">
      <v>137.48031</v>
    </nc>
  </rcc>
  <rcc rId="33584" sId="11" numFmtId="34">
    <oc r="D63">
      <v>0</v>
    </oc>
    <nc r="D63">
      <v>4.5054999999999996</v>
    </nc>
  </rcc>
  <rrc rId="33585" sId="11" ref="A71:XFD71" action="insertRow">
    <undo index="20" exp="area" ref3D="1" dr="$A$142:$XFD$142" dn="Z_B30CE22D_C12F_4E12_8BB9_3AAE0A6991CC_.wvu.Rows" sId="11"/>
    <undo index="18" exp="area" ref3D="1" dr="$A$89:$XFD$96" dn="Z_B30CE22D_C12F_4E12_8BB9_3AAE0A6991CC_.wvu.Rows" sId="11"/>
    <undo index="16" exp="area" ref3D="1" dr="$A$82:$XFD$86" dn="Z_B30CE22D_C12F_4E12_8BB9_3AAE0A6991CC_.wvu.Rows" sId="11"/>
    <undo index="14" exp="area" ref3D="1" dr="$A$77:$XFD$78" dn="Z_B30CE22D_C12F_4E12_8BB9_3AAE0A6991CC_.wvu.Rows" sId="11"/>
    <undo index="20" exp="area" ref3D="1" dr="$A$142:$XFD$142" dn="Z_61528DAC_5C4C_48F4_ADE2_8A724B05A086_.wvu.Rows" sId="11"/>
    <undo index="18" exp="area" ref3D="1" dr="$A$89:$XFD$96" dn="Z_61528DAC_5C4C_48F4_ADE2_8A724B05A086_.wvu.Rows" sId="11"/>
    <undo index="16" exp="area" ref3D="1" dr="$A$82:$XFD$86" dn="Z_61528DAC_5C4C_48F4_ADE2_8A724B05A086_.wvu.Rows" sId="11"/>
    <undo index="14" exp="area" ref3D="1" dr="$A$77:$XFD$78" dn="Z_61528DAC_5C4C_48F4_ADE2_8A724B05A086_.wvu.Rows" sId="11"/>
    <undo index="12" exp="area" ref3D="1" dr="$A$89:$XFD$96" dn="Z_1A52382B_3765_4E8C_903F_6B8919B7242E_.wvu.Rows" sId="11"/>
    <undo index="10" exp="area" ref3D="1" dr="$A$82:$XFD$85" dn="Z_1A52382B_3765_4E8C_903F_6B8919B7242E_.wvu.Rows" sId="11"/>
    <undo index="20" exp="area" ref3D="1" dr="$A$142:$XFD$142" dn="Z_A54C432C_6C68_4B53_A75C_446EB3A61B2B_.wvu.Rows" sId="11"/>
    <undo index="18" exp="area" ref3D="1" dr="$A$89:$XFD$96" dn="Z_A54C432C_6C68_4B53_A75C_446EB3A61B2B_.wvu.Rows" sId="11"/>
    <undo index="16" exp="area" ref3D="1" dr="$A$82:$XFD$86" dn="Z_A54C432C_6C68_4B53_A75C_446EB3A61B2B_.wvu.Rows" sId="11"/>
    <undo index="14" exp="area" ref3D="1" dr="$A$77:$XFD$78" dn="Z_A54C432C_6C68_4B53_A75C_446EB3A61B2B_.wvu.Rows" sId="11"/>
    <undo index="12" exp="area" ref3D="1" dr="$A$89:$XFD$96" dn="Z_5BFCA170_DEAE_4D2C_98A0_1E68B427AC01_.wvu.Rows" sId="11"/>
    <undo index="10" exp="area" ref3D="1" dr="$A$82:$XFD$85" dn="Z_5BFCA170_DEAE_4D2C_98A0_1E68B427AC01_.wvu.Rows" sId="11"/>
    <undo index="16" exp="area" ref3D="1" dr="$A$89:$XFD$96" dn="Z_42584DC0_1D41_4C93_9B38_C388E7B8DAC4_.wvu.Rows" sId="11"/>
    <undo index="14" exp="area" ref3D="1" dr="$A$82:$XFD$86" dn="Z_42584DC0_1D41_4C93_9B38_C388E7B8DAC4_.wvu.Rows" sId="11"/>
    <undo index="12" exp="area" ref3D="1" dr="$A$77:$XFD$78" dn="Z_42584DC0_1D41_4C93_9B38_C388E7B8DAC4_.wvu.Rows" sId="11"/>
    <undo index="12" exp="area" ref3D="1" dr="$A$89:$XFD$96" dn="Z_3DCB9AAA_F09C_4EA6_B992_F93E466D374A_.wvu.Rows" sId="11"/>
    <undo index="10" exp="area" ref3D="1" dr="$A$82:$XFD$85" dn="Z_3DCB9AAA_F09C_4EA6_B992_F93E466D374A_.wvu.Rows" sId="11"/>
    <undo index="20" exp="area" ref3D="1" dr="$A$142:$XFD$142" dn="Z_1718F1EE_9F48_4DBE_9531_3B70F9C4A5DD_.wvu.Rows" sId="11"/>
    <undo index="18" exp="area" ref3D="1" dr="$A$89:$XFD$96" dn="Z_1718F1EE_9F48_4DBE_9531_3B70F9C4A5DD_.wvu.Rows" sId="11"/>
    <undo index="16" exp="area" ref3D="1" dr="$A$82:$XFD$86" dn="Z_1718F1EE_9F48_4DBE_9531_3B70F9C4A5DD_.wvu.Rows" sId="11"/>
    <undo index="14" exp="area" ref3D="1" dr="$A$77:$XFD$78" dn="Z_1718F1EE_9F48_4DBE_9531_3B70F9C4A5DD_.wvu.Rows" sId="11"/>
  </rrc>
  <rcc rId="33586" sId="11">
    <nc r="A71" t="inlineStr">
      <is>
        <t>0314</t>
      </is>
    </nc>
  </rcc>
  <rcc rId="33587" sId="11">
    <nc r="B71" t="inlineStr">
      <is>
        <t>Другие вопросы</t>
      </is>
    </nc>
  </rcc>
  <rcc rId="33588" sId="11" numFmtId="34">
    <nc r="C71">
      <v>2</v>
    </nc>
  </rcc>
  <rcc rId="33589" sId="11">
    <oc r="C66">
      <f>C69+C70</f>
    </oc>
    <nc r="C66">
      <f>C69+C70+C71</f>
    </nc>
  </rcc>
  <rcc rId="33590" sId="11" numFmtId="34">
    <oc r="C73">
      <v>5</v>
    </oc>
    <nc r="C73">
      <v>5.3620000000000001</v>
    </nc>
  </rcc>
  <rcc rId="33591" sId="11" numFmtId="34">
    <oc r="C74">
      <v>250</v>
    </oc>
    <nc r="C74">
      <v>256</v>
    </nc>
  </rcc>
  <rcc rId="33592" sId="11" numFmtId="34">
    <oc r="C75">
      <v>1506.415</v>
    </oc>
    <nc r="C75">
      <v>2175.9340000000002</v>
    </nc>
  </rcc>
  <rcc rId="33593" sId="11" numFmtId="34">
    <oc r="D75">
      <v>0</v>
    </oc>
    <nc r="D75">
      <v>15.072100000000001</v>
    </nc>
  </rcc>
  <rcc rId="33594" sId="11" numFmtId="34">
    <oc r="C80">
      <v>501</v>
    </oc>
    <nc r="C80">
      <v>492.63799999999998</v>
    </nc>
  </rcc>
  <rcc rId="33595" sId="11" numFmtId="34">
    <oc r="D80">
      <v>0</v>
    </oc>
    <nc r="D80">
      <v>9.5</v>
    </nc>
  </rcc>
  <rcc rId="33596" sId="11" numFmtId="34">
    <oc r="D82">
      <v>145</v>
    </oc>
    <nc r="D82">
      <v>358.69609000000003</v>
    </nc>
  </rcc>
  <rcc rId="33597" sId="11">
    <nc r="G98">
      <f>C98-6572.02</f>
    </nc>
  </rcc>
  <rcc rId="33598" sId="11" numFmtId="34">
    <oc r="C65">
      <v>177.95</v>
    </oc>
    <nc r="C65">
      <v>179.892</v>
    </nc>
  </rcc>
  <rcc rId="33599" sId="11" numFmtId="34">
    <oc r="D65">
      <v>4</v>
    </oc>
    <nc r="D65">
      <v>18.68656</v>
    </nc>
  </rcc>
  <rcc rId="33600" sId="11">
    <oc r="E64">
      <f>SUM(D64/C64*100)</f>
    </oc>
    <nc r="E64">
      <f>SUM(D64/C64*100)</f>
    </nc>
  </rcc>
  <rcc rId="33601" sId="11" odxf="1" dxf="1" numFmtId="4">
    <oc r="E65">
      <f>SUM(D65/C65*100)</f>
    </oc>
    <nc r="E65">
      <f>SUM(D65/C65*100)</f>
    </nc>
    <ndxf>
      <font>
        <b/>
        <sz val="12"/>
        <name val="Times New Roman"/>
        <scheme val="none"/>
      </font>
    </ndxf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Сун!$19:$24,Сун!$49:$51,Сун!$58:$58,Сун!$60:$61,Сун!$68:$69,Сун!$78:$79,Сун!$81:$81,Сун!$87:$88,Сун!$92:$96</formula>
    <oldFormula>Сун!$19:$24,Сун!$49:$51,Сун!$58:$58,Сун!$60:$61,Сун!$68:$69,Сун!$78:$79,Сун!$81:$81,Сун!$87:$88,Сун!$92:$96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Мор!$A$1:$F$100</formula>
    <oldFormula>Мор!$A$1:$F$100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Мор!$17:$17,Мор!$21:$21,Мор!$23:$23,Мор!$37:$37,Мор!$44:$44,Мор!$46:$47,Мор!$49:$50,Мор!$57:$57,Мор!$59:$60,Мор!$67:$68,Мор!$82:$87,Мор!$90:$96</formula>
    <oldFormula>Мор!$17:$17,Мор!$21:$21,Мор!$23:$23,Мор!$37:$37,Мор!$44:$44,Мор!$46:$47,Мор!$49:$50,Мор!$57:$57,Мор!$59:$60,Мор!$67:$68,Мор!$82:$87,Мор!$90:$96</oldFormula>
  </rdn>
  <rdn rId="0" localSheetId="9" customView="1" name="Z_1A52382B_3765_4E8C_903F_6B8919B7242E_.wvu.Rows" hidden="1" oldHidden="1">
    <formula>Мос!$19:$24,Мос!$44:$44,Мос!$57:$57,Мос!$59:$60,Мос!$67:$68,Мос!$80:$80,Мос!$84:$88,Мос!$93:$98</formula>
    <oldFormula>Мос!$19:$24,Мос!$44:$44,Мос!$57:$57,Мос!$59:$60,Мос!$67:$68,Мос!$80:$80,Мос!$84:$88,Мос!$93:$98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Тор!$A$1:$F$101</formula>
    <oldFormula>Тор!$A$1:$F$101</oldFormula>
  </rdn>
  <rdn rId="0" localSheetId="12" customView="1" name="Z_1A52382B_3765_4E8C_903F_6B8919B7242E_.wvu.Rows" hidden="1" oldHidden="1">
    <formula>Тор!$19:$19,Тор!$50:$50,Тор!$57:$57,Тор!$59:$60,Тор!$67:$68,Тор!$74:$74,Тор!$78:$79,Тор!$82:$93</formula>
    <oldFormula>Тор!$19:$19,Тор!$50:$50,Тор!$57:$57,Тор!$59:$60,Тор!$67:$68,Тор!$74:$74,Тор!$78:$79,Тор!$82:$93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33359" sId="9" numFmtId="4">
    <oc r="D6">
      <v>116.84936999999999</v>
    </oc>
    <nc r="D6">
      <v>227.76774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c rId="31719" sId="19" numFmtId="34">
    <nc r="C68">
      <v>2</v>
    </nc>
  </rcc>
  <rcc rId="31720" sId="19">
    <oc r="C63">
      <f>C67+C66</f>
    </oc>
    <nc r="C63">
      <f>C67+C66+C68</f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fmt sheetId="2" sqref="J14:J29">
    <dxf>
      <numFmt numFmtId="4" formatCode="#,##0.00"/>
    </dxf>
  </rfmt>
  <rfmt sheetId="2" sqref="J14:J29">
    <dxf>
      <numFmt numFmtId="173" formatCode="#,##0.000"/>
    </dxf>
  </rfmt>
  <rfmt sheetId="2" sqref="J14:J29">
    <dxf>
      <numFmt numFmtId="183" formatCode="#,##0.0000"/>
    </dxf>
  </rfmt>
  <rfmt sheetId="2" sqref="J14:J29">
    <dxf>
      <numFmt numFmtId="172" formatCode="#,##0.00000"/>
    </dxf>
  </rfmt>
  <rfmt sheetId="2" sqref="J16">
    <dxf>
      <fill>
        <patternFill>
          <bgColor theme="0"/>
        </patternFill>
      </fill>
    </dxf>
  </rfmt>
  <rfmt sheetId="2" sqref="J14">
    <dxf>
      <fill>
        <patternFill>
          <bgColor theme="0"/>
        </patternFill>
      </fill>
    </dxf>
  </rfmt>
  <rfmt sheetId="2" sqref="J17">
    <dxf>
      <fill>
        <patternFill>
          <bgColor theme="0"/>
        </patternFill>
      </fill>
    </dxf>
  </rfmt>
  <rfmt sheetId="2" sqref="J19">
    <dxf>
      <fill>
        <patternFill>
          <bgColor theme="0"/>
        </patternFill>
      </fill>
    </dxf>
  </rfmt>
  <rfmt sheetId="2" sqref="J15">
    <dxf>
      <fill>
        <patternFill>
          <bgColor theme="0"/>
        </patternFill>
      </fill>
    </dxf>
  </rfmt>
  <rfmt sheetId="2" sqref="J18">
    <dxf>
      <fill>
        <patternFill>
          <bgColor theme="0"/>
        </patternFill>
      </fill>
    </dxf>
  </rfmt>
  <rfmt sheetId="2" sqref="J22">
    <dxf>
      <fill>
        <patternFill>
          <bgColor theme="0"/>
        </patternFill>
      </fill>
    </dxf>
  </rfmt>
  <rfmt sheetId="2" sqref="J21">
    <dxf>
      <fill>
        <patternFill>
          <bgColor theme="0"/>
        </patternFill>
      </fill>
    </dxf>
  </rfmt>
  <rfmt sheetId="2" sqref="J20">
    <dxf>
      <fill>
        <patternFill>
          <bgColor theme="0"/>
        </patternFill>
      </fill>
    </dxf>
  </rfmt>
  <rfmt sheetId="2" sqref="J23">
    <dxf>
      <fill>
        <patternFill>
          <bgColor theme="0"/>
        </patternFill>
      </fill>
    </dxf>
  </rfmt>
  <rfmt sheetId="2" sqref="J24">
    <dxf>
      <fill>
        <patternFill>
          <bgColor theme="0"/>
        </patternFill>
      </fill>
    </dxf>
  </rfmt>
  <rfmt sheetId="2" sqref="J25">
    <dxf>
      <fill>
        <patternFill>
          <bgColor theme="0"/>
        </patternFill>
      </fill>
    </dxf>
  </rfmt>
  <rfmt sheetId="2" sqref="J26">
    <dxf>
      <fill>
        <patternFill>
          <bgColor theme="0"/>
        </patternFill>
      </fill>
    </dxf>
  </rfmt>
  <rfmt sheetId="2" sqref="J27">
    <dxf>
      <fill>
        <patternFill>
          <bgColor theme="0"/>
        </patternFill>
      </fill>
    </dxf>
  </rfmt>
  <rfmt sheetId="2" sqref="J28">
    <dxf>
      <fill>
        <patternFill>
          <bgColor theme="0"/>
        </patternFill>
      </fill>
    </dxf>
  </rfmt>
  <rfmt sheetId="2" sqref="J29">
    <dxf>
      <fill>
        <patternFill>
          <bgColor theme="0"/>
        </patternFill>
      </fill>
    </dxf>
  </rfmt>
  <rfmt sheetId="2" sqref="J31">
    <dxf>
      <numFmt numFmtId="184" formatCode="#,##0.0000000"/>
    </dxf>
  </rfmt>
  <rfmt sheetId="2" sqref="J31">
    <dxf>
      <numFmt numFmtId="180" formatCode="#,##0.000000"/>
    </dxf>
  </rfmt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Мос!$19:$24,Мос!$29:$35,Мос!$44:$44,Мос!$50:$50,Мос!$58:$58,Мос!$60:$61,Мос!$68:$69,Мос!$79:$80,Мос!$82:$82,Мос!$85:$92,Мос!$95:$102,Мос!$143:$143</formula>
    <oldFormula>Мос!$19:$24,Мос!$29:$35,Мос!$44:$44,Мос!$50:$50,Мос!$58:$58,Мос!$60:$61,Мос!$68:$69,Мос!$79:$80,Мос!$82:$82,Мос!$85:$92,Мос!$95:$102,Мос!$143:$143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Тор!$A$1:$F$102</formula>
    <oldFormula>Тор!$A$1:$F$102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62.xml><?xml version="1.0" encoding="utf-8"?>
<revisions xmlns="http://schemas.openxmlformats.org/spreadsheetml/2006/main" xmlns:r="http://schemas.openxmlformats.org/officeDocument/2006/relationships">
  <rcc rId="31396" sId="19" numFmtId="4">
    <oc r="D15">
      <v>0.27701999999999999</v>
    </oc>
    <nc r="D15">
      <v>1.86206</v>
    </nc>
  </rcc>
  <rcc rId="31397" sId="19" numFmtId="4">
    <oc r="D16">
      <v>21.921849999999999</v>
    </oc>
    <nc r="D16">
      <v>49.761310000000002</v>
    </nc>
  </rcc>
  <rcc rId="31398" sId="19" numFmtId="4">
    <oc r="D18">
      <v>0.4</v>
    </oc>
    <nc r="D18">
      <v>1.5</v>
    </nc>
  </rcc>
  <rcc rId="31399" sId="19" numFmtId="4">
    <oc r="D27">
      <v>12.44459</v>
    </oc>
    <nc r="D27">
      <v>24.88918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Але!$19:$24,Але!$28:$33,Але!$36:$36,Але!$46:$46,Але!$53:$53,Але!$55:$57,Але!$63:$64,Але!$73:$74,Але!$78:$82,Але!$85:$92,Але!$141:$141</formula>
    <oldFormula>Але!$19:$24,Але!$28:$33,Але!$36:$36,Але!$46:$46,Але!$53:$53,Але!$55:$57,Але!$63:$64,Але!$73:$74,Але!$78:$82,Але!$85:$92,Але!$141:$141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B30CE22D_C12F_4E12_8BB9_3AAE0A6991CC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B30CE22D_C12F_4E12_8BB9_3AAE0A6991CC_.wvu.PrintArea" hidden="1" oldHidden="1">
    <formula>Юнг!$A$1:$F$99</formula>
    <oldFormula>Юнг!$A$1:$F$99</oldFormula>
  </rdn>
  <rdn rId="0" localSheetId="16" customView="1" name="Z_B30CE22D_C12F_4E12_8BB9_3AAE0A6991CC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Яро!$19:$24,Яро!$28:$30,Яро!$43:$43,Яро!$54:$54,Яро!$56:$58,Яро!$64:$65,Яро!$74:$74,Яро!$81:$83,Яро!$86:$89,Яро!$91:$93</formula>
    <oldFormula>Яро!$19:$24,Яро!$28:$30,Яро!$43:$43,Яро!$54:$54,Яро!$56:$58,Яро!$64:$65,Яро!$74:$74,Яро!$81:$83,Яро!$86:$89,Яро!$91:$93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c rId="35383" sId="19" numFmtId="4">
    <oc r="D6">
      <v>22.91883</v>
    </oc>
    <nc r="D6">
      <v>22.947379999999999</v>
    </nc>
  </rcc>
  <rcc rId="35384" sId="19">
    <oc r="G48">
      <f>11993.21699-C48</f>
    </oc>
    <nc r="G48"/>
  </rcc>
  <rcc rId="35385" sId="19">
    <oc r="H48">
      <f>1045.3312-D48</f>
    </oc>
    <nc r="H48"/>
  </rcc>
  <rcc rId="35386" sId="18">
    <oc r="D55" t="inlineStr">
      <is>
        <t>исполнено на 01.03.2019 г.</t>
      </is>
    </oc>
    <nc r="D55" t="inlineStr">
      <is>
        <t>исполнено на 01.04.2019 г.</t>
      </is>
    </nc>
  </rcc>
  <rcc rId="35387" sId="18">
    <oc r="D3" t="inlineStr">
      <is>
        <t>исполнен на 01.03.2019 г.</t>
      </is>
    </oc>
    <nc r="D3" t="inlineStr">
      <is>
        <t>исполнен на 01.04.2019 г.</t>
      </is>
    </nc>
  </rcc>
  <rcc rId="35388" sId="18">
    <oc r="A1" t="inlineStr">
      <is>
        <t xml:space="preserve">                     Анализ исполнения бюджета Ярабайкасинского сельского поселения на 01.03.2019 г.</t>
      </is>
    </oc>
    <nc r="A1" t="inlineStr">
      <is>
        <t xml:space="preserve">                     Анализ исполнения бюджета Ярабайкасинского сельского поселения на 01.04.2019 г.</t>
      </is>
    </nc>
  </rcc>
  <rcc rId="35389" sId="18" numFmtId="4">
    <oc r="D6">
      <v>11.581519999999999</v>
    </oc>
    <nc r="D6">
      <v>17.818680000000001</v>
    </nc>
  </rcc>
  <rcc rId="35390" sId="18" numFmtId="4">
    <oc r="D8">
      <v>66.50009</v>
    </oc>
    <nc r="D8">
      <v>95.013069999999999</v>
    </nc>
  </rcc>
  <rcc rId="35391" sId="18" numFmtId="4">
    <oc r="D9">
      <v>0.45122000000000001</v>
    </oc>
    <nc r="D9">
      <v>0.66385000000000005</v>
    </nc>
  </rcc>
  <rcc rId="35392" sId="18" numFmtId="4">
    <oc r="D10">
      <v>97.675389999999993</v>
    </oc>
    <nc r="D10">
      <v>139.30878000000001</v>
    </nc>
  </rcc>
  <rcc rId="35393" sId="18" numFmtId="4">
    <oc r="D11">
      <v>-14.48757</v>
    </oc>
    <nc r="D11">
      <v>-18.699290000000001</v>
    </nc>
  </rcc>
  <rcc rId="35394" sId="18" numFmtId="4">
    <oc r="D13">
      <v>3.1707000000000001</v>
    </oc>
    <nc r="D13">
      <v>6.5393999999999997</v>
    </nc>
  </rcc>
  <rcc rId="35395" sId="18" numFmtId="4">
    <oc r="D15">
      <v>12.64777</v>
    </oc>
    <nc r="D15">
      <v>19.572600000000001</v>
    </nc>
  </rcc>
  <rcc rId="35396" sId="18" numFmtId="4">
    <oc r="C16">
      <v>1350</v>
    </oc>
    <nc r="C16">
      <v>1695.3772899999999</v>
    </nc>
  </rcc>
  <rcc rId="35397" sId="18" numFmtId="4">
    <oc r="D16">
      <v>60.560830000000003</v>
    </oc>
    <nc r="D16">
      <v>110.60459</v>
    </nc>
  </rcc>
  <rcc rId="35398" sId="18" numFmtId="4">
    <oc r="D18">
      <v>0.62</v>
    </oc>
    <nc r="D18">
      <v>3.27</v>
    </nc>
  </rcc>
  <rcc rId="35399" sId="18" numFmtId="4">
    <oc r="D31">
      <v>0</v>
    </oc>
    <nc r="D31">
      <v>25</v>
    </nc>
  </rcc>
  <rcc rId="35400" sId="18" numFmtId="4">
    <oc r="D42">
      <v>308.8</v>
    </oc>
    <nc r="D42">
      <v>463.2</v>
    </nc>
  </rcc>
  <rcc rId="35401" sId="18" numFmtId="4">
    <oc r="D43">
      <v>0</v>
    </oc>
    <nc r="D43">
      <v>50</v>
    </nc>
  </rcc>
  <rcc rId="35402" sId="18" numFmtId="4">
    <oc r="C44">
      <v>3176.6280700000002</v>
    </oc>
    <nc r="C44">
      <v>4723.53629</v>
    </nc>
  </rcc>
  <rcc rId="35403" sId="18" numFmtId="4">
    <oc r="D44">
      <v>0</v>
    </oc>
    <nc r="D44">
      <v>137.22</v>
    </nc>
  </rcc>
  <rcc rId="35404" sId="18" numFmtId="4">
    <oc r="D45">
      <v>29.666</v>
    </oc>
    <nc r="D45">
      <v>44.499000000000002</v>
    </nc>
  </rcc>
  <rcc rId="35405" sId="18">
    <nc r="G52">
      <f>12545.68858-C52</f>
    </nc>
  </rcc>
  <rcc rId="35406" sId="18" odxf="1" dxf="1">
    <nc r="H52">
      <f>1113.71067-D52</f>
    </nc>
    <odxf>
      <numFmt numFmtId="0" formatCode="General"/>
    </odxf>
    <ndxf>
      <numFmt numFmtId="172" formatCode="#,##0.00000"/>
    </ndxf>
  </rcc>
  <rcc rId="35407" sId="18" numFmtId="4">
    <oc r="C47">
      <v>0</v>
    </oc>
    <nc r="C47">
      <v>2250</v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c rId="35185" sId="1" numFmtId="4">
    <oc r="D24">
      <v>27893.89676</v>
    </oc>
    <nc r="D24">
      <v>56077.482080000002</v>
    </nc>
  </rcc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Справка!$33:$33,Справка!$35:$35</formula>
    <oldFormula>Справка!$33:$33,Справка!$35:$35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36299" sId="7" numFmtId="34">
    <oc r="D74">
      <v>312.64641</v>
    </oc>
    <nc r="D74">
      <v>312.46440999999999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Rows" hidden="1" oldHidden="1">
    <formula>Справка!$33:$33,Справка!$35:$35</formula>
    <oldFormula>Справка!$33:$33,Справка!$35:$35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B31C8DB7_3E78_4144_A6B5_8DE36DE63F0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Иль!$A$1:$F$104</formula>
    <oldFormula>Иль!$A$1:$F$104</oldFormula>
  </rdn>
  <rdn rId="0" localSheetId="6" customView="1" name="Z_B31C8DB7_3E78_4144_A6B5_8DE36DE63F0E_.wvu.Rows" hidden="1" oldHidden="1">
    <formula>Иль!$19:$24,Иль!$33:$33,Иль!$45:$45,Иль!$50:$50,Иль!$60:$61,Иль!$68:$69,Иль!$78:$79,Иль!$81:$81,Иль!$93:$97</formula>
    <oldFormula>Иль!$19:$24,Иль!$33:$33,Иль!$45:$45,Иль!$50:$50,Иль!$60:$61,Иль!$68:$69,Иль!$78:$79,Иль!$81:$81,Иль!$93:$97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Тор!$A$1:$F$102</formula>
    <oldFormula>Тор!$A$1:$F$102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B31C8DB7_3E78_4144_A6B5_8DE36DE63F0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B31C8DB7_3E78_4144_A6B5_8DE36DE63F0E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c rId="33183" sId="13" numFmtId="4">
    <oc r="D6">
      <v>0.45337</v>
    </oc>
    <nc r="D6">
      <v>2.2951899999999998</v>
    </nc>
  </rcc>
  <rcc rId="33184" sId="13" numFmtId="4">
    <oc r="D8">
      <v>16.495080000000002</v>
    </oc>
    <nc r="D8">
      <v>29.944479999999999</v>
    </nc>
  </rcc>
  <rcc rId="33185" sId="13" numFmtId="4">
    <oc r="D9">
      <v>0.12315</v>
    </oc>
    <nc r="D9">
      <v>0.20316000000000001</v>
    </nc>
  </rcc>
  <rcc rId="33186" sId="13" numFmtId="4">
    <oc r="D10">
      <v>24.007899999999999</v>
    </oc>
    <nc r="D10">
      <v>43.982500000000002</v>
    </nc>
  </rcc>
  <rcc rId="33187" sId="13" numFmtId="4">
    <oc r="D11">
      <v>-2.8544999999999998</v>
    </oc>
    <nc r="D11">
      <v>-6.5236299999999998</v>
    </nc>
  </rcc>
  <rcc rId="33188" sId="13" numFmtId="4">
    <oc r="D13">
      <v>0</v>
    </oc>
    <nc r="D13">
      <v>1.6605000000000001</v>
    </nc>
  </rcc>
  <rcc rId="33189" sId="13" numFmtId="4">
    <oc r="D15">
      <v>32.610129999999998</v>
    </oc>
    <nc r="D15">
      <v>33.9313</v>
    </nc>
  </rcc>
  <rcc rId="33190" sId="13" numFmtId="4">
    <oc r="D16">
      <v>5.4062900000000003</v>
    </oc>
    <nc r="D16">
      <v>17.841239999999999</v>
    </nc>
  </rcc>
  <rcc rId="33191" sId="13" numFmtId="4">
    <oc r="D18">
      <v>0</v>
    </oc>
    <nc r="D18">
      <v>0.6</v>
    </nc>
  </rcc>
  <rcc rId="33192" sId="13" numFmtId="4">
    <oc r="D27">
      <v>0</v>
    </oc>
    <nc r="D27">
      <v>1.7416400000000001</v>
    </nc>
  </rcc>
  <rcc rId="33193" sId="13" numFmtId="4">
    <oc r="D39">
      <v>113.7</v>
    </oc>
    <nc r="D39">
      <v>212.566</v>
    </nc>
  </rcc>
  <rcc rId="33194" sId="13" numFmtId="4">
    <oc r="C42">
      <v>597.97</v>
    </oc>
    <nc r="C42">
      <v>880.49800000000005</v>
    </nc>
  </rcc>
  <rcc rId="33195" sId="13" numFmtId="4">
    <oc r="C43">
      <v>91.486000000000004</v>
    </oc>
    <nc r="C43">
      <v>92.456000000000003</v>
    </nc>
  </rcc>
  <rcc rId="33196" sId="13" numFmtId="4">
    <oc r="D43">
      <v>0</v>
    </oc>
    <nc r="D43">
      <v>14.834</v>
    </nc>
  </rcc>
  <rcc rId="33197" sId="13" numFmtId="4">
    <oc r="C45">
      <v>0</v>
    </oc>
    <nc r="C45">
      <v>7</v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rc rId="33017" sId="17" ref="A72:XFD72" action="insertRow">
    <undo index="20" exp="area" ref3D="1" dr="$A$141:$XFD$141" dn="Z_B30CE22D_C12F_4E12_8BB9_3AAE0A6991CC_.wvu.Rows" sId="17"/>
    <undo index="18" exp="area" ref3D="1" dr="$A$90:$XFD$97" dn="Z_B30CE22D_C12F_4E12_8BB9_3AAE0A6991CC_.wvu.Rows" sId="17"/>
    <undo index="16" exp="area" ref3D="1" dr="$A$83:$XFD$87" dn="Z_B30CE22D_C12F_4E12_8BB9_3AAE0A6991CC_.wvu.Rows" sId="17"/>
    <undo index="14" exp="area" ref3D="1" dr="$A$78:$XFD$79" dn="Z_B30CE22D_C12F_4E12_8BB9_3AAE0A6991CC_.wvu.Rows" sId="17"/>
    <undo index="20" exp="area" ref3D="1" dr="$A$141:$XFD$141" dn="Z_61528DAC_5C4C_48F4_ADE2_8A724B05A086_.wvu.Rows" sId="17"/>
    <undo index="18" exp="area" ref3D="1" dr="$A$90:$XFD$97" dn="Z_61528DAC_5C4C_48F4_ADE2_8A724B05A086_.wvu.Rows" sId="17"/>
    <undo index="16" exp="area" ref3D="1" dr="$A$83:$XFD$87" dn="Z_61528DAC_5C4C_48F4_ADE2_8A724B05A086_.wvu.Rows" sId="17"/>
    <undo index="14" exp="area" ref3D="1" dr="$A$78:$XFD$79" dn="Z_61528DAC_5C4C_48F4_ADE2_8A724B05A086_.wvu.Rows" sId="17"/>
    <undo index="16" exp="area" ref3D="1" dr="$A$90:$XFD$97" dn="Z_1A52382B_3765_4E8C_903F_6B8919B7242E_.wvu.Rows" sId="17"/>
    <undo index="14" exp="area" ref3D="1" dr="$A$82:$XFD$87" dn="Z_1A52382B_3765_4E8C_903F_6B8919B7242E_.wvu.Rows" sId="17"/>
    <undo index="12" exp="area" ref3D="1" dr="$A$78:$XFD$79" dn="Z_1A52382B_3765_4E8C_903F_6B8919B7242E_.wvu.Rows" sId="17"/>
    <undo index="22" exp="area" ref3D="1" dr="$A$141:$XFD$141" dn="Z_A54C432C_6C68_4B53_A75C_446EB3A61B2B_.wvu.Rows" sId="17"/>
    <undo index="20" exp="area" ref3D="1" dr="$A$90:$XFD$97" dn="Z_A54C432C_6C68_4B53_A75C_446EB3A61B2B_.wvu.Rows" sId="17"/>
    <undo index="18" exp="area" ref3D="1" dr="$A$83:$XFD$87" dn="Z_A54C432C_6C68_4B53_A75C_446EB3A61B2B_.wvu.Rows" sId="17"/>
    <undo index="16" exp="area" ref3D="1" dr="$A$78:$XFD$79" dn="Z_A54C432C_6C68_4B53_A75C_446EB3A61B2B_.wvu.Rows" sId="17"/>
    <undo index="16" exp="area" ref3D="1" dr="$A$90:$XFD$97" dn="Z_5BFCA170_DEAE_4D2C_98A0_1E68B427AC01_.wvu.Rows" sId="17"/>
    <undo index="14" exp="area" ref3D="1" dr="$A$82:$XFD$87" dn="Z_5BFCA170_DEAE_4D2C_98A0_1E68B427AC01_.wvu.Rows" sId="17"/>
    <undo index="12" exp="area" ref3D="1" dr="$A$78:$XFD$79" dn="Z_5BFCA170_DEAE_4D2C_98A0_1E68B427AC01_.wvu.Rows" sId="17"/>
    <undo index="20" exp="area" ref3D="1" dr="$A$90:$XFD$97" dn="Z_42584DC0_1D41_4C93_9B38_C388E7B8DAC4_.wvu.Rows" sId="17"/>
    <undo index="18" exp="area" ref3D="1" dr="$A$83:$XFD$87" dn="Z_42584DC0_1D41_4C93_9B38_C388E7B8DAC4_.wvu.Rows" sId="17"/>
    <undo index="16" exp="area" ref3D="1" dr="$A$78:$XFD$79" dn="Z_42584DC0_1D41_4C93_9B38_C388E7B8DAC4_.wvu.Rows" sId="17"/>
    <undo index="16" exp="area" ref3D="1" dr="$A$90:$XFD$97" dn="Z_3DCB9AAA_F09C_4EA6_B992_F93E466D374A_.wvu.Rows" sId="17"/>
    <undo index="14" exp="area" ref3D="1" dr="$A$82:$XFD$87" dn="Z_3DCB9AAA_F09C_4EA6_B992_F93E466D374A_.wvu.Rows" sId="17"/>
    <undo index="12" exp="area" ref3D="1" dr="$A$78:$XFD$79" dn="Z_3DCB9AAA_F09C_4EA6_B992_F93E466D374A_.wvu.Rows" sId="17"/>
    <undo index="20" exp="area" ref3D="1" dr="$A$141:$XFD$141" dn="Z_1718F1EE_9F48_4DBE_9531_3B70F9C4A5DD_.wvu.Rows" sId="17"/>
    <undo index="18" exp="area" ref3D="1" dr="$A$90:$XFD$97" dn="Z_1718F1EE_9F48_4DBE_9531_3B70F9C4A5DD_.wvu.Rows" sId="17"/>
    <undo index="16" exp="area" ref3D="1" dr="$A$83:$XFD$87" dn="Z_1718F1EE_9F48_4DBE_9531_3B70F9C4A5DD_.wvu.Rows" sId="17"/>
    <undo index="14" exp="area" ref3D="1" dr="$A$78:$XFD$79" dn="Z_1718F1EE_9F48_4DBE_9531_3B70F9C4A5DD_.wvu.Rows" sId="17"/>
  </rrc>
  <rcc rId="33018" sId="17">
    <nc r="A72" t="inlineStr">
      <is>
        <t>0314</t>
      </is>
    </nc>
  </rcc>
  <rcc rId="33019" sId="17">
    <nc r="B72" t="inlineStr">
      <is>
        <t>Другие вопросы в области национльной безопасности</t>
      </is>
    </nc>
  </rcc>
  <rcc rId="33020" sId="17" numFmtId="34">
    <nc r="C72">
      <v>2</v>
    </nc>
  </rcc>
  <rcc rId="33021" sId="17" numFmtId="34">
    <nc r="D72">
      <v>0</v>
    </nc>
  </rcc>
  <rcc rId="33022" sId="17">
    <oc r="C67">
      <f>C70+C71</f>
    </oc>
    <nc r="C67">
      <f>C70+C71+C72</f>
    </nc>
  </rcc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Rows" hidden="1" oldHidden="1">
    <formula>Справка!$33:$33</formula>
    <oldFormula>Справка!$33:$33</oldFormula>
  </rdn>
  <rdn rId="0" localSheetId="2" customView="1" name="Z_B30CE22D_C12F_4E12_8BB9_3AAE0A6991CC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B30CE22D_C12F_4E12_8BB9_3AAE0A6991CC_.wvu.Rows" hidden="1" oldHidden="1">
    <formula>Але!$19:$24,Але!$28:$33,Але!$36:$36,Але!$46:$46,Але!$53:$53,Але!$55:$57,Але!$63:$64,Але!$74:$75,Але!$79:$83,Але!$86:$93,Але!$142:$142</formula>
    <oldFormula>Але!$19:$24,Але!$28:$33,Але!$36:$36,Але!$46:$46,Але!$53:$53,Але!$55:$57,Але!$63:$64,Але!$74:$75,Але!$79:$83,Але!$86:$93,Але!$142:$142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Сун!$A$1:$F$103</formula>
    <oldFormula>Сун!$A$1:$F$103</oldFormula>
  </rdn>
  <rdn rId="0" localSheetId="5" customView="1" name="Z_B30CE22D_C12F_4E12_8BB9_3AAE0A6991CC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B30CE22D_C12F_4E12_8BB9_3AAE0A6991CC_.wvu.PrintArea" hidden="1" oldHidden="1">
    <formula>Иль!$A$1:$F$104</formula>
    <oldFormula>Иль!$A$1:$F$104</oldFormula>
  </rdn>
  <rdn rId="0" localSheetId="6" customView="1" name="Z_B30CE22D_C12F_4E12_8BB9_3AAE0A6991CC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B30CE22D_C12F_4E12_8BB9_3AAE0A6991CC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B30CE22D_C12F_4E12_8BB9_3AAE0A6991CC_.wvu.PrintArea" hidden="1" oldHidden="1">
    <formula>Мор!$A$1:$F$100</formula>
    <oldFormula>Мор!$A$1:$F$100</oldFormula>
  </rdn>
  <rdn rId="0" localSheetId="8" customView="1" name="Z_B30CE22D_C12F_4E12_8BB9_3AAE0A6991CC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B30CE22D_C12F_4E12_8BB9_3AAE0A6991CC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B30CE22D_C12F_4E12_8BB9_3AAE0A6991CC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B30CE22D_C12F_4E12_8BB9_3AAE0A6991CC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B30CE22D_C12F_4E12_8BB9_3AAE0A6991CC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B30CE22D_C12F_4E12_8BB9_3AAE0A6991CC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8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Сун!$A$1:$F$103</formula>
    <oldFormula>Сун!$A$1:$F$103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Сун!$19:$24,Сун!$34:$36,Сун!$45:$45,Сун!$47:$47,Сун!$49:$51,Сун!$58:$58,Сун!$60:$62,Сун!$68:$69,Сун!$78:$79,Сун!$81:$81,Сун!$84:$84,Сун!$86:$88,Сун!$92:$99,Сун!$141:$141</formula>
    <oldFormula>Сун!$19:$24,Сун!$34:$36,Сун!$45:$45,Сун!$47:$47,Сун!$49:$51,Сун!$58:$58,Сун!$60:$62,Сун!$68:$69,Сун!$78:$79,Сун!$81:$81,Сун!$84:$84,Сун!$86:$88,Сун!$92:$99,Сун!$141:$141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  <oldFormula>Иль!$19:$24,Иль!$30:$39,Иль!$58:$58,Иль!$60:$62,Иль!$68:$69,Иль!$78:$79,Иль!$81:$81,Иль!$86:$90,Иль!$93:$100,Иль!$143:$143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Кад!$19:$24,Кад!$31:$35,Кад!$38:$38,Кад!$42:$42,Кад!$44:$44,Кад!$46:$46,Кад!$48:$49,Кад!$56:$56,Кад!$58:$60,Кад!$66:$67,Кад!$76:$77,Кад!$81:$85,Кад!$88:$95,Кад!$141:$141</formula>
    <oldFormula>Кад!$19:$24,Кад!$31:$35,Кад!$38:$38,Кад!$42:$42,Кад!$44:$44,Кад!$46:$46,Кад!$48:$49,Кад!$56:$56,Кад!$58:$60,Кад!$66:$67,Кад!$76:$77,Кад!$81:$85,Кад!$88:$95,Кад!$141:$141</oldFormula>
  </rdn>
  <rdn rId="0" localSheetId="8" customView="1" name="Z_61528DAC_5C4C_48F4_ADE2_8A724B05A086_.wvu.PrintArea" hidden="1" oldHidden="1">
    <formula>Мор!$A$1:$F$100</formula>
    <oldFormula>Мор!$A$1:$F$100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Мор!$17:$24,Мор!$27:$27,Мор!$31:$33,Мор!$44:$44,Мор!$46:$47,Мор!$49:$50,Мор!$57:$57,Мор!$59:$60,Мор!$64:$65,Мор!$67:$68,Мор!$77:$78,Мор!$82:$87,Мор!$90:$96,Мор!$141:$141</formula>
    <oldFormula>Мор!$17:$24,Мор!$27:$27,Мор!$31:$33,Мор!$44:$44,Мор!$46:$47,Мор!$49:$50,Мор!$57:$57,Мор!$59:$60,Мор!$64:$65,Мор!$67:$68,Мор!$77:$78,Мор!$82:$87,Мор!$90:$96,Мор!$141:$141</oldFormula>
  </rdn>
  <rdn rId="0" localSheetId="9" customView="1" name="Z_61528DAC_5C4C_48F4_ADE2_8A724B05A086_.wvu.Rows" hidden="1" oldHidden="1">
    <formula>Мос!$19:$24,Мос!$29:$35,Мос!$44:$44,Мос!$49:$49,Мос!$57:$57,Мос!$59:$60,Мос!$67:$68,Мос!$77:$78,Мос!$80:$80,Мос!$83:$90,Мос!$93:$100,Мос!$141:$141</formula>
    <oldFormula>Мос!$19:$24,Мос!$29:$35,Мос!$44:$44,Мос!$49:$49,Мос!$57:$57,Мос!$59:$60,Мос!$67:$68,Мос!$77:$78,Мос!$80:$80,Мос!$83:$90,Мос!$93:$100,Мос!$141:$141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Ори!$19:$24,Ори!$31:$35,Ори!$44:$44,Ори!$46:$46,Ори!$48:$50,Ори!$57:$57,Ори!$59:$60,Ори!$67:$68,Ори!$77:$78,Ори!$80:$80,Ори!$83:$87,Ори!$90:$97,Ори!$141:$141</formula>
    <oldFormula>Ори!$19:$24,Ори!$31:$35,Ори!$44:$44,Ори!$46:$46,Ори!$48:$50,Ори!$57:$57,Ори!$59:$60,Ори!$67:$68,Ори!$77:$78,Ори!$80:$80,Ори!$83:$87,Ори!$90:$97,Ори!$141:$141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Сят!$19:$24,Сят!$31:$33,Сят!$38:$38,Сят!$45:$48,Сят!$57:$57,Сят!$59:$60,Сят!$67:$68,Сят!$77:$78,Сят!$82:$86,Сят!$89:$96,Сят!$142:$142</formula>
    <oldFormula>Сят!$19:$24,Сят!$31:$33,Сят!$38:$38,Сят!$45:$48,Сят!$57:$57,Сят!$59:$60,Сят!$67:$68,Сят!$77:$78,Сят!$82:$86,Сят!$89:$96,Сят!$142:$142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Тор!$19:$24,Тор!$32:$36,Тор!$39:$39,Тор!$50:$50,Тор!$57:$57,Тор!$59:$60,Тор!$67:$68,Тор!$74:$74,Тор!$78:$79,Тор!$85:$86,Тор!$89:$95,Тор!$142:$142</formula>
    <oldFormula>Тор!$19:$24,Тор!$32:$36,Тор!$39:$39,Тор!$50:$50,Тор!$57:$57,Тор!$59:$60,Тор!$67:$68,Тор!$74:$74,Тор!$78:$79,Тор!$85:$86,Тор!$89:$95,Тор!$142:$142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Хор!$19:$24,Хор!$28:$36,Хор!$40:$40,Хор!$44:$44,Хор!$46:$48,Хор!$55:$55,Хор!$57:$59,Хор!$65:$66,Хор!$75:$76,Хор!$80:$84,Хор!$87:$94,Хор!$141:$141</formula>
    <oldFormula>Хор!$19:$24,Хор!$28:$36,Хор!$40:$40,Хор!$44:$44,Хор!$46:$48,Хор!$55:$55,Хор!$57:$59,Хор!$65:$66,Хор!$75:$76,Хор!$80:$84,Хор!$87:$94,Хор!$141:$141</oldFormula>
  </rdn>
  <rdn rId="0" localSheetId="14" customView="1" name="Z_61528DAC_5C4C_48F4_ADE2_8A724B05A086_.wvu.Rows" hidden="1" oldHidden="1">
    <formula>Чум!$19:$24,Чум!$31:$36,Чум!$46:$49,Чум!$57:$57,Чум!$59:$61,Чум!$67:$68,Чум!$77:$78,Чум!$82:$86,Чум!$89:$96,Чум!$141:$141</formula>
    <oldFormula>Чум!$19:$24,Чум!$31:$36,Чум!$46:$49,Чум!$57:$57,Чум!$59:$61,Чум!$67:$68,Чум!$77:$78,Чум!$82:$86,Чум!$89:$96,Чум!$141:$141</oldFormula>
  </rdn>
  <rdn rId="0" localSheetId="15" customView="1" name="Z_61528DAC_5C4C_48F4_ADE2_8A724B05A086_.wvu.Rows" hidden="1" oldHidden="1">
    <formula>Шать!$19:$25,Шать!$31:$33,Шать!$46:$49,Шать!$57:$57,Шать!$59:$60,Шать!$67:$68,Шать!$77:$78,Шать!$83:$85,Шать!$89:$96,Шать!$141:$141</formula>
    <oldFormula>Шать!$19:$25,Шать!$31:$33,Шать!$46:$49,Шать!$57:$57,Шать!$59:$60,Шать!$67:$68,Шать!$77:$78,Шать!$83:$85,Шать!$89:$96,Шать!$141:$141</oldFormula>
  </rdn>
  <rdn rId="0" localSheetId="16" customView="1" name="Z_61528DAC_5C4C_48F4_ADE2_8A724B05A086_.wvu.PrintArea" hidden="1" oldHidden="1">
    <formula>Юнг!$A$1:$F$99</formula>
    <oldFormula>Юнг!$A$1:$F$99</oldFormula>
  </rdn>
  <rdn rId="0" localSheetId="16" customView="1" name="Z_61528DAC_5C4C_48F4_ADE2_8A724B05A086_.wvu.Rows" hidden="1" oldHidden="1">
    <formula>Юнг!$19:$24,Юнг!$38:$38,Юнг!$46:$46,Юнг!$56:$56,Юнг!$58:$60,Юнг!$66:$67,Юнг!$76:$77,Юнг!$81:$85,Юнг!$88:$95,Юнг!$141:$141</formula>
    <oldFormula>Юнг!$19:$24,Юнг!$38:$38,Юнг!$46:$46,Юнг!$56:$56,Юнг!$58:$60,Юнг!$66:$67,Юнг!$76:$77,Юнг!$81:$85,Юнг!$88:$95,Юнг!$141:$141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Юсь!$19:$24,Юсь!$31:$33,Юсь!$36:$36,Юсь!$44:$50,Юсь!$58:$58,Юсь!$60:$61,Юсь!$68:$69,Юсь!$78:$79,Юсь!$83:$87,Юсь!$90:$97,Юсь!$141:$141</formula>
    <oldFormula>Юсь!$19:$24,Юсь!$31:$33,Юсь!$36:$36,Юсь!$44:$50,Юсь!$58:$58,Юсь!$60:$61,Юсь!$68:$69,Юсь!$78:$79,Юсь!$83:$87,Юсь!$90:$97,Юсь!$141:$141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  <oldFormula>Яро!$19:$24,Яро!$28:$30,Яро!$43:$43,Яро!$54:$54,Яро!$56:$58,Яро!$64:$65,Яро!$75:$75,Яро!$82:$84,Яро!$87:$90,Яро!$92:$94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3.xml><?xml version="1.0" encoding="utf-8"?>
<revisions xmlns="http://schemas.openxmlformats.org/spreadsheetml/2006/main" xmlns:r="http://schemas.openxmlformats.org/officeDocument/2006/relationships">
  <rcc rId="31999" sId="4" numFmtId="4">
    <oc r="D6">
      <v>0.46709000000000001</v>
    </oc>
    <nc r="D6">
      <v>3.7446799999999998</v>
    </nc>
  </rcc>
  <rcc rId="32000" sId="4" numFmtId="4">
    <oc r="D8">
      <v>11.03243</v>
    </oc>
    <nc r="D8">
      <v>20.027799999999999</v>
    </nc>
  </rcc>
  <rcc rId="32001" sId="4" numFmtId="4">
    <oc r="D9">
      <v>8.2369999999999999E-2</v>
    </oc>
    <nc r="D9">
      <v>0.13588</v>
    </nc>
  </rcc>
  <rcc rId="32002" sId="4" numFmtId="4">
    <oc r="D10">
      <v>16.057230000000001</v>
    </oc>
    <nc r="D10">
      <v>29.41686</v>
    </nc>
  </rcc>
  <rcc rId="32003" sId="4" numFmtId="4">
    <oc r="D11">
      <v>-1.9091899999999999</v>
    </oc>
    <nc r="D11">
      <v>-4.3632099999999996</v>
    </nc>
  </rcc>
  <rcc rId="32004" sId="4" numFmtId="4">
    <oc r="D15">
      <v>9.4909999999999997</v>
    </oc>
    <nc r="D15">
      <v>9.9561299999999999</v>
    </nc>
  </rcc>
  <rcc rId="32005" sId="4" numFmtId="4">
    <oc r="D16">
      <v>5.0860599999999998</v>
    </oc>
    <nc r="D16">
      <v>12.840199999999999</v>
    </nc>
  </rcc>
  <rcc rId="32006" sId="4" numFmtId="4">
    <oc r="D18">
      <v>0</v>
    </oc>
    <nc r="D18">
      <v>0.1</v>
    </nc>
  </rcc>
  <rcc rId="32007" sId="4" numFmtId="4">
    <oc r="D39">
      <v>100.05800000000001</v>
    </oc>
    <nc r="D39">
      <v>200.11600000000001</v>
    </nc>
  </rcc>
  <rcc rId="32008" sId="4" numFmtId="34">
    <oc r="C41">
      <v>398.64</v>
    </oc>
    <nc r="C41">
      <v>586.99900000000002</v>
    </nc>
  </rcc>
  <rcc rId="32009" sId="4" numFmtId="34">
    <oc r="C42">
      <v>90.510999999999996</v>
    </oc>
    <nc r="C42">
      <v>91.480999999999995</v>
    </nc>
  </rcc>
  <rcc rId="32010" sId="4" numFmtId="4">
    <oc r="D42">
      <v>7.4169999999999998</v>
    </oc>
    <nc r="D42">
      <v>14.834</v>
    </nc>
  </rcc>
  <rcc rId="32011" sId="4" numFmtId="34">
    <oc r="C43">
      <v>0</v>
    </oc>
    <nc r="C43">
      <v>60.477960000000003</v>
    </nc>
  </rcc>
  <rcc rId="32012" sId="4" numFmtId="4">
    <oc r="D30">
      <v>0</v>
    </oc>
    <nc r="D30">
      <v>6.3845299999999998</v>
    </nc>
  </rcc>
  <rcc rId="32013" sId="4" numFmtId="34">
    <oc r="D54">
      <v>21.131740000000001</v>
    </oc>
    <nc r="D54">
      <v>95.542770000000004</v>
    </nc>
  </rcc>
  <rcc rId="32014" sId="4" numFmtId="34">
    <oc r="D59">
      <v>0</v>
    </oc>
    <nc r="D59">
      <v>2.3155000000000001</v>
    </nc>
  </rcc>
  <rcc rId="32015" sId="4" numFmtId="34">
    <oc r="C61">
      <v>88.974999999999994</v>
    </oc>
    <nc r="C61">
      <v>89.944999999999993</v>
    </nc>
  </rcc>
  <rcc rId="32016" sId="4" numFmtId="34">
    <oc r="D61">
      <v>2</v>
    </oc>
    <nc r="D61">
      <v>9.3450000000000006</v>
    </nc>
  </rcc>
  <rcc rId="32017" sId="4" numFmtId="34">
    <oc r="C68">
      <v>3.75</v>
    </oc>
    <nc r="C68">
      <v>4.0214999999999996</v>
    </nc>
  </rcc>
  <rcc rId="32018" sId="4" numFmtId="34">
    <oc r="C70">
      <v>648.10500000000002</v>
    </oc>
    <nc r="C70">
      <v>1068.2154599999999</v>
    </nc>
  </rcc>
  <rcc rId="32019" sId="4" numFmtId="34">
    <oc r="C75">
      <v>276.32</v>
    </oc>
    <nc r="C75">
      <v>274.04849999999999</v>
    </nc>
  </rcc>
  <rcc rId="32020" sId="4" numFmtId="34">
    <oc r="D76">
      <f>D77</f>
    </oc>
    <nc r="D76">
      <v>46</v>
    </nc>
  </rcc>
  <rcc rId="32021" sId="4" numFmtId="34">
    <oc r="D77">
      <v>23</v>
    </oc>
    <nc r="D77">
      <v>46</v>
    </nc>
  </rcc>
  <rcc rId="32022" sId="4" numFmtId="34">
    <oc r="D83">
      <f>D84</f>
    </oc>
    <nc r="D83">
      <v>0</v>
    </nc>
  </rcc>
  <rcc rId="32023" sId="4">
    <nc r="G93">
      <f>C93-2813.74646</f>
    </nc>
  </rcc>
  <rrc rId="32024" sId="4" ref="A67:XFD67" action="insertRow">
    <undo index="20" exp="area" ref3D="1" dr="$A$141:$XFD$141" dn="Z_B30CE22D_C12F_4E12_8BB9_3AAE0A6991CC_.wvu.Rows" sId="4"/>
    <undo index="18" exp="area" ref3D="1" dr="$A$85:$XFD$92" dn="Z_B30CE22D_C12F_4E12_8BB9_3AAE0A6991CC_.wvu.Rows" sId="4"/>
    <undo index="16" exp="area" ref3D="1" dr="$A$78:$XFD$82" dn="Z_B30CE22D_C12F_4E12_8BB9_3AAE0A6991CC_.wvu.Rows" sId="4"/>
    <undo index="14" exp="area" ref3D="1" dr="$A$73:$XFD$74" dn="Z_B30CE22D_C12F_4E12_8BB9_3AAE0A6991CC_.wvu.Rows" sId="4"/>
    <undo index="20" exp="area" ref3D="1" dr="$A$141:$XFD$141" dn="Z_A54C432C_6C68_4B53_A75C_446EB3A61B2B_.wvu.Rows" sId="4"/>
    <undo index="18" exp="area" ref3D="1" dr="$A$85:$XFD$92" dn="Z_A54C432C_6C68_4B53_A75C_446EB3A61B2B_.wvu.Rows" sId="4"/>
    <undo index="16" exp="area" ref3D="1" dr="$A$78:$XFD$82" dn="Z_A54C432C_6C68_4B53_A75C_446EB3A61B2B_.wvu.Rows" sId="4"/>
    <undo index="14" exp="area" ref3D="1" dr="$A$73:$XFD$74" dn="Z_A54C432C_6C68_4B53_A75C_446EB3A61B2B_.wvu.Rows" sId="4"/>
    <undo index="16" exp="area" ref3D="1" dr="$A$86:$XFD$88" dn="Z_5BFCA170_DEAE_4D2C_98A0_1E68B427AC01_.wvu.Rows" sId="4"/>
    <undo index="14" exp="area" ref3D="1" dr="$A$78:$XFD$82" dn="Z_5BFCA170_DEAE_4D2C_98A0_1E68B427AC01_.wvu.Rows" sId="4"/>
    <undo index="12" exp="area" ref3D="1" dr="$A$73:$XFD$74" dn="Z_5BFCA170_DEAE_4D2C_98A0_1E68B427AC01_.wvu.Rows" sId="4"/>
    <undo index="20" exp="area" ref3D="1" dr="$A$85:$XFD$92" dn="Z_42584DC0_1D41_4C93_9B38_C388E7B8DAC4_.wvu.Rows" sId="4"/>
    <undo index="18" exp="area" ref3D="1" dr="$A$78:$XFD$82" dn="Z_42584DC0_1D41_4C93_9B38_C388E7B8DAC4_.wvu.Rows" sId="4"/>
    <undo index="16" exp="area" ref3D="1" dr="$A$73:$XFD$74" dn="Z_42584DC0_1D41_4C93_9B38_C388E7B8DAC4_.wvu.Rows" sId="4"/>
    <undo index="14" exp="area" ref3D="1" dr="$A$78:$XFD$92" dn="Z_3DCB9AAA_F09C_4EA6_B992_F93E466D374A_.wvu.Rows" sId="4"/>
    <undo index="12" exp="area" ref3D="1" dr="$A$73:$XFD$74" dn="Z_3DCB9AAA_F09C_4EA6_B992_F93E466D374A_.wvu.Rows" sId="4"/>
    <undo index="16" exp="area" ref3D="1" dr="$A$86:$XFD$88" dn="Z_1A52382B_3765_4E8C_903F_6B8919B7242E_.wvu.Rows" sId="4"/>
    <undo index="14" exp="area" ref3D="1" dr="$A$78:$XFD$82" dn="Z_1A52382B_3765_4E8C_903F_6B8919B7242E_.wvu.Rows" sId="4"/>
    <undo index="12" exp="area" ref3D="1" dr="$A$73:$XFD$74" dn="Z_1A52382B_3765_4E8C_903F_6B8919B7242E_.wvu.Rows" sId="4"/>
    <undo index="22" exp="area" ref3D="1" dr="$A$141:$XFD$141" dn="Z_1718F1EE_9F48_4DBE_9531_3B70F9C4A5DD_.wvu.Rows" sId="4"/>
    <undo index="20" exp="area" ref3D="1" dr="$A$85:$XFD$92" dn="Z_1718F1EE_9F48_4DBE_9531_3B70F9C4A5DD_.wvu.Rows" sId="4"/>
    <undo index="18" exp="area" ref3D="1" dr="$A$78:$XFD$82" dn="Z_1718F1EE_9F48_4DBE_9531_3B70F9C4A5DD_.wvu.Rows" sId="4"/>
    <undo index="16" exp="area" ref3D="1" dr="$A$73:$XFD$74" dn="Z_1718F1EE_9F48_4DBE_9531_3B70F9C4A5DD_.wvu.Rows" sId="4"/>
    <undo index="14" exp="area" ref3D="1" dr="$A$71:$XFD$71" dn="Z_1718F1EE_9F48_4DBE_9531_3B70F9C4A5DD_.wvu.Rows" sId="4"/>
    <undo index="12" exp="area" ref3D="1" dr="$A$69:$XFD$69" dn="Z_1718F1EE_9F48_4DBE_9531_3B70F9C4A5DD_.wvu.Rows" sId="4"/>
  </rrc>
  <rcc rId="32025" sId="4" numFmtId="34">
    <nc r="C67">
      <v>2</v>
    </nc>
  </rcc>
  <rcc rId="32026" sId="4">
    <nc r="A67" t="inlineStr">
      <is>
        <t>0314</t>
      </is>
    </nc>
  </rcc>
  <rcc rId="32027" sId="4">
    <nc r="B67" t="inlineStr">
      <is>
        <t>Другие вопросы в облости национальной безопасности</t>
      </is>
    </nc>
  </rcc>
  <rcc rId="32028" sId="4">
    <oc r="C62">
      <f>C65+C66</f>
    </oc>
    <nc r="C62">
      <f>C65+C66+C67</f>
    </nc>
  </rcc>
  <rcc rId="32029" sId="4">
    <oc r="C94">
      <f>C52+C60+C62+C68+C73+C77+C84</f>
    </oc>
    <nc r="C94">
      <f>C52+C60+C62+C68+C73+C77+C84</f>
    </nc>
  </rcc>
  <rdn rId="0" localSheetId="1" customView="1" name="Z_61528DAC_5C4C_48F4_ADE2_8A724B05A086_.wvu.PrintArea" hidden="1" oldHidden="1">
    <formula>Консол!$A$1:$K$50</formula>
  </rdn>
  <rdn rId="0" localSheetId="1" customView="1" name="Z_61528DAC_5C4C_48F4_ADE2_8A724B05A086_.wvu.Rows" hidden="1" oldHidden="1">
    <formula>Консол!$22:$22,Консол!$43:$45</formula>
  </rdn>
  <rdn rId="0" localSheetId="2" customView="1" name="Z_61528DAC_5C4C_48F4_ADE2_8A724B05A086_.wvu.PrintArea" hidden="1" oldHidden="1">
    <formula>Справка!$A$1:$EY$31</formula>
  </rdn>
  <rdn rId="0" localSheetId="2" customView="1" name="Z_61528DAC_5C4C_48F4_ADE2_8A724B05A086_.wvu.Rows" hidden="1" oldHidden="1">
    <formula>Справка!$33:$33</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</rdn>
  <rdn rId="0" localSheetId="5" customView="1" name="Z_61528DAC_5C4C_48F4_ADE2_8A724B05A086_.wvu.PrintArea" hidden="1" oldHidden="1">
    <formula>Сун!$A$1:$F$103</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Сун!$19:$24,Сун!$34:$36,Сун!$45:$45,Сун!$47:$47,Сун!$49:$51,Сун!$58:$58,Сун!$60:$62,Сун!$68:$69,Сун!$78:$79,Сун!$81:$81,Сун!$84:$84,Сун!$86:$88,Сун!$92:$99,Сун!$141:$141</formula>
  </rdn>
  <rdn rId="0" localSheetId="6" customView="1" name="Z_61528DAC_5C4C_48F4_ADE2_8A724B05A086_.wvu.PrintArea" hidden="1" oldHidden="1">
    <formula>Иль!$A$1:$F$104</formula>
  </rdn>
  <rdn rId="0" localSheetId="6" customView="1" name="Z_61528DAC_5C4C_48F4_ADE2_8A724B05A086_.wvu.Rows" hidden="1" oldHidden="1">
    <formula>Иль!$19:$24,Иль!$30:$39,Иль!$58:$58,Иль!$60:$62,Иль!$68:$69,Иль!$78:$79,Иль!$81:$81,Иль!$86:$90,Иль!$93:$100,Иль!$143:$143</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Кад!$19:$24,Кад!$31:$35,Кад!$38:$38,Кад!$42:$42,Кад!$44:$44,Кад!$46:$46,Кад!$48:$49,Кад!$56:$56,Кад!$58:$60,Кад!$66:$67,Кад!$76:$77,Кад!$81:$85,Кад!$88:$95,Кад!$141:$141</formula>
  </rdn>
  <rdn rId="0" localSheetId="8" customView="1" name="Z_61528DAC_5C4C_48F4_ADE2_8A724B05A086_.wvu.PrintArea" hidden="1" oldHidden="1">
    <formula>Мор!$A$1:$F$100</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Мор!$17:$24,Мор!$27:$27,Мор!$31:$33,Мор!$44:$44,Мор!$46:$47,Мор!$49:$50,Мор!$57:$57,Мор!$59:$60,Мор!$64:$65,Мор!$67:$68,Мор!$77:$78,Мор!$82:$87,Мор!$90:$96,Мор!$141:$141</formula>
  </rdn>
  <rdn rId="0" localSheetId="9" customView="1" name="Z_61528DAC_5C4C_48F4_ADE2_8A724B05A086_.wvu.Rows" hidden="1" oldHidden="1">
    <formula>Мос!$19:$24,Мос!$29:$35,Мос!$44:$44,Мос!$49:$49,Мос!$57:$57,Мос!$59:$60,Мос!$67:$68,Мос!$77:$78,Мос!$80:$80,Мос!$83:$90,Мос!$93:$100,Мос!$141:$141</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Ори!$19:$24,Ори!$31:$35,Ори!$44:$44,Ори!$46:$46,Ори!$48:$50,Ори!$57:$57,Ори!$59:$60,Ори!$67:$68,Ори!$77:$78,Ори!$80:$80,Ори!$83:$87,Ори!$90:$97,Ори!$141:$141</formula>
  </rdn>
  <rdn rId="0" localSheetId="11" customView="1" name="Z_61528DAC_5C4C_48F4_ADE2_8A724B05A086_.wvu.Rows" hidden="1" oldHidden="1">
    <formula>Сят!$19:$24,Сят!$31:$33,Сят!$38:$38,Сят!$45:$48,Сят!$57:$57,Сят!$59:$60,Сят!$67:$68,Сят!$77:$78,Сят!$82:$86,Сят!$89:$96,Сят!$142:$142</formula>
  </rdn>
  <rdn rId="0" localSheetId="12" customView="1" name="Z_61528DAC_5C4C_48F4_ADE2_8A724B05A086_.wvu.PrintArea" hidden="1" oldHidden="1">
    <formula>Тор!$A$1:$F$101</formula>
  </rdn>
  <rdn rId="0" localSheetId="12" customView="1" name="Z_61528DAC_5C4C_48F4_ADE2_8A724B05A086_.wvu.Rows" hidden="1" oldHidden="1">
    <formula>Тор!$19:$24,Тор!$32:$36,Тор!$39:$39,Тор!$50:$50,Тор!$57:$57,Тор!$59:$60,Тор!$67:$68,Тор!$74:$74,Тор!$78:$79,Тор!$85:$86,Тор!$89:$95,Тор!$142:$142</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Хор!$19:$24,Хор!$28:$36,Хор!$40:$40,Хор!$44:$44,Хор!$46:$48,Хор!$55:$55,Хор!$57:$59,Хор!$65:$66,Хор!$75:$76,Хор!$80:$84,Хор!$87:$94,Хор!$141:$141</formula>
  </rdn>
  <rdn rId="0" localSheetId="14" customView="1" name="Z_61528DAC_5C4C_48F4_ADE2_8A724B05A086_.wvu.Rows" hidden="1" oldHidden="1">
    <formula>Чум!$19:$24,Чум!$31:$36,Чум!$46:$49,Чум!$57:$57,Чум!$59:$61,Чум!$67:$68,Чум!$77:$78,Чум!$82:$86,Чум!$89:$96,Чум!$141:$141</formula>
  </rdn>
  <rdn rId="0" localSheetId="15" customView="1" name="Z_61528DAC_5C4C_48F4_ADE2_8A724B05A086_.wvu.Rows" hidden="1" oldHidden="1">
    <formula>Шать!$19:$25,Шать!$31:$33,Шать!$46:$49,Шать!$57:$57,Шать!$59:$60,Шать!$67:$68,Шать!$77:$78,Шать!$83:$85,Шать!$89:$96,Шать!$141:$141</formula>
  </rdn>
  <rdn rId="0" localSheetId="16" customView="1" name="Z_61528DAC_5C4C_48F4_ADE2_8A724B05A086_.wvu.PrintArea" hidden="1" oldHidden="1">
    <formula>Юнг!$A$1:$F$99</formula>
  </rdn>
  <rdn rId="0" localSheetId="16" customView="1" name="Z_61528DAC_5C4C_48F4_ADE2_8A724B05A086_.wvu.Rows" hidden="1" oldHidden="1">
    <formula>Юнг!$19:$24,Юнг!$38:$38,Юнг!$46:$46,Юнг!$56:$56,Юнг!$58:$60,Юнг!$66:$67,Юнг!$76:$77,Юнг!$81:$85,Юнг!$88:$95,Юнг!$141:$141</formula>
  </rdn>
  <rdn rId="0" localSheetId="17" customView="1" name="Z_61528DAC_5C4C_48F4_ADE2_8A724B05A086_.wvu.Rows" hidden="1" oldHidden="1">
    <formula>Юсь!$19:$24,Юсь!$31:$33,Юсь!$36:$36,Юсь!$44:$50,Юсь!$58:$58,Юсь!$60:$61,Юсь!$68:$69,Юсь!$78:$79,Юсь!$83:$87,Юсь!$90:$97,Юсь!$141:$141</formula>
  </rdn>
  <rdn rId="0" localSheetId="18" customView="1" name="Z_61528DAC_5C4C_48F4_ADE2_8A724B05A086_.wvu.PrintArea" hidden="1" oldHidden="1">
    <formula>Яра!$A$1:$F$102</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</rdn>
  <rdn rId="0" localSheetId="19" customView="1" name="Z_61528DAC_5C4C_48F4_ADE2_8A724B05A086_.wvu.Rows" hidden="1" oldHidden="1">
    <formula>Яро!$19:$24,Яро!$28:$30,Яро!$43:$43,Яро!$54:$54,Яро!$56:$58,Яро!$64:$65,Яро!$75:$75,Яро!$82:$84,Яро!$87:$90,Яро!$92:$94</formula>
  </rdn>
  <rdn rId="0" localSheetId="20" customView="1" name="Z_61528DAC_5C4C_48F4_ADE2_8A724B05A086_.wvu.Rows" hidden="1" oldHidden="1">
    <formula>Лист1!$82:$84</formula>
  </rdn>
  <rcv guid="{61528DAC-5C4C-48F4-ADE2-8A724B05A086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Rows" hidden="1" oldHidden="1">
    <formula>Справка!$33:$33</formula>
    <oldFormula>Справка!$33:$33</oldFormula>
  </rdn>
  <rdn rId="0" localSheetId="2" customView="1" name="Z_61528DAC_5C4C_48F4_ADE2_8A724B05A086_.wvu.Cols" hidden="1" oldHidden="1">
    <formula>Справка!$AV:$AX,Справка!$BB:$BD,Справка!$BH:$BP,Справка!$BT:$BY,Справка!$CX:$DF</formula>
    <oldFormula>Справка!$AV:$AX,Справка!$BB:$BD,Справка!$BH:$BP,Справка!$BT:$BY,Справка!$CX:$DF</oldFormula>
  </rdn>
  <rdn rId="0" localSheetId="3" customView="1" name="Z_61528DAC_5C4C_48F4_ADE2_8A724B05A086_.wvu.Rows" hidden="1" oldHidden="1">
    <formula>район!$17:$18,район!$20:$20,район!$27:$31,район!$35:$35,район!$38:$38,район!$50:$51,район!$62:$62,район!$75:$75,район!$82:$82,район!$99:$99,район!$105:$105,район!$133:$135,район!$138:$139</formula>
    <oldFormula>район!$17:$18,район!$20:$20,район!$27:$31,район!$35:$35,район!$38:$38,район!$50:$51,район!$62:$62,район!$75:$75,район!$82:$82,район!$99:$99,район!$105:$105,район!$133:$135,район!$138:$139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Сун!$19:$24,Сун!$34:$36,Сун!$45:$45,Сун!$47:$47,Сун!$49:$51,Сун!$58:$58,Сун!$60:$62,Сун!$68:$69,Сун!$79:$80,Сун!$82:$82,Сун!$85:$85,Сун!$87:$89,Сун!$93:$100,Сун!$142:$142</formula>
    <oldFormula>Сун!$19:$24,Сун!$34:$36,Сун!$45:$45,Сун!$47:$47,Сун!$49:$51,Сун!$58:$58,Сун!$60:$62,Сун!$68:$69,Сун!$79:$80,Сун!$82:$82,Сун!$85:$85,Сун!$87:$89,Сун!$93:$100,Сун!$142:$142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Иль!$A$1:$F$104</formula>
    <oldFormula>Иль!$A$1:$F$104</oldFormula>
  </rdn>
  <rdn rId="0" localSheetId="6" customView="1" name="Z_61528DAC_5C4C_48F4_ADE2_8A724B05A086_.wvu.Rows" hidden="1" oldHidden="1">
    <formula>Иль!$19:$24,Иль!$34:$39,Иль!$58:$58,Иль!$60:$62,Иль!$68:$69,Иль!$78:$79,Иль!$81:$81,Иль!$86:$90,Иль!$93:$100,Иль!$143:$143</formula>
    <oldFormula>Иль!$19:$24,Иль!$34:$39,Иль!$58:$58,Иль!$60:$62,Иль!$68:$69,Иль!$78:$79,Иль!$81:$81,Иль!$86:$90,Иль!$93:$100,Иль!$143:$143</oldFormula>
  </rdn>
  <rdn rId="0" localSheetId="7" customView="1" name="Z_61528DAC_5C4C_48F4_ADE2_8A724B05A086_.wvu.Rows" hidden="1" oldHidden="1">
    <formula>Кад!$19:$24,Кад!$31:$35,Кад!$38:$38,Кад!$42:$42,Кад!$44:$44,Кад!$46:$46,Кад!$48:$49,Кад!$56:$56,Кад!$58:$60,Кад!$66:$67,Кад!$77:$78,Кад!$82:$86,Кад!$89:$96,Кад!$142:$142</formula>
    <oldFormula>Кад!$19:$24,Кад!$31:$35,Кад!$38:$38,Кад!$42:$42,Кад!$44:$44,Кад!$46:$46,Кад!$48:$49,Кад!$56:$56,Кад!$58:$60,Кад!$66:$67,Кад!$77:$78,Кад!$82:$86,Кад!$89:$96,Кад!$142:$142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Мор!$17:$24,Мор!$27:$27,Мор!$31:$33,Мор!$44:$44,Мор!$46:$47,Мор!$49:$50,Мор!$57:$57,Мор!$59:$60,Мор!$64:$65,Мор!$67:$68,Мор!$78:$79,Мор!$83:$88,Мор!$91:$97,Мор!$142:$142</formula>
    <oldFormula>Мор!$17:$24,Мор!$27:$27,Мор!$31:$33,Мор!$44:$44,Мор!$46:$47,Мор!$49:$50,Мор!$57:$57,Мор!$59:$60,Мор!$64:$65,Мор!$67:$68,Мор!$78:$79,Мор!$83:$88,Мор!$91:$97,Мор!$142:$142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Ори!$19:$24,Ори!$31:$35,Ори!$44:$44,Ори!$46:$46,Ори!$48:$50,Ори!$57:$57,Ори!$59:$60,Ори!$67:$68,Ори!$78:$79,Ори!$81:$81,Ори!$84:$88,Ори!$91:$98,Ори!$142:$142</formula>
    <oldFormula>Ори!$19:$24,Ори!$31:$35,Ори!$44:$44,Ори!$46:$46,Ори!$48:$50,Ори!$57:$57,Ори!$59:$60,Ори!$67:$68,Ори!$78:$79,Ори!$81:$81,Ори!$84:$88,Ори!$91:$98,Ори!$142:$142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Сят!$19:$24,Сят!$31:$33,Сят!$38:$38,Сят!$45:$48,Сят!$57:$57,Сят!$59:$60,Сят!$67:$68,Сят!$78:$79,Сят!$83:$87,Сят!$90:$97,Сят!$143:$143</formula>
    <oldFormula>Сят!$19:$24,Сят!$31:$33,Сят!$38:$38,Сят!$45:$48,Сят!$57:$57,Сят!$59:$60,Сят!$67:$68,Сят!$78:$79,Сят!$83:$87,Сят!$90:$97,Сят!$143:$143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Тор!$A$1:$F$102</formula>
    <oldFormula>Тор!$A$1:$F$102</oldFormula>
  </rdn>
  <rdn rId="0" localSheetId="12" customView="1" name="Z_61528DAC_5C4C_48F4_ADE2_8A724B05A086_.wvu.Rows" hidden="1" oldHidden="1">
    <formula>Тор!$19:$24,Тор!$32:$36,Тор!$39:$39,Тор!$50:$50,Тор!$57:$57,Тор!$59:$60,Тор!$67:$68,Тор!$75:$75,Тор!$79:$80,Тор!$86:$87,Тор!$90:$96,Тор!$143:$143</formula>
    <oldFormula>Тор!$19:$24,Тор!$32:$36,Тор!$39:$39,Тор!$50:$50,Тор!$57:$57,Тор!$59:$60,Тор!$67:$68,Тор!$75:$75,Тор!$79:$80,Тор!$86:$87,Тор!$90:$96,Тор!$143:$143</oldFormula>
  </rdn>
  <rdn rId="0" localSheetId="13" customView="1" name="Z_61528DAC_5C4C_48F4_ADE2_8A724B05A086_.wvu.Rows" hidden="1" oldHidden="1">
    <formula>Хор!$19:$24,Хор!$28:$36,Хор!$40:$40,Хор!$44:$44,Хор!$46:$48,Хор!$55:$55,Хор!$57:$59,Хор!$65:$66,Хор!$76:$77,Хор!$81:$85,Хор!$88:$95,Хор!$142:$142</formula>
    <oldFormula>Хор!$19:$24,Хор!$28:$36,Хор!$40:$40,Хор!$44:$44,Хор!$46:$48,Хор!$55:$55,Хор!$57:$59,Хор!$65:$66,Хор!$76:$77,Хор!$81:$85,Хор!$88:$95,Хор!$142:$142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Чум!$19:$24,Чум!$31:$36,Чум!$46:$49,Чум!$57:$57,Чум!$59:$61,Чум!$67:$68,Чум!$78:$79,Чум!$83:$87,Чум!$90:$97,Чум!$142:$142</formula>
    <oldFormula>Чум!$19:$24,Чум!$31:$36,Чум!$46:$49,Чум!$57:$57,Чум!$59:$61,Чум!$67:$68,Чум!$78:$79,Чум!$83:$87,Чум!$90:$97,Чум!$142:$142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Шать!$19:$25,Шать!$31:$33,Шать!$46:$49,Шать!$57:$57,Шать!$59:$60,Шать!$67:$68,Шать!$78:$79,Шать!$84:$86,Шать!$90:$97,Шать!$142:$142</formula>
    <oldFormula>Шать!$19:$25,Шать!$31:$33,Шать!$46:$49,Шать!$57:$57,Шать!$59:$60,Шать!$67:$68,Шать!$78:$79,Шать!$84:$86,Шать!$90:$97,Шать!$142:$142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Юсь!$19:$24,Юсь!$31:$33,Юсь!$36:$36,Юсь!$44:$50,Юсь!$58:$58,Юсь!$60:$61,Юсь!$68:$69,Юсь!$79:$80,Юсь!$84:$88,Юсь!$91:$98,Юсь!$142:$142</formula>
    <oldFormula>Юсь!$19:$24,Юсь!$31:$33,Юсь!$36:$36,Юсь!$44:$50,Юсь!$58:$58,Юсь!$60:$61,Юсь!$68:$69,Юсь!$79:$80,Юсь!$84:$88,Юсь!$91:$98,Юсь!$142:$142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Яра!$19:$24,Яра!$46:$50,Яра!$58:$58,Яра!$60:$62,Яра!$68:$69,Яра!$79:$80,Яра!$84:$88,Яра!$91:$98,Яра!$143:$143</formula>
    <oldFormula>Яра!$19:$24,Яра!$46:$50,Яра!$58:$58,Яра!$60:$62,Яра!$68:$69,Яра!$79:$80,Яра!$84:$88,Яра!$91:$98,Яра!$143:$143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Яро!$19:$24,Яро!$28:$28,Яро!$43:$43,Яро!$54:$54,Яро!$56:$58,Яро!$64:$65,Яро!$75:$75,Яро!$82:$84,Яро!$87:$90,Яро!$92:$94</formula>
    <oldFormula>Яро!$19:$24,Яро!$28:$28,Яро!$43:$43,Яро!$54:$54,Яро!$56:$58,Яро!$64:$65,Яро!$75:$75,Яро!$82:$84,Яро!$87:$90,Яро!$92:$94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c rId="35863" sId="14">
    <oc r="A1" t="inlineStr">
      <is>
        <t xml:space="preserve">                     Анализ исполнения бюджета Чуманкасинского сельского поселения на 01.03.2019 г.</t>
      </is>
    </oc>
    <nc r="A1" t="inlineStr">
      <is>
        <t xml:space="preserve">                     Анализ исполнения бюджета Чуманкасинского сельского поселения на 01.04.2019 г.</t>
      </is>
    </nc>
  </rcc>
  <rcc rId="35864" sId="14">
    <oc r="D3" t="inlineStr">
      <is>
        <t>исполнен на 01.03.2019 г.</t>
      </is>
    </oc>
    <nc r="D3" t="inlineStr">
      <is>
        <t>исполнен на 01.04.2019 г.</t>
      </is>
    </nc>
  </rcc>
  <rcc rId="35865" sId="14">
    <oc r="D54" t="inlineStr">
      <is>
        <t>исполнено на 01.03.2019 г.</t>
      </is>
    </oc>
    <nc r="D54" t="inlineStr">
      <is>
        <t>исполнено на 01.04.2019 г.</t>
      </is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PrintArea" hidden="1" oldHidden="1">
    <formula>Чум!$A$1:$F$101</formula>
  </rdn>
  <rdn rId="0" localSheetId="14" customView="1" name="Z_1A52382B_3765_4E8C_903F_6B8919B7242E_.wvu.Rows" hidden="1" oldHidden="1">
    <formula>Чум!$19:$21,Чум!$23:$24,Чум!$34:$39,Чум!$47:$49,Чум!$57:$57,Чум!$59:$60,Чум!$67:$68,Чум!$83:$87,Чум!$90:$97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PrintArea" hidden="1" oldHidden="1">
    <formula>Шать!$A$1:$F$101</formula>
    <oldFormula>Шать!$A$1:$F$101</oldFormula>
  </rdn>
  <rdn rId="0" localSheetId="15" customView="1" name="Z_1A52382B_3765_4E8C_903F_6B8919B7242E_.wvu.Rows" hidden="1" oldHidden="1">
    <formula>Шать!$19:$24,Шать!$31:$39,Шать!$46:$49,Шать!$57:$57,Шать!$59:$60,Шать!$67:$68,Шать!$78:$79,Шать!$83:$87,Шать!$90:$97</formula>
    <oldFormula>Шать!$19:$24,Шать!$31:$39,Шать!$46:$49,Шать!$57:$57,Шать!$59:$60,Шать!$67:$68,Шать!$78:$79,Шать!$83:$87,Шать!$90:$97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Юнг!$19:$24,Юнг!$31:$38,Юнг!$45:$49,Юнг!$56:$56,Юнг!$58:$59,Юнг!$66:$67,Юнг!$77:$77,Юнг!$82:$86,Юнг!$89:$96</formula>
    <oldFormula>Юнг!$19:$24,Юнг!$31:$38,Юнг!$45:$49,Юнг!$56:$56,Юнг!$58:$59,Юнг!$66:$67,Юнг!$77:$77,Юнг!$82:$86,Юнг!$89:$96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Юсь!$20:$24,Юсь!$36:$36,Юсь!$40:$40,Юсь!$44:$49,Юсь!$58:$58,Юсь!$60:$61,Юсь!$68:$69,Юсь!$79:$80,Юсь!$84:$88,Юсь!$91:$98</formula>
    <oldFormula>Юсь!$20:$24,Юсь!$36:$36,Юсь!$40:$40,Юсь!$44:$49,Юсь!$58:$58,Юсь!$60:$61,Юсь!$68:$69,Юсь!$79:$80,Юсь!$84:$88,Юсь!$91:$98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Яра!$19:$24,Яра!$46:$46,Яра!$48:$51,Яра!$58:$58,Яра!$60:$61,Яра!$68:$69,Яра!$79:$80,Яра!$84:$88,Яра!$91:$98</formula>
    <oldFormula>Яра!$19:$24,Яра!$46:$46,Яра!$48:$51,Яра!$58:$58,Яра!$60:$61,Яра!$68:$69,Яра!$79:$80,Яра!$84:$88,Яра!$91:$98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c rId="35295" sId="19">
    <oc r="A1" t="inlineStr">
      <is>
        <t xml:space="preserve">                     Анализ исполнения бюджета Ярославского сельского поселения на 01.03.2019 г.</t>
      </is>
    </oc>
    <nc r="A1" t="inlineStr">
      <is>
        <t xml:space="preserve">                     Анализ исполнения бюджета Ярославского сельского поселения на 01.04.2019 г.</t>
      </is>
    </nc>
  </rcc>
  <rcc rId="35296" sId="19">
    <oc r="D3" t="inlineStr">
      <is>
        <t>исполнен на 01.03.2019 г.</t>
      </is>
    </oc>
    <nc r="D3" t="inlineStr">
      <is>
        <t>исполнен на 01.04.2019 г.</t>
      </is>
    </nc>
  </rcc>
  <rcc rId="35297" sId="19">
    <oc r="D51" t="inlineStr">
      <is>
        <t>исполнено на 01.03.2019 г.</t>
      </is>
    </oc>
    <nc r="D51" t="inlineStr">
      <is>
        <t>исполнено на 01.04.2019 г.</t>
      </is>
    </nc>
  </rcc>
  <rcc rId="35298" sId="19" numFmtId="4">
    <oc r="D6">
      <v>13.491540000000001</v>
    </oc>
    <nc r="D6">
      <v>22.91883</v>
    </nc>
  </rcc>
  <rcc rId="35299" sId="19" numFmtId="4">
    <oc r="D8">
      <v>38.111159999999998</v>
    </oc>
    <nc r="D8">
      <v>54.45194</v>
    </nc>
  </rcc>
  <rcc rId="35300" sId="19" numFmtId="4">
    <oc r="D9">
      <v>0.25857999999999998</v>
    </oc>
    <nc r="D9">
      <v>0.38045000000000001</v>
    </nc>
  </rcc>
  <rcc rId="35301" sId="19" numFmtId="4">
    <oc r="D10">
      <v>55.977730000000001</v>
    </oc>
    <nc r="D10">
      <v>79.837779999999995</v>
    </nc>
  </rcc>
  <rcc rId="35302" sId="19" numFmtId="4">
    <oc r="D11">
      <v>-8.3028300000000002</v>
    </oc>
    <nc r="D11">
      <v>-10.716559999999999</v>
    </nc>
  </rcc>
  <rcc rId="35303" sId="19" numFmtId="4">
    <oc r="D15">
      <v>1.86206</v>
    </oc>
    <nc r="D15">
      <v>94.37594</v>
    </nc>
  </rcc>
  <rcc rId="35304" sId="19" numFmtId="4">
    <oc r="D16">
      <v>49.761310000000002</v>
    </oc>
    <nc r="D16">
      <v>70.572919999999996</v>
    </nc>
  </rcc>
  <rcc rId="35305" sId="19" numFmtId="4">
    <oc r="D18">
      <v>1.5</v>
    </oc>
    <nc r="D18">
      <v>1.95</v>
    </nc>
  </rcc>
  <rcc rId="35306" sId="19" numFmtId="4">
    <oc r="D27">
      <v>24.88918</v>
    </oc>
    <nc r="D27">
      <v>37.333770000000001</v>
    </nc>
  </rcc>
  <rcc rId="35307" sId="19" numFmtId="4">
    <oc r="C33">
      <v>175.22727</v>
    </oc>
    <nc r="C33">
      <v>17.591280000000001</v>
    </nc>
  </rcc>
  <rcc rId="35308" sId="19" numFmtId="4">
    <oc r="D39">
      <v>91.784000000000006</v>
    </oc>
    <nc r="D39">
      <v>137.67599999999999</v>
    </nc>
  </rcc>
  <rcc rId="35309" sId="19" numFmtId="4">
    <oc r="D40">
      <v>0</v>
    </oc>
    <nc r="D40">
      <v>70</v>
    </nc>
  </rcc>
  <rcc rId="35310" sId="19" numFmtId="4">
    <oc r="C41">
      <v>4871.8450000000003</v>
    </oc>
    <nc r="C41">
      <v>5593.3550299999997</v>
    </nc>
  </rcc>
  <rcc rId="35311" sId="19" numFmtId="4">
    <oc r="D41">
      <v>0</v>
    </oc>
    <nc r="D41">
      <v>211.54400000000001</v>
    </nc>
  </rcc>
  <rcc rId="35312" sId="19" numFmtId="4">
    <oc r="D42">
      <v>14.836</v>
    </oc>
    <nc r="D42">
      <v>22.254000000000001</v>
    </nc>
  </rcc>
  <rfmt sheetId="19" sqref="C37:D37">
    <dxf>
      <numFmt numFmtId="2" formatCode="0.00"/>
    </dxf>
  </rfmt>
  <rfmt sheetId="19" sqref="C37:D37">
    <dxf>
      <numFmt numFmtId="186" formatCode="0.000"/>
    </dxf>
  </rfmt>
  <rfmt sheetId="19" sqref="C37:D37">
    <dxf>
      <numFmt numFmtId="175" formatCode="0.0000"/>
    </dxf>
  </rfmt>
  <rfmt sheetId="19" sqref="C37:D37">
    <dxf>
      <numFmt numFmtId="168" formatCode="0.00000"/>
    </dxf>
  </rfmt>
  <rcc rId="35313" sId="19">
    <nc r="G48">
      <f>11993.21699-C48</f>
    </nc>
  </rcc>
  <rcc rId="35314" sId="19" odxf="1" dxf="1">
    <nc r="H48">
      <f>1045.3312-D48</f>
    </nc>
    <odxf>
      <numFmt numFmtId="0" formatCode="General"/>
    </odxf>
    <ndxf>
      <numFmt numFmtId="172" formatCode="#,##0.00000"/>
    </ndxf>
  </rcc>
  <rcc rId="35315" sId="19" numFmtId="4">
    <oc r="C40">
      <v>3500</v>
    </oc>
    <nc r="C40">
      <v>3200</v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9111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Rows" hidden="1" oldHidden="1">
    <formula>Справка!$33:$33,Справка!$35:$35</formula>
    <oldFormula>Справка!$33:$33,Справка!$35:$35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район!$17:$18,район!$20:$20,район!$28:$30,район!$50:$51,район!$75:$75,район!$82:$82,район!$99:$99,район!$105:$105,район!$133:$135</formula>
    <oldFormula>район!$17:$18,район!$20:$20,район!$28:$30,район!$50:$51,район!$75:$75,район!$82:$82,район!$99:$99,район!$105:$105,район!$133:$135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Иль!$A$1:$F$104</formula>
    <oldFormula>Иль!$A$1:$F$104</oldFormula>
  </rdn>
  <rdn rId="0" localSheetId="6" customView="1" name="Z_5BFCA170_DEAE_4D2C_98A0_1E68B427AC01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Тор!$A$1:$F$102</formula>
    <oldFormula>Тор!$A$1:$F$102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Тор!$19:$19,Тор!$50:$50,Тор!$57:$57,Тор!$59:$60,Тор!$67:$68,Тор!$75:$75,Тор!$79:$80,Тор!$83:$94</formula>
    <oldFormula>Тор!$19:$19,Тор!$50:$50,Тор!$57:$57,Тор!$59:$60,Тор!$67:$68,Тор!$75:$75,Тор!$79:$80,Тор!$83:$94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Яро!$19:$24,Яро!$29:$30,Яро!$32:$32,Яро!$43:$43,Яро!$54:$54,Яро!$56:$57,Яро!$64:$65,Яро!$75:$76,Яро!$80:$85,Яро!$87:$94</formula>
    <oldFormula>Яро!$19:$24,Яро!$29:$30,Яро!$32:$32,Яро!$43:$43,Яро!$54:$54,Яро!$56:$57,Яро!$64:$65,Яро!$75:$76,Яро!$80:$85,Яро!$87:$94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912.xml><?xml version="1.0" encoding="utf-8"?>
<revisions xmlns="http://schemas.openxmlformats.org/spreadsheetml/2006/main" xmlns:r="http://schemas.openxmlformats.org/officeDocument/2006/relationships">
  <rcc rId="35517" sId="18" numFmtId="4">
    <oc r="C16">
      <v>1695.3772899999999</v>
    </oc>
    <nc r="C16">
      <v>1494.3772899999999</v>
    </nc>
  </rcc>
  <rcc rId="35518" sId="18" numFmtId="4">
    <oc r="D16">
      <v>110.60459</v>
    </oc>
    <nc r="D16">
      <v>91.031989999999993</v>
    </nc>
  </rcc>
  <rcc rId="35519" sId="18" numFmtId="34">
    <oc r="C59">
      <v>1197.0999999999999</v>
    </oc>
    <nc r="C59">
      <v>1209.8699999999999</v>
    </nc>
  </rcc>
  <rcc rId="35520" sId="18" numFmtId="34">
    <oc r="D59">
      <v>137.29076000000001</v>
    </oc>
    <nc r="D59">
      <v>261.14317999999997</v>
    </nc>
  </rcc>
  <rcc rId="35521" sId="18" numFmtId="34">
    <oc r="D66">
      <v>19.184550000000002</v>
    </oc>
    <nc r="D66">
      <v>33.871110000000002</v>
    </nc>
  </rcc>
  <rcc rId="35522" sId="18" numFmtId="34">
    <oc r="C76">
      <v>3252.7210100000002</v>
    </oc>
    <nc r="C76">
      <v>5137.6858000000002</v>
    </nc>
  </rcc>
  <rcc rId="35523" sId="18" numFmtId="34">
    <oc r="D76">
      <v>18.71134</v>
    </oc>
    <nc r="D76">
      <v>192.20707999999999</v>
    </nc>
  </rcc>
  <rcc rId="35524" sId="18" numFmtId="34">
    <oc r="C81">
      <v>512.78099999999995</v>
    </oc>
    <nc r="C81">
      <v>527.78099999999995</v>
    </nc>
  </rcc>
  <rcc rId="35525" sId="18" numFmtId="34">
    <oc r="C83">
      <v>3937.1748400000001</v>
    </oc>
    <nc r="C83">
      <v>6291.9098400000003</v>
    </nc>
  </rcc>
  <rcc rId="35526" sId="18" numFmtId="34">
    <oc r="C90">
      <v>51.911999999999999</v>
    </oc>
    <nc r="C90">
      <v>61.911999999999999</v>
    </nc>
  </rcc>
  <rcc rId="35527" sId="18" numFmtId="34">
    <oc r="D90">
      <v>6.2190000000000003</v>
    </oc>
    <nc r="D90">
      <v>19.599</v>
    </nc>
  </rcc>
  <rcc rId="35528" sId="18">
    <nc r="G99">
      <f>13760.58764-C99</f>
    </nc>
  </rcc>
  <rcc rId="35529" sId="18">
    <nc r="H99">
      <f>886.37655-D99</f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Юнг!$19:$24,Юнг!$32:$32,Юнг!$49:$49,Юнг!$56:$56,Юнг!$58:$59,Юнг!$66:$67,Юнг!$77:$77,Юнг!$82:$86,Юнг!$89:$96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</formula>
    <oldFormula>Яра!$19:$24,Яра!$46:$46,Яра!$48:$51,Яра!$58:$58,Яра!$60:$61,Яра!$68:$69,Яра!$79:$79,Яра!$82:$88,Яра!$91:$98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92.xml><?xml version="1.0" encoding="utf-8"?>
<revisions xmlns="http://schemas.openxmlformats.org/spreadsheetml/2006/main" xmlns:r="http://schemas.openxmlformats.org/officeDocument/2006/relationships">
  <rcc rId="35774" sId="16" numFmtId="34">
    <oc r="C73">
      <v>989.36858199999995</v>
    </oc>
    <nc r="C73">
      <v>989.68582000000004</v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Юнг!$19:$24,Юнг!$31:$38,Юнг!$45:$49,Юнг!$56:$56,Юнг!$58:$59,Юнг!$66:$67,Юнг!$77:$77,Юнг!$82:$86,Юнг!$89:$96</formula>
    <oldFormula>Юнг!$19:$24,Юнг!$31:$38,Юнг!$45:$49,Юнг!$56:$56,Юнг!$58:$59,Юнг!$66:$67,Юнг!$77:$77,Юнг!$82:$86,Юнг!$89:$96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Юсь!$20:$24,Юсь!$36:$36,Юсь!$40:$40,Юсь!$44:$49,Юсь!$58:$58,Юсь!$60:$61,Юсь!$68:$69,Юсь!$79:$80,Юсь!$84:$88,Юсь!$91:$98</formula>
    <oldFormula>Юсь!$20:$24,Юсь!$36:$36,Юсь!$40:$40,Юсь!$44:$49,Юсь!$58:$58,Юсь!$60:$61,Юсь!$68:$69,Юсь!$79:$80,Юсь!$84:$88,Юсь!$91:$98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Яра!$19:$24,Яра!$46:$46,Яра!$48:$51,Яра!$58:$58,Яра!$60:$61,Яра!$68:$69,Яра!$79:$80,Яра!$84:$88,Яра!$91:$98</formula>
    <oldFormula>Яра!$19:$24,Яра!$46:$46,Яра!$48:$51,Яра!$58:$58,Яра!$60:$61,Яра!$68:$69,Яра!$79:$80,Яра!$84:$88,Яра!$91:$98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921.xml><?xml version="1.0" encoding="utf-8"?>
<revisions xmlns="http://schemas.openxmlformats.org/spreadsheetml/2006/main" xmlns:r="http://schemas.openxmlformats.org/officeDocument/2006/relationships">
  <rfmt sheetId="16" sqref="C40:D40">
    <dxf>
      <numFmt numFmtId="175" formatCode="0.0000"/>
    </dxf>
  </rfmt>
  <rfmt sheetId="16" sqref="C40:D40">
    <dxf>
      <numFmt numFmtId="186" formatCode="0.000"/>
    </dxf>
  </rfmt>
  <rfmt sheetId="16" sqref="C40:D40">
    <dxf>
      <numFmt numFmtId="2" formatCode="0.00"/>
    </dxf>
  </rfmt>
  <rfmt sheetId="16" sqref="C40:D40">
    <dxf>
      <numFmt numFmtId="166" formatCode="0.0"/>
    </dxf>
  </rfmt>
  <rcc rId="35714" sId="16" numFmtId="4">
    <oc r="D6">
      <v>12.7942</v>
    </oc>
    <nc r="D6">
      <v>24.145299999999999</v>
    </nc>
  </rcc>
  <rcc rId="35715" sId="16" numFmtId="4">
    <oc r="D9">
      <v>0.30609999999999998</v>
    </oc>
    <nc r="D9">
      <v>0.45034000000000002</v>
    </nc>
  </rcc>
  <rcc rId="35716" sId="16" numFmtId="4">
    <oc r="D10">
      <v>66.259330000000006</v>
    </oc>
    <nc r="D10">
      <v>94.501869999999997</v>
    </nc>
  </rcc>
  <rcc rId="35717" sId="16" numFmtId="4">
    <oc r="D11">
      <v>-9.8278199999999991</v>
    </oc>
    <nc r="D11">
      <v>-12.684900000000001</v>
    </nc>
  </rcc>
  <rcc rId="35718" sId="16" numFmtId="4">
    <oc r="D13">
      <v>1.4589000000000001</v>
    </oc>
    <nc r="D13">
      <v>9.3018000000000001</v>
    </nc>
  </rcc>
  <rcc rId="35719" sId="16" numFmtId="4">
    <oc r="D15">
      <v>9.3008400000000009</v>
    </oc>
    <nc r="D15">
      <v>9.0194899999999993</v>
    </nc>
  </rcc>
  <rcc rId="35720" sId="16" numFmtId="4">
    <oc r="D16">
      <v>213.05814000000001</v>
    </oc>
    <nc r="D16">
      <v>264.17435</v>
    </nc>
  </rcc>
  <rcc rId="35721" sId="16" numFmtId="4">
    <oc r="D18">
      <v>2.5</v>
    </oc>
    <nc r="D18">
      <v>3</v>
    </nc>
  </rcc>
  <rcc rId="35722" sId="16" numFmtId="4">
    <oc r="D27">
      <v>2.8</v>
    </oc>
    <nc r="D27">
      <v>4.4740000000000002</v>
    </nc>
  </rcc>
  <rcc rId="35723" sId="16" numFmtId="4">
    <oc r="D28">
      <v>11.579499999999999</v>
    </oc>
    <nc r="D28">
      <v>26.934249999999999</v>
    </nc>
  </rcc>
  <rcc rId="35724" sId="16" numFmtId="4">
    <oc r="D30">
      <v>2.77102</v>
    </oc>
    <nc r="D30">
      <v>18.606909999999999</v>
    </nc>
  </rcc>
  <rcc rId="35725" sId="16" numFmtId="4">
    <oc r="D41">
      <v>127.96599999999999</v>
    </oc>
    <nc r="D41">
      <v>191.94900000000001</v>
    </nc>
  </rcc>
  <rcc rId="35726" sId="16" numFmtId="4">
    <oc r="C42">
      <v>0</v>
    </oc>
    <nc r="C42">
      <v>170</v>
    </nc>
  </rcc>
  <rcc rId="35727" sId="16" numFmtId="4">
    <oc r="C43">
      <v>1326.182</v>
    </oc>
    <nc r="C43">
      <v>1855.8026199999999</v>
    </nc>
  </rcc>
  <rcc rId="35728" sId="16" numFmtId="4">
    <oc r="D43">
      <v>0</v>
    </oc>
    <nc r="D43">
      <v>202.62200000000001</v>
    </nc>
  </rcc>
  <rcc rId="35729" sId="16" numFmtId="4">
    <oc r="D44">
      <v>14.834</v>
    </oc>
    <nc r="D44">
      <v>22.251000000000001</v>
    </nc>
  </rcc>
  <rfmt sheetId="16" sqref="D40">
    <dxf>
      <numFmt numFmtId="2" formatCode="0.00"/>
    </dxf>
  </rfmt>
  <rfmt sheetId="16" sqref="D40">
    <dxf>
      <numFmt numFmtId="186" formatCode="0.000"/>
    </dxf>
  </rfmt>
  <rfmt sheetId="16" sqref="D40">
    <dxf>
      <numFmt numFmtId="175" formatCode="0.0000"/>
    </dxf>
  </rfmt>
  <rfmt sheetId="16" sqref="D40">
    <dxf>
      <numFmt numFmtId="168" formatCode="0.00000"/>
    </dxf>
  </rfmt>
  <rfmt sheetId="16" sqref="D40">
    <dxf>
      <numFmt numFmtId="174" formatCode="0.000000"/>
    </dxf>
  </rfmt>
  <rfmt sheetId="16" sqref="C7">
    <dxf>
      <numFmt numFmtId="175" formatCode="0.0000"/>
    </dxf>
  </rfmt>
  <rfmt sheetId="16" sqref="C7">
    <dxf>
      <numFmt numFmtId="186" formatCode="0.000"/>
    </dxf>
  </rfmt>
  <rfmt sheetId="16" sqref="C7">
    <dxf>
      <numFmt numFmtId="2" formatCode="0.00"/>
    </dxf>
  </rfmt>
  <rfmt sheetId="16" sqref="C7">
    <dxf>
      <numFmt numFmtId="166" formatCode="0.0"/>
    </dxf>
  </rfmt>
  <rfmt sheetId="16" sqref="D7">
    <dxf>
      <numFmt numFmtId="175" formatCode="0.0000"/>
    </dxf>
  </rfmt>
  <rfmt sheetId="16" sqref="D7">
    <dxf>
      <numFmt numFmtId="186" formatCode="0.000"/>
    </dxf>
  </rfmt>
  <rfmt sheetId="16" sqref="D7">
    <dxf>
      <numFmt numFmtId="2" formatCode="0.00"/>
    </dxf>
  </rfmt>
  <rfmt sheetId="16" sqref="D7">
    <dxf>
      <numFmt numFmtId="166" formatCode="0.0"/>
    </dxf>
  </rfmt>
  <rcc rId="35730" sId="16" numFmtId="4">
    <oc r="D8">
      <v>45.111159999999998</v>
    </oc>
    <nc r="D8">
      <v>64.453320000000005</v>
    </nc>
  </rcc>
  <rfmt sheetId="16" sqref="D40">
    <dxf>
      <numFmt numFmtId="168" formatCode="0.00000"/>
    </dxf>
  </rfmt>
  <rfmt sheetId="16" sqref="D40">
    <dxf>
      <numFmt numFmtId="175" formatCode="0.0000"/>
    </dxf>
  </rfmt>
  <rfmt sheetId="16" sqref="D40">
    <dxf>
      <numFmt numFmtId="186" formatCode="0.000"/>
    </dxf>
  </rfmt>
  <rfmt sheetId="16" sqref="D40">
    <dxf>
      <numFmt numFmtId="2" formatCode="0.00"/>
    </dxf>
  </rfmt>
  <rfmt sheetId="16" sqref="D40">
    <dxf>
      <numFmt numFmtId="166" formatCode="0.0"/>
    </dxf>
  </rfmt>
  <rfmt sheetId="16" sqref="C50:D51">
    <dxf>
      <numFmt numFmtId="183" formatCode="#,##0.0000"/>
    </dxf>
  </rfmt>
  <rfmt sheetId="16" sqref="C50:D51">
    <dxf>
      <numFmt numFmtId="173" formatCode="#,##0.000"/>
    </dxf>
  </rfmt>
  <rfmt sheetId="16" sqref="C50:D51">
    <dxf>
      <numFmt numFmtId="4" formatCode="#,##0.00"/>
    </dxf>
  </rfmt>
  <rfmt sheetId="16" sqref="C50:D51">
    <dxf>
      <numFmt numFmtId="167" formatCode="#,##0.0"/>
    </dxf>
  </rfmt>
  <rcc rId="35731" sId="16">
    <nc r="G50">
      <f>5774.03062-C50</f>
    </nc>
  </rcc>
  <rcc rId="35732" sId="16" odxf="1" dxf="1">
    <nc r="H50">
      <f>923.19873-D50</f>
    </nc>
    <odxf>
      <numFmt numFmtId="0" formatCode="General"/>
    </odxf>
    <ndxf>
      <numFmt numFmtId="167" formatCode="#,##0.0"/>
    </ndxf>
  </rcc>
  <rcc rId="35733" sId="16">
    <nc r="G97">
      <f>5956.93114-C97</f>
    </nc>
  </rcc>
  <rcc rId="35734" sId="16" odxf="1" dxf="1">
    <nc r="H97">
      <f>895.88732-D97</f>
    </nc>
    <odxf>
      <numFmt numFmtId="0" formatCode="General"/>
    </odxf>
    <ndxf>
      <numFmt numFmtId="172" formatCode="#,##0.00000"/>
    </ndxf>
  </rcc>
  <rcc rId="35735" sId="16" numFmtId="34">
    <oc r="D57">
      <v>135.71991</v>
    </oc>
    <nc r="D57">
      <v>279.42099000000002</v>
    </nc>
  </rcc>
  <rcc rId="35736" sId="16" numFmtId="34">
    <oc r="D64">
      <v>9.3432899999999997</v>
    </oc>
    <nc r="D64">
      <v>16.686579999999999</v>
    </nc>
  </rcc>
  <rcc rId="35737" sId="16" numFmtId="34">
    <oc r="C69">
      <v>15</v>
    </oc>
    <nc r="C69">
      <v>17.715</v>
    </nc>
  </rcc>
  <rcc rId="35738" sId="16" numFmtId="34">
    <oc r="C73">
      <v>440.0652</v>
    </oc>
    <nc r="C73">
      <v>989.36858199999995</v>
    </nc>
  </rcc>
  <rcc rId="35739" sId="16" numFmtId="34">
    <oc r="D73">
      <v>39</v>
    </oc>
    <nc r="D73">
      <v>41.77102</v>
    </nc>
  </rcc>
  <rcc rId="35740" sId="16" numFmtId="34">
    <oc r="C74">
      <v>1938.3420000000001</v>
    </oc>
    <nc r="C74">
      <v>1975.41372</v>
    </nc>
  </rcc>
  <rcc rId="35741" sId="16" numFmtId="34">
    <oc r="D74">
      <v>11.952999999999999</v>
    </oc>
    <nc r="D74">
      <v>270.99299999999999</v>
    </nc>
  </rcc>
  <rcc rId="35742" sId="16" numFmtId="34">
    <oc r="C79">
      <v>393.38209999999998</v>
    </oc>
    <nc r="C79">
      <v>370.6671</v>
    </nc>
  </rcc>
  <rcc rId="35743" sId="16" numFmtId="34">
    <oc r="D79">
      <v>3.3790399999999998</v>
    </oc>
    <nc r="D79">
      <v>17.763729999999999</v>
    </nc>
  </rcc>
  <rcc rId="35744" sId="16" numFmtId="34">
    <oc r="D81">
      <v>170</v>
    </oc>
    <nc r="D81">
      <v>255.77699999999999</v>
    </nc>
  </rcc>
  <rcc rId="35745" sId="16" numFmtId="34">
    <oc r="D88">
      <v>0</v>
    </oc>
    <nc r="D88">
      <v>8.2929999999999993</v>
    </nc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Тор!$19:$19,Тор!$50:$50,Тор!$57:$57,Тор!$59:$60,Тор!$67:$68,Тор!$75:$75,Тор!$79:$80,Тор!$84:$96</formula>
    <oldFormula>Тор!$19:$19,Тор!$50:$50,Тор!$57:$57,Тор!$59:$60,Тор!$67:$68,Тор!$75:$75,Тор!$79:$80,Тор!$84:$96</oldFormula>
  </rdn>
  <rdn rId="0" localSheetId="13" customView="1" name="Z_1A52382B_3765_4E8C_903F_6B8919B7242E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1A52382B_3765_4E8C_903F_6B8919B7242E_.wvu.Rows" hidden="1" oldHidden="1">
    <formula>Чум!$19:$21,Чум!$23:$24,Чум!$47:$49,Чум!$57:$57,Чум!$59:$60,Чум!$67:$68,Чум!$83:$87,Чум!$90:$97</formula>
    <oldFormula>Чум!$19:$21,Чум!$23:$24,Чум!$47:$49,Чум!$57:$57,Чум!$59:$60,Чум!$67:$68,Чум!$83:$87,Чум!$90:$97</oldFormula>
  </rdn>
  <rdn rId="0" localSheetId="15" customView="1" name="Z_1A52382B_3765_4E8C_903F_6B8919B7242E_.wvu.Rows" hidden="1" oldHidden="1">
    <formula>Шать!$19:$24,Шать!$46:$49,Шать!$57:$57,Шать!$59:$60,Шать!$67:$68,Шать!$78:$79,Шать!$83:$87,Шать!$90:$97</formula>
    <oldFormula>Шать!$19:$24,Шать!$46:$49,Шать!$57:$57,Шать!$59:$60,Шать!$67:$68,Шать!$78:$79,Шать!$83:$87,Шать!$90:$97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Юнг!$19:$24,Юнг!$31:$38,Юнг!$45:$49,Юнг!$56:$56,Юнг!$58:$59,Юнг!$66:$67,Юнг!$77:$77,Юнг!$82:$86,Юнг!$89:$96</formula>
    <oldFormula>Юнг!$19:$24,Юнг!$32:$32,Юнг!$49:$49,Юнг!$56:$56,Юнг!$58:$59,Юнг!$66:$67,Юнг!$77:$77,Юнг!$82:$86,Юнг!$89:$96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Юсь!$20:$24,Юсь!$36:$36,Юсь!$40:$40,Юсь!$44:$49,Юсь!$58:$58,Юсь!$60:$61,Юсь!$68:$69,Юсь!$79:$80,Юсь!$84:$88,Юсь!$91:$98</formula>
    <oldFormula>Юсь!$20:$24,Юсь!$36:$36,Юсь!$40:$40,Юсь!$44:$49,Юсь!$58:$58,Юсь!$60:$61,Юсь!$68:$69,Юсь!$79:$80,Юсь!$84:$88,Юсь!$91:$98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Яра!$19:$24,Яра!$46:$46,Яра!$48:$51,Яра!$58:$58,Яра!$60:$61,Яра!$68:$69,Яра!$79:$80,Яра!$84:$88,Яра!$91:$98</formula>
    <oldFormula>Яра!$19:$24,Яра!$46:$46,Яра!$48:$51,Яра!$58:$58,Яра!$60:$61,Яра!$68:$69,Яра!$79:$80,Яра!$84:$88,Яра!$91:$98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revisionLog193.xml><?xml version="1.0" encoding="utf-8"?>
<revisions xmlns="http://schemas.openxmlformats.org/spreadsheetml/2006/main" xmlns:r="http://schemas.openxmlformats.org/officeDocument/2006/relationships">
  <rcc rId="36491" sId="12" numFmtId="4">
    <oc r="D42">
      <v>237.434</v>
    </oc>
    <nc r="D42">
      <v>356.15100000000001</v>
    </nc>
  </rcc>
  <rcc rId="36492" sId="12" numFmtId="4">
    <oc r="D43">
      <v>0</v>
    </oc>
    <nc r="D43">
      <v>65</v>
    </nc>
  </rcc>
  <rcc rId="36493" sId="12" numFmtId="4">
    <oc r="D44">
      <v>0</v>
    </oc>
    <nc r="D44">
      <v>282.774</v>
    </nc>
  </rcc>
  <rcc rId="36494" sId="12" numFmtId="4">
    <oc r="D45">
      <v>29.666</v>
    </oc>
    <nc r="D45">
      <v>44.499000000000002</v>
    </nc>
  </rcc>
  <rcc rId="36495" sId="12">
    <nc r="G51">
      <f>7662.29943-C51</f>
    </nc>
  </rcc>
  <rcc rId="36496" sId="12">
    <nc r="H51">
      <f>1130.4405-D51</f>
    </nc>
  </rcc>
  <rfmt sheetId="12" sqref="C41:D41">
    <dxf>
      <numFmt numFmtId="2" formatCode="0.00"/>
    </dxf>
  </rfmt>
  <rfmt sheetId="12" sqref="C41:D41">
    <dxf>
      <numFmt numFmtId="186" formatCode="0.000"/>
    </dxf>
  </rfmt>
  <rfmt sheetId="12" sqref="C41:D41">
    <dxf>
      <numFmt numFmtId="175" formatCode="0.0000"/>
    </dxf>
  </rfmt>
  <rfmt sheetId="12" sqref="C41:D41">
    <dxf>
      <numFmt numFmtId="168" formatCode="0.00000"/>
    </dxf>
  </rfmt>
  <rcc rId="36497" sId="12" numFmtId="4">
    <oc r="C44">
      <v>1924.0509999999999</v>
    </oc>
    <nc r="C44">
      <v>3448.5478199999998</v>
    </nc>
  </rcc>
  <rcc rId="36498" sId="12" numFmtId="4">
    <oc r="D9">
      <v>0.65414000000000005</v>
    </oc>
    <nc r="D9">
      <v>0.65415000000000001</v>
    </nc>
  </rcc>
  <rcc rId="36499" sId="12">
    <nc r="G99">
      <f>8096.52307-C99</f>
    </nc>
  </rcc>
  <rcc rId="36500" sId="12" odxf="1" dxf="1">
    <nc r="H99">
      <f>899.25122-D99</f>
    </nc>
    <odxf>
      <numFmt numFmtId="0" formatCode="General"/>
    </odxf>
    <ndxf>
      <numFmt numFmtId="172" formatCode="#,##0.00000"/>
    </ndxf>
  </rcc>
  <rcv guid="{1A52382B-3765-4E8C-903F-6B8919B7242E}" action="delete"/>
  <rdn rId="0" localSheetId="1" customView="1" name="Z_1A52382B_3765_4E8C_903F_6B8919B7242E_.wvu.PrintArea" hidden="1" oldHidden="1">
    <formula>Консол!$A$1:$K$50</formula>
    <oldFormula>Консол!$A$1:$K$50</oldFormula>
  </rdn>
  <rdn rId="0" localSheetId="1" customView="1" name="Z_1A52382B_3765_4E8C_903F_6B8919B7242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1A52382B_3765_4E8C_903F_6B8919B7242E_.wvu.PrintArea" hidden="1" oldHidden="1">
    <formula>Справка!$A$1:$EY$31</formula>
    <oldFormula>Справка!$A$1:$EY$31</oldFormula>
  </rdn>
  <rdn rId="0" localSheetId="2" customView="1" name="Z_1A52382B_3765_4E8C_903F_6B8919B7242E_.wvu.Rows" hidden="1" oldHidden="1">
    <formula>Справка!$33:$33</formula>
    <oldFormula>Справка!$33:$33</oldFormula>
  </rdn>
  <rdn rId="0" localSheetId="2" customView="1" name="Z_1A52382B_3765_4E8C_903F_6B8919B7242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1A52382B_3765_4E8C_903F_6B8919B7242E_.wvu.Rows" hidden="1" oldHidden="1">
    <formula>район!$17:$18,район!$20:$20,район!$28:$30,район!$50:$51,район!$62:$62,район!$75:$75,район!$82:$82,район!$99:$99,район!$105:$105,район!$133:$135</formula>
    <oldFormula>район!$17:$18,район!$20:$20,район!$28:$30,район!$50:$51,район!$62:$62,район!$75:$75,район!$82:$82,район!$99:$99,район!$105:$105,район!$133:$135</oldFormula>
  </rdn>
  <rdn rId="0" localSheetId="4" customView="1" name="Z_1A52382B_3765_4E8C_903F_6B8919B7242E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1A52382B_3765_4E8C_903F_6B8919B7242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1A52382B_3765_4E8C_903F_6B8919B7242E_.wvu.PrintArea" hidden="1" oldHidden="1">
    <formula>Иль!$A$1:$F$104</formula>
    <oldFormula>Иль!$A$1:$F$104</oldFormula>
  </rdn>
  <rdn rId="0" localSheetId="6" customView="1" name="Z_1A52382B_3765_4E8C_903F_6B8919B7242E_.wvu.Rows" hidden="1" oldHidden="1">
    <formula>Иль!$19:$24,Иль!$30:$31,Иль!$33:$33,Иль!$45:$45,Иль!$50:$50,Иль!$60:$61,Иль!$68:$69,Иль!$78:$79,Иль!$81:$81,Иль!$93:$97</formula>
    <oldFormula>Иль!$19:$24,Иль!$30:$31,Иль!$33:$33,Иль!$45:$45,Иль!$50:$50,Иль!$60:$61,Иль!$68:$69,Иль!$78:$79,Иль!$81:$81,Иль!$93:$97</oldFormula>
  </rdn>
  <rdn rId="0" localSheetId="7" customView="1" name="Z_1A52382B_3765_4E8C_903F_6B8919B7242E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1A52382B_3765_4E8C_903F_6B8919B7242E_.wvu.PrintArea" hidden="1" oldHidden="1">
    <formula>Мор!$A$1:$F$101</formula>
    <oldFormula>Мор!$A$1:$F$101</oldFormula>
  </rdn>
  <rdn rId="0" localSheetId="8" customView="1" name="Z_1A52382B_3765_4E8C_903F_6B8919B7242E_.wvu.Rows" hidden="1" oldHidden="1">
    <formula>Мор!$17:$17,Мор!$21:$21,Мор!$23:$23,Мор!$37:$37,Мор!$44:$44,Мор!$46:$47,Мор!$49:$50,Мор!$57:$57,Мор!$59:$60,Мор!$67:$68,Мор!$83:$88,Мор!$91:$97</formula>
    <oldFormula>Мор!$17:$17,Мор!$21:$21,Мор!$23:$23,Мор!$37:$37,Мор!$44:$44,Мор!$46:$47,Мор!$49:$50,Мор!$57:$57,Мор!$59:$60,Мор!$67:$68,Мор!$83:$88,Мор!$91:$97</oldFormula>
  </rdn>
  <rdn rId="0" localSheetId="9" customView="1" name="Z_1A52382B_3765_4E8C_903F_6B8919B7242E_.wvu.Rows" hidden="1" oldHidden="1">
    <formula>Мос!$19:$24,Мос!$44:$44,Мос!$58:$58,Мос!$60:$61,Мос!$68:$69,Мос!$82:$82,Мос!$86:$90,Мос!$95:$100</formula>
    <oldFormula>Мос!$19:$24,Мос!$44:$44,Мос!$58:$58,Мос!$60:$61,Мос!$68:$69,Мос!$82:$82,Мос!$86:$90,Мос!$95:$100</oldFormula>
  </rdn>
  <rdn rId="0" localSheetId="10" customView="1" name="Z_1A52382B_3765_4E8C_903F_6B8919B7242E_.wvu.Rows" hidden="1" oldHidden="1">
    <formula>Ори!$19:$24,Ори!$32:$32,Ори!$44:$44,Ори!$48:$50,Ори!$57:$57,Ори!$59:$60,Ори!$67:$68,Ори!$78:$79,Ори!$81:$81,Ори!$84:$88,Ори!$91:$98</formula>
    <oldFormula>Ори!$19:$24,Ори!$32:$32,Ори!$44:$44,Ори!$48:$50,Ори!$57:$57,Ори!$59:$60,Ори!$67:$68,Ори!$78:$79,Ори!$81:$81,Ори!$84:$88,Ори!$91:$98</oldFormula>
  </rdn>
  <rdn rId="0" localSheetId="11" customView="1" name="Z_1A52382B_3765_4E8C_903F_6B8919B7242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1A52382B_3765_4E8C_903F_6B8919B7242E_.wvu.PrintArea" hidden="1" oldHidden="1">
    <formula>Тор!$A$1:$F$102</formula>
    <oldFormula>Тор!$A$1:$F$102</oldFormula>
  </rdn>
  <rdn rId="0" localSheetId="12" customView="1" name="Z_1A52382B_3765_4E8C_903F_6B8919B7242E_.wvu.Rows" hidden="1" oldHidden="1">
    <formula>Тор!$19:$24,Тор!$32:$39,Тор!$46:$47,Тор!$49:$50,Тор!$57:$57,Тор!$59:$60,Тор!$67:$68,Тор!$75:$75,Тор!$79:$80,Тор!$84:$96</formula>
    <oldFormula>Тор!$19:$24,Тор!$32:$39,Тор!$50:$50,Тор!$57:$57,Тор!$59:$60,Тор!$67:$68,Тор!$75:$75,Тор!$79:$80,Тор!$84:$96</oldFormula>
  </rdn>
  <rdn rId="0" localSheetId="13" customView="1" name="Z_1A52382B_3765_4E8C_903F_6B8919B7242E_.wvu.PrintArea" hidden="1" oldHidden="1">
    <formula>Хор!$A$1:$F$99</formula>
    <oldFormula>Хор!$A$1:$F$99</oldFormula>
  </rdn>
  <rdn rId="0" localSheetId="13" customView="1" name="Z_1A52382B_3765_4E8C_903F_6B8919B7242E_.wvu.Rows" hidden="1" oldHidden="1">
    <formula>Хор!$19:$24,Хор!$28:$36,Хор!$40:$40,Хор!$46:$48,Хор!$55:$55,Хор!$57:$59,Хор!$65:$66,Хор!$72:$72,Хор!$76:$77,Хор!$81:$85,Хор!$88:$95</formula>
    <oldFormula>Хор!$19:$24,Хор!$28:$36,Хор!$40:$40,Хор!$46:$48,Хор!$55:$55,Хор!$57:$59,Хор!$65:$66,Хор!$72:$72,Хор!$76:$77,Хор!$81:$85,Хор!$88:$95</oldFormula>
  </rdn>
  <rdn rId="0" localSheetId="14" customView="1" name="Z_1A52382B_3765_4E8C_903F_6B8919B7242E_.wvu.PrintArea" hidden="1" oldHidden="1">
    <formula>Чум!$A$1:$F$101</formula>
    <oldFormula>Чум!$A$1:$F$101</oldFormula>
  </rdn>
  <rdn rId="0" localSheetId="14" customView="1" name="Z_1A52382B_3765_4E8C_903F_6B8919B7242E_.wvu.Rows" hidden="1" oldHidden="1">
    <formula>Чум!$19:$21,Чум!$23:$24,Чум!$28:$28,Чум!$31:$39,Чум!$47:$49,Чум!$57:$57,Чум!$59:$60,Чум!$67:$68,Чум!$78:$79,Чум!$83:$87,Чум!$90:$97</formula>
    <oldFormula>Чум!$19:$21,Чум!$23:$24,Чум!$28:$28,Чум!$31:$39,Чум!$47:$49,Чум!$57:$57,Чум!$59:$60,Чум!$67:$68,Чум!$78:$79,Чум!$83:$87,Чум!$90:$97</oldFormula>
  </rdn>
  <rdn rId="0" localSheetId="15" customView="1" name="Z_1A52382B_3765_4E8C_903F_6B8919B7242E_.wvu.PrintArea" hidden="1" oldHidden="1">
    <formula>Шать!$A$1:$F$101</formula>
    <oldFormula>Шать!$A$1:$F$101</oldFormula>
  </rdn>
  <rdn rId="0" localSheetId="15" customView="1" name="Z_1A52382B_3765_4E8C_903F_6B8919B7242E_.wvu.Rows" hidden="1" oldHidden="1">
    <formula>Шать!$19:$24,Шать!$31:$39,Шать!$46:$49,Шать!$57:$57,Шать!$59:$60,Шать!$67:$68,Шать!$78:$79,Шать!$83:$87,Шать!$90:$97</formula>
    <oldFormula>Шать!$19:$24,Шать!$31:$39,Шать!$46:$49,Шать!$57:$57,Шать!$59:$60,Шать!$67:$68,Шать!$78:$79,Шать!$83:$87,Шать!$90:$97</oldFormula>
  </rdn>
  <rdn rId="0" localSheetId="16" customView="1" name="Z_1A52382B_3765_4E8C_903F_6B8919B7242E_.wvu.PrintArea" hidden="1" oldHidden="1">
    <formula>Юнг!$A$1:$F$100</formula>
    <oldFormula>Юнг!$A$1:$F$100</oldFormula>
  </rdn>
  <rdn rId="0" localSheetId="16" customView="1" name="Z_1A52382B_3765_4E8C_903F_6B8919B7242E_.wvu.Rows" hidden="1" oldHidden="1">
    <formula>Юнг!$19:$24,Юнг!$31:$38,Юнг!$45:$49,Юнг!$56:$56,Юнг!$58:$59,Юнг!$66:$67,Юнг!$77:$77,Юнг!$82:$86,Юнг!$89:$96</formula>
    <oldFormula>Юнг!$19:$24,Юнг!$31:$38,Юнг!$45:$49,Юнг!$56:$56,Юнг!$58:$59,Юнг!$66:$67,Юнг!$77:$77,Юнг!$82:$86,Юнг!$89:$96</oldFormula>
  </rdn>
  <rdn rId="0" localSheetId="17" customView="1" name="Z_1A52382B_3765_4E8C_903F_6B8919B7242E_.wvu.Rows" hidden="1" oldHidden="1">
    <formula>Юсь!$20:$24,Юсь!$36:$36,Юсь!$40:$40,Юсь!$44:$49,Юсь!$58:$58,Юсь!$60:$61,Юсь!$68:$69,Юсь!$79:$80,Юсь!$84:$88,Юсь!$91:$98</formula>
    <oldFormula>Юсь!$20:$24,Юсь!$36:$36,Юсь!$40:$40,Юсь!$44:$49,Юсь!$58:$58,Юсь!$60:$61,Юсь!$68:$69,Юсь!$79:$80,Юсь!$84:$88,Юсь!$91:$98</oldFormula>
  </rdn>
  <rdn rId="0" localSheetId="18" customView="1" name="Z_1A52382B_3765_4E8C_903F_6B8919B7242E_.wvu.PrintArea" hidden="1" oldHidden="1">
    <formula>Яра!$A$1:$F$102</formula>
    <oldFormula>Яра!$A$1:$F$102</oldFormula>
  </rdn>
  <rdn rId="0" localSheetId="18" customView="1" name="Z_1A52382B_3765_4E8C_903F_6B8919B7242E_.wvu.Rows" hidden="1" oldHidden="1">
    <formula>Яра!$19:$24,Яра!$46:$46,Яра!$48:$51,Яра!$58:$58,Яра!$60:$61,Яра!$68:$69,Яра!$79:$80,Яра!$84:$88,Яра!$91:$98</formula>
    <oldFormula>Яра!$19:$24,Яра!$46:$46,Яра!$48:$51,Яра!$58:$58,Яра!$60:$61,Яра!$68:$69,Яра!$79:$80,Яра!$84:$88,Яра!$91:$98</oldFormula>
  </rdn>
  <rdn rId="0" localSheetId="19" customView="1" name="Z_1A52382B_3765_4E8C_903F_6B8919B7242E_.wvu.Rows" hidden="1" oldHidden="1">
    <formula>Яро!$19:$24,Яро!$43:$43,Яро!$54:$54,Яро!$56:$58,Яро!$64:$65,Яро!$75:$76,Яро!$80:$84,Яро!$87:$94</formula>
    <oldFormula>Яро!$19:$24,Яро!$43:$43,Яро!$54:$54,Яро!$56:$58,Яро!$64:$65,Яро!$75:$76,Яро!$80:$84,Яро!$87:$94</oldFormula>
  </rdn>
  <rdn rId="0" localSheetId="20" customView="1" name="Z_1A52382B_3765_4E8C_903F_6B8919B7242E_.wvu.Rows" hidden="1" oldHidden="1">
    <formula>Лист1!$82:$84</formula>
    <oldFormula>Лист1!$82:$84</oldFormula>
  </rdn>
  <rcv guid="{1A52382B-3765-4E8C-903F-6B8919B7242E}" action="add"/>
</revisions>
</file>

<file path=xl/revisions/userNames.xml><?xml version="1.0" encoding="utf-8"?>
<users xmlns="http://schemas.openxmlformats.org/spreadsheetml/2006/main" xmlns:r="http://schemas.openxmlformats.org/officeDocument/2006/relationships" count="7">
  <userInfo guid="{7FB450A6-41BD-4658-82C2-3A5E530C8D58}" name="morgau_fin7" id="-1071182122" dateTime="2019-02-08T09:23:36"/>
  <userInfo guid="{AE34A7A3-5200-4C9D-80EB-C657D007BF4A}" name="morgau_fin2" id="-400058837" dateTime="2019-03-05T16:18:15"/>
  <userInfo guid="{8DF4F20F-A8C0-4DC9-A5BD-B26FA0EE95F1}" name="morgau_fin7" id="-1071133041" dateTime="2019-04-04T16:23:45"/>
  <userInfo guid="{5F08372D-D223-49F3-A1F7-18925E831008}" name="morgau_fin5" id="-802750375" dateTime="2019-04-11T10:27:01"/>
  <userInfo guid="{8A6AAAD3-9279-43D3-B97E-837C2CB5D1D1}" name="morgau_fin3" id="-534302481" dateTime="2019-05-06T16:48:55"/>
  <userInfo guid="{E46AEBDE-B7B7-45EC-8270-77EB6DB3D944}" name="morgau_fin3" id="-534268483" dateTime="2019-05-07T16:21:01"/>
  <userInfo guid="{1BCECA1E-74B5-48B1-9097-0F0863A205C5}" name="1" id="-836174405" dateTime="2019-05-17T11:46:14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8.bin"/><Relationship Id="rId3" Type="http://schemas.openxmlformats.org/officeDocument/2006/relationships/printerSettings" Target="../printerSettings/printerSettings103.bin"/><Relationship Id="rId7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05.bin"/><Relationship Id="rId10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4.bin"/><Relationship Id="rId9" Type="http://schemas.openxmlformats.org/officeDocument/2006/relationships/printerSettings" Target="../printerSettings/printerSettings10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13.bin"/><Relationship Id="rId7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5.bin"/><Relationship Id="rId10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4.bin"/><Relationship Id="rId9" Type="http://schemas.openxmlformats.org/officeDocument/2006/relationships/printerSettings" Target="../printerSettings/printerSettings11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8.bin"/><Relationship Id="rId3" Type="http://schemas.openxmlformats.org/officeDocument/2006/relationships/printerSettings" Target="../printerSettings/printerSettings133.bin"/><Relationship Id="rId7" Type="http://schemas.openxmlformats.org/officeDocument/2006/relationships/printerSettings" Target="../printerSettings/printerSettings137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6" Type="http://schemas.openxmlformats.org/officeDocument/2006/relationships/printerSettings" Target="../printerSettings/printerSettings136.bin"/><Relationship Id="rId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4.bin"/><Relationship Id="rId9" Type="http://schemas.openxmlformats.org/officeDocument/2006/relationships/printerSettings" Target="../printerSettings/printerSettings139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8.bin"/><Relationship Id="rId3" Type="http://schemas.openxmlformats.org/officeDocument/2006/relationships/printerSettings" Target="../printerSettings/printerSettings143.bin"/><Relationship Id="rId7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6" Type="http://schemas.openxmlformats.org/officeDocument/2006/relationships/printerSettings" Target="../printerSettings/printerSettings146.bin"/><Relationship Id="rId5" Type="http://schemas.openxmlformats.org/officeDocument/2006/relationships/printerSettings" Target="../printerSettings/printerSettings145.bin"/><Relationship Id="rId10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44.bin"/><Relationship Id="rId9" Type="http://schemas.openxmlformats.org/officeDocument/2006/relationships/printerSettings" Target="../printerSettings/printerSettings149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57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Relationship Id="rId6" Type="http://schemas.openxmlformats.org/officeDocument/2006/relationships/printerSettings" Target="../printerSettings/printerSettings156.bin"/><Relationship Id="rId5" Type="http://schemas.openxmlformats.org/officeDocument/2006/relationships/printerSettings" Target="../printerSettings/printerSettings155.bin"/><Relationship Id="rId10" Type="http://schemas.openxmlformats.org/officeDocument/2006/relationships/printerSettings" Target="../printerSettings/printerSettings160.bin"/><Relationship Id="rId4" Type="http://schemas.openxmlformats.org/officeDocument/2006/relationships/printerSettings" Target="../printerSettings/printerSettings154.bin"/><Relationship Id="rId9" Type="http://schemas.openxmlformats.org/officeDocument/2006/relationships/printerSettings" Target="../printerSettings/printerSettings15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8.bin"/><Relationship Id="rId3" Type="http://schemas.openxmlformats.org/officeDocument/2006/relationships/printerSettings" Target="../printerSettings/printerSettings163.bin"/><Relationship Id="rId7" Type="http://schemas.openxmlformats.org/officeDocument/2006/relationships/printerSettings" Target="../printerSettings/printerSettings167.bin"/><Relationship Id="rId2" Type="http://schemas.openxmlformats.org/officeDocument/2006/relationships/printerSettings" Target="../printerSettings/printerSettings162.bin"/><Relationship Id="rId1" Type="http://schemas.openxmlformats.org/officeDocument/2006/relationships/printerSettings" Target="../printerSettings/printerSettings161.bin"/><Relationship Id="rId6" Type="http://schemas.openxmlformats.org/officeDocument/2006/relationships/printerSettings" Target="../printerSettings/printerSettings166.bin"/><Relationship Id="rId5" Type="http://schemas.openxmlformats.org/officeDocument/2006/relationships/printerSettings" Target="../printerSettings/printerSettings165.bin"/><Relationship Id="rId10" Type="http://schemas.openxmlformats.org/officeDocument/2006/relationships/printerSettings" Target="../printerSettings/printerSettings170.bin"/><Relationship Id="rId4" Type="http://schemas.openxmlformats.org/officeDocument/2006/relationships/printerSettings" Target="../printerSettings/printerSettings164.bin"/><Relationship Id="rId9" Type="http://schemas.openxmlformats.org/officeDocument/2006/relationships/printerSettings" Target="../printerSettings/printerSettings169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8.bin"/><Relationship Id="rId3" Type="http://schemas.openxmlformats.org/officeDocument/2006/relationships/printerSettings" Target="../printerSettings/printerSettings173.bin"/><Relationship Id="rId7" Type="http://schemas.openxmlformats.org/officeDocument/2006/relationships/printerSettings" Target="../printerSettings/printerSettings177.bin"/><Relationship Id="rId2" Type="http://schemas.openxmlformats.org/officeDocument/2006/relationships/printerSettings" Target="../printerSettings/printerSettings172.bin"/><Relationship Id="rId1" Type="http://schemas.openxmlformats.org/officeDocument/2006/relationships/printerSettings" Target="../printerSettings/printerSettings171.bin"/><Relationship Id="rId6" Type="http://schemas.openxmlformats.org/officeDocument/2006/relationships/printerSettings" Target="../printerSettings/printerSettings176.bin"/><Relationship Id="rId5" Type="http://schemas.openxmlformats.org/officeDocument/2006/relationships/printerSettings" Target="../printerSettings/printerSettings175.bin"/><Relationship Id="rId10" Type="http://schemas.openxmlformats.org/officeDocument/2006/relationships/printerSettings" Target="../printerSettings/printerSettings180.bin"/><Relationship Id="rId4" Type="http://schemas.openxmlformats.org/officeDocument/2006/relationships/printerSettings" Target="../printerSettings/printerSettings174.bin"/><Relationship Id="rId9" Type="http://schemas.openxmlformats.org/officeDocument/2006/relationships/printerSettings" Target="../printerSettings/printerSettings179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8.bin"/><Relationship Id="rId3" Type="http://schemas.openxmlformats.org/officeDocument/2006/relationships/printerSettings" Target="../printerSettings/printerSettings183.bin"/><Relationship Id="rId7" Type="http://schemas.openxmlformats.org/officeDocument/2006/relationships/printerSettings" Target="../printerSettings/printerSettings187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5" Type="http://schemas.openxmlformats.org/officeDocument/2006/relationships/printerSettings" Target="../printerSettings/printerSettings185.bin"/><Relationship Id="rId10" Type="http://schemas.openxmlformats.org/officeDocument/2006/relationships/printerSettings" Target="../printerSettings/printerSettings190.bin"/><Relationship Id="rId4" Type="http://schemas.openxmlformats.org/officeDocument/2006/relationships/printerSettings" Target="../printerSettings/printerSettings184.bin"/><Relationship Id="rId9" Type="http://schemas.openxmlformats.org/officeDocument/2006/relationships/printerSettings" Target="../printerSettings/printerSettings18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8.bin"/><Relationship Id="rId3" Type="http://schemas.openxmlformats.org/officeDocument/2006/relationships/printerSettings" Target="../printerSettings/printerSettings193.bin"/><Relationship Id="rId7" Type="http://schemas.openxmlformats.org/officeDocument/2006/relationships/printerSettings" Target="../printerSettings/printerSettings197.bin"/><Relationship Id="rId2" Type="http://schemas.openxmlformats.org/officeDocument/2006/relationships/printerSettings" Target="../printerSettings/printerSettings192.bin"/><Relationship Id="rId1" Type="http://schemas.openxmlformats.org/officeDocument/2006/relationships/printerSettings" Target="../printerSettings/printerSettings191.bin"/><Relationship Id="rId6" Type="http://schemas.openxmlformats.org/officeDocument/2006/relationships/printerSettings" Target="../printerSettings/printerSettings196.bin"/><Relationship Id="rId5" Type="http://schemas.openxmlformats.org/officeDocument/2006/relationships/printerSettings" Target="../printerSettings/printerSettings195.bin"/><Relationship Id="rId4" Type="http://schemas.openxmlformats.org/officeDocument/2006/relationships/printerSettings" Target="../printerSettings/printerSettings194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1.bin"/><Relationship Id="rId2" Type="http://schemas.openxmlformats.org/officeDocument/2006/relationships/printerSettings" Target="../printerSettings/printerSettings200.bin"/><Relationship Id="rId1" Type="http://schemas.openxmlformats.org/officeDocument/2006/relationships/printerSettings" Target="../printerSettings/printerSettings19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view="pageBreakPreview" zoomScale="80" zoomScaleNormal="100" zoomScaleSheetLayoutView="80" workbookViewId="0">
      <selection activeCell="C25" sqref="C25"/>
    </sheetView>
  </sheetViews>
  <sheetFormatPr defaultRowHeight="15.75"/>
  <cols>
    <col min="1" max="1" width="41.28515625" style="84" customWidth="1"/>
    <col min="2" max="2" width="10" style="85" customWidth="1"/>
    <col min="3" max="3" width="21.140625" style="75" customWidth="1"/>
    <col min="4" max="4" width="20.42578125" style="75" customWidth="1"/>
    <col min="5" max="5" width="13.5703125" style="75" customWidth="1"/>
    <col min="6" max="6" width="20.85546875" style="75" customWidth="1"/>
    <col min="7" max="7" width="21.42578125" style="75" customWidth="1"/>
    <col min="8" max="8" width="12.85546875" style="75" customWidth="1"/>
    <col min="9" max="9" width="21.140625" style="75" customWidth="1"/>
    <col min="10" max="10" width="18" style="75" customWidth="1"/>
    <col min="11" max="11" width="13" style="75" customWidth="1"/>
    <col min="12" max="12" width="23.5703125" style="75" customWidth="1"/>
    <col min="13" max="13" width="12" style="75" customWidth="1"/>
    <col min="14" max="16384" width="9.140625" style="75"/>
  </cols>
  <sheetData>
    <row r="1" spans="1:15" ht="26.25" customHeight="1">
      <c r="A1" s="491" t="s">
        <v>440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123"/>
      <c r="M1" s="123"/>
      <c r="N1" s="123"/>
      <c r="O1" s="123"/>
    </row>
    <row r="2" spans="1:15" ht="33.75" customHeight="1">
      <c r="A2" s="489" t="s">
        <v>180</v>
      </c>
      <c r="B2" s="490" t="s">
        <v>181</v>
      </c>
      <c r="C2" s="486" t="s">
        <v>182</v>
      </c>
      <c r="D2" s="487"/>
      <c r="E2" s="487"/>
      <c r="F2" s="486" t="s">
        <v>183</v>
      </c>
      <c r="G2" s="487"/>
      <c r="H2" s="487"/>
      <c r="I2" s="486" t="s">
        <v>184</v>
      </c>
      <c r="J2" s="487"/>
      <c r="K2" s="492"/>
    </row>
    <row r="3" spans="1:15" ht="53.25" customHeight="1">
      <c r="A3" s="489"/>
      <c r="B3" s="490"/>
      <c r="C3" s="78" t="s">
        <v>410</v>
      </c>
      <c r="D3" s="78" t="s">
        <v>419</v>
      </c>
      <c r="E3" s="138" t="s">
        <v>331</v>
      </c>
      <c r="F3" s="78" t="s">
        <v>410</v>
      </c>
      <c r="G3" s="78" t="s">
        <v>419</v>
      </c>
      <c r="H3" s="138" t="s">
        <v>331</v>
      </c>
      <c r="I3" s="78" t="s">
        <v>410</v>
      </c>
      <c r="J3" s="78" t="s">
        <v>419</v>
      </c>
      <c r="K3" s="78" t="s">
        <v>331</v>
      </c>
    </row>
    <row r="4" spans="1:15" s="80" customFormat="1" ht="30.75" customHeight="1">
      <c r="A4" s="79" t="s">
        <v>4</v>
      </c>
      <c r="B4" s="76"/>
      <c r="C4" s="301">
        <f>SUM(C5:C13)</f>
        <v>169915.38229000001</v>
      </c>
      <c r="D4" s="301">
        <f>SUM(D5:D13)</f>
        <v>51850.880680000002</v>
      </c>
      <c r="E4" s="301">
        <f>D4/C4*100</f>
        <v>30.515707278052346</v>
      </c>
      <c r="F4" s="301">
        <f>SUM(F5:F13)</f>
        <v>133077.39000000001</v>
      </c>
      <c r="G4" s="301">
        <f>SUM(G5:G13)</f>
        <v>43713.474240000003</v>
      </c>
      <c r="H4" s="301">
        <f>G4/F4*100</f>
        <v>32.848160187091139</v>
      </c>
      <c r="I4" s="301">
        <f>I5+I7+I6+I8+I10+I11+I12+I13</f>
        <v>36837.992289999995</v>
      </c>
      <c r="J4" s="301">
        <f>J5+J6+J7+J8+J10+J11+J12+J13</f>
        <v>8137.4064400000007</v>
      </c>
      <c r="K4" s="301">
        <f>J4/I4*100</f>
        <v>22.089712099236671</v>
      </c>
    </row>
    <row r="5" spans="1:15" ht="27" customHeight="1">
      <c r="A5" s="81" t="s">
        <v>185</v>
      </c>
      <c r="B5" s="77">
        <v>10102</v>
      </c>
      <c r="C5" s="302">
        <f t="shared" ref="C5:D8" si="0">F5+I5</f>
        <v>116004</v>
      </c>
      <c r="D5" s="302">
        <f t="shared" si="0"/>
        <v>36145.95319</v>
      </c>
      <c r="E5" s="303">
        <f t="shared" ref="E5:E12" si="1">D5/C5*100</f>
        <v>31.159230017930419</v>
      </c>
      <c r="F5" s="302">
        <f>район!C5</f>
        <v>110707.3</v>
      </c>
      <c r="G5" s="302">
        <f>район!D5</f>
        <v>34475.823929999999</v>
      </c>
      <c r="H5" s="303">
        <f t="shared" ref="H5:H41" si="2">G5/F5*100</f>
        <v>31.141418795327859</v>
      </c>
      <c r="I5" s="302">
        <f>Справка!I31</f>
        <v>5296.6999999999989</v>
      </c>
      <c r="J5" s="302">
        <f>Справка!J31</f>
        <v>1670.1292600000002</v>
      </c>
      <c r="K5" s="303">
        <f t="shared" ref="K5:K12" si="3">J5/I5*100</f>
        <v>31.531505654464109</v>
      </c>
    </row>
    <row r="6" spans="1:15" ht="41.25" customHeight="1">
      <c r="A6" s="81" t="s">
        <v>283</v>
      </c>
      <c r="B6" s="77">
        <v>10300</v>
      </c>
      <c r="C6" s="302">
        <f t="shared" si="0"/>
        <v>12565.805</v>
      </c>
      <c r="D6" s="302">
        <f t="shared" si="0"/>
        <v>4853.8813399999999</v>
      </c>
      <c r="E6" s="303">
        <f t="shared" si="1"/>
        <v>38.627699061062934</v>
      </c>
      <c r="F6" s="302">
        <f>район!C7</f>
        <v>4391.8900000000003</v>
      </c>
      <c r="G6" s="302">
        <f>район!D7</f>
        <v>1696.4860799999999</v>
      </c>
      <c r="H6" s="303">
        <f t="shared" si="2"/>
        <v>38.627699691932172</v>
      </c>
      <c r="I6" s="302">
        <f>Справка!L31+Справка!R31+Справка!O31</f>
        <v>8173.915</v>
      </c>
      <c r="J6" s="302">
        <f>Справка!M31+Справка!S31+Справка!P31+Справка!V31</f>
        <v>3157.3952600000002</v>
      </c>
      <c r="K6" s="303">
        <f t="shared" si="3"/>
        <v>38.627698722093399</v>
      </c>
    </row>
    <row r="7" spans="1:15" ht="19.5" customHeight="1">
      <c r="A7" s="81" t="s">
        <v>186</v>
      </c>
      <c r="B7" s="77">
        <v>10500</v>
      </c>
      <c r="C7" s="302">
        <f t="shared" si="0"/>
        <v>12698.2</v>
      </c>
      <c r="D7" s="302">
        <f t="shared" si="0"/>
        <v>6542.2403399999994</v>
      </c>
      <c r="E7" s="303">
        <f t="shared" si="1"/>
        <v>51.521005654344698</v>
      </c>
      <c r="F7" s="302">
        <f>район!C12</f>
        <v>12228.2</v>
      </c>
      <c r="G7" s="302">
        <f>район!D12</f>
        <v>6034.1928799999996</v>
      </c>
      <c r="H7" s="303">
        <f t="shared" si="2"/>
        <v>49.346534076969625</v>
      </c>
      <c r="I7" s="302">
        <f>Справка!X31</f>
        <v>470</v>
      </c>
      <c r="J7" s="302">
        <f>Справка!Y31</f>
        <v>508.04745999999994</v>
      </c>
      <c r="K7" s="303">
        <f t="shared" si="3"/>
        <v>108.09520425531913</v>
      </c>
    </row>
    <row r="8" spans="1:15" ht="19.5" customHeight="1">
      <c r="A8" s="81" t="s">
        <v>187</v>
      </c>
      <c r="B8" s="77">
        <v>10601</v>
      </c>
      <c r="C8" s="302">
        <f t="shared" si="0"/>
        <v>5031</v>
      </c>
      <c r="D8" s="302">
        <f t="shared" si="0"/>
        <v>591.77837</v>
      </c>
      <c r="E8" s="303">
        <f t="shared" si="1"/>
        <v>11.762639037964618</v>
      </c>
      <c r="F8" s="302"/>
      <c r="G8" s="302"/>
      <c r="H8" s="303"/>
      <c r="I8" s="302">
        <f>Справка!AA31</f>
        <v>5031</v>
      </c>
      <c r="J8" s="302">
        <f>Справка!AB31</f>
        <v>591.77837</v>
      </c>
      <c r="K8" s="303">
        <f t="shared" si="3"/>
        <v>11.762639037964618</v>
      </c>
    </row>
    <row r="9" spans="1:15" ht="19.5" customHeight="1">
      <c r="A9" s="81" t="s">
        <v>284</v>
      </c>
      <c r="B9" s="77">
        <v>10604</v>
      </c>
      <c r="C9" s="302">
        <f>F9</f>
        <v>2050</v>
      </c>
      <c r="D9" s="302">
        <f>G9</f>
        <v>276.79453999999998</v>
      </c>
      <c r="E9" s="303">
        <f t="shared" si="1"/>
        <v>13.502172682926828</v>
      </c>
      <c r="F9" s="302">
        <f>район!C16</f>
        <v>2050</v>
      </c>
      <c r="G9" s="302">
        <f>район!D19</f>
        <v>276.79453999999998</v>
      </c>
      <c r="H9" s="303">
        <f t="shared" si="2"/>
        <v>13.502172682926828</v>
      </c>
      <c r="I9" s="302"/>
      <c r="J9" s="302"/>
      <c r="K9" s="303"/>
    </row>
    <row r="10" spans="1:15" ht="19.5" customHeight="1">
      <c r="A10" s="81" t="s">
        <v>188</v>
      </c>
      <c r="B10" s="77">
        <v>10606</v>
      </c>
      <c r="C10" s="302">
        <f t="shared" ref="C10:D13" si="4">F10+I10</f>
        <v>17719.37729</v>
      </c>
      <c r="D10" s="302">
        <f t="shared" si="4"/>
        <v>2164.8010899999999</v>
      </c>
      <c r="E10" s="303">
        <f t="shared" si="1"/>
        <v>12.217139770604208</v>
      </c>
      <c r="F10" s="302"/>
      <c r="G10" s="302"/>
      <c r="H10" s="303">
        <v>0</v>
      </c>
      <c r="I10" s="302">
        <f>Справка!AD31</f>
        <v>17719.37729</v>
      </c>
      <c r="J10" s="302">
        <f>Справка!AE31</f>
        <v>2164.8010899999999</v>
      </c>
      <c r="K10" s="303">
        <f t="shared" si="3"/>
        <v>12.217139770604208</v>
      </c>
    </row>
    <row r="11" spans="1:15" ht="33.75" customHeight="1">
      <c r="A11" s="81" t="s">
        <v>189</v>
      </c>
      <c r="B11" s="77">
        <v>10701</v>
      </c>
      <c r="C11" s="302">
        <f t="shared" si="4"/>
        <v>1000</v>
      </c>
      <c r="D11" s="302">
        <f t="shared" si="4"/>
        <v>388.26675999999998</v>
      </c>
      <c r="E11" s="303">
        <f t="shared" si="1"/>
        <v>38.826675999999999</v>
      </c>
      <c r="F11" s="302">
        <f>район!C21</f>
        <v>1000</v>
      </c>
      <c r="G11" s="302">
        <f>район!D21</f>
        <v>388.26675999999998</v>
      </c>
      <c r="H11" s="303">
        <f t="shared" si="2"/>
        <v>38.826675999999999</v>
      </c>
      <c r="I11" s="302"/>
      <c r="J11" s="302"/>
      <c r="K11" s="303">
        <v>0</v>
      </c>
    </row>
    <row r="12" spans="1:15" ht="19.5" customHeight="1">
      <c r="A12" s="81" t="s">
        <v>190</v>
      </c>
      <c r="B12" s="77">
        <v>10800</v>
      </c>
      <c r="C12" s="302">
        <f t="shared" si="4"/>
        <v>2847</v>
      </c>
      <c r="D12" s="302">
        <f t="shared" si="4"/>
        <v>887.16504999999995</v>
      </c>
      <c r="E12" s="303">
        <f t="shared" si="1"/>
        <v>31.161399719002457</v>
      </c>
      <c r="F12" s="302">
        <f>район!C23</f>
        <v>2700</v>
      </c>
      <c r="G12" s="302">
        <f>район!D23</f>
        <v>841.91004999999996</v>
      </c>
      <c r="H12" s="303">
        <f t="shared" si="2"/>
        <v>31.181853703703705</v>
      </c>
      <c r="I12" s="302">
        <f>Справка!AG31</f>
        <v>147</v>
      </c>
      <c r="J12" s="302">
        <f>Справка!AH31</f>
        <v>45.254999999999995</v>
      </c>
      <c r="K12" s="303">
        <f t="shared" si="3"/>
        <v>30.785714285714285</v>
      </c>
    </row>
    <row r="13" spans="1:15" ht="19.5" customHeight="1">
      <c r="A13" s="81" t="s">
        <v>191</v>
      </c>
      <c r="B13" s="77">
        <v>10900</v>
      </c>
      <c r="C13" s="302">
        <f t="shared" si="4"/>
        <v>0</v>
      </c>
      <c r="D13" s="302">
        <f t="shared" si="4"/>
        <v>0</v>
      </c>
      <c r="E13" s="303"/>
      <c r="F13" s="302">
        <f>район!C27</f>
        <v>0</v>
      </c>
      <c r="G13" s="302">
        <f>район!D27</f>
        <v>0</v>
      </c>
      <c r="H13" s="303"/>
      <c r="I13" s="302">
        <f>Справка!AJ31</f>
        <v>0</v>
      </c>
      <c r="J13" s="302">
        <f>Справка!AK31</f>
        <v>0</v>
      </c>
      <c r="K13" s="303"/>
    </row>
    <row r="14" spans="1:15" s="80" customFormat="1" ht="27" customHeight="1">
      <c r="A14" s="79" t="s">
        <v>12</v>
      </c>
      <c r="B14" s="76"/>
      <c r="C14" s="301">
        <f>SUM(C15:C21)</f>
        <v>30544.87628</v>
      </c>
      <c r="D14" s="301">
        <f>SUM(D15:D21)</f>
        <v>7537.5224899999994</v>
      </c>
      <c r="E14" s="301">
        <f t="shared" ref="E14:E39" si="5">D14/C14*100</f>
        <v>24.676880079345338</v>
      </c>
      <c r="F14" s="301">
        <f>F15+F16+F17+F18+F20+F21+F19</f>
        <v>28011.599999999999</v>
      </c>
      <c r="G14" s="301">
        <f>G15+G16+G17+G18+G20+G21+G19</f>
        <v>6285.4992700000003</v>
      </c>
      <c r="H14" s="301">
        <f t="shared" si="2"/>
        <v>22.438915556412343</v>
      </c>
      <c r="I14" s="304">
        <f>I15+I16+I17+I18+I20+I21+I26</f>
        <v>2533.2762800000005</v>
      </c>
      <c r="J14" s="304">
        <f>J15+J16+J17+J18+J20+J21+J26</f>
        <v>1252.0232199999998</v>
      </c>
      <c r="K14" s="301">
        <f>J14/I14*100</f>
        <v>49.423082270363324</v>
      </c>
    </row>
    <row r="15" spans="1:15" ht="52.5" customHeight="1">
      <c r="A15" s="81" t="s">
        <v>192</v>
      </c>
      <c r="B15" s="77">
        <v>11100</v>
      </c>
      <c r="C15" s="302">
        <f t="shared" ref="C15:D22" si="6">F15+I15</f>
        <v>13366.7</v>
      </c>
      <c r="D15" s="302">
        <f t="shared" si="6"/>
        <v>4589.7291299999997</v>
      </c>
      <c r="E15" s="302">
        <f t="shared" si="5"/>
        <v>34.337040032319116</v>
      </c>
      <c r="F15" s="302">
        <f>район!C33</f>
        <v>11511.6</v>
      </c>
      <c r="G15" s="302">
        <f>район!D33</f>
        <v>3802.0607699999996</v>
      </c>
      <c r="H15" s="302">
        <f t="shared" si="2"/>
        <v>33.028082716564157</v>
      </c>
      <c r="I15" s="302">
        <f>Справка!AP31+Справка!AS31+Справка!AM31</f>
        <v>1855.1000000000001</v>
      </c>
      <c r="J15" s="302">
        <f>Справка!AQ31+Справка!AT31+Справка!AN31</f>
        <v>787.66836000000001</v>
      </c>
      <c r="K15" s="303">
        <f>J15/I15*100</f>
        <v>42.459617271306129</v>
      </c>
    </row>
    <row r="16" spans="1:15" ht="33" customHeight="1">
      <c r="A16" s="81" t="s">
        <v>193</v>
      </c>
      <c r="B16" s="77">
        <v>11200</v>
      </c>
      <c r="C16" s="302">
        <f t="shared" si="6"/>
        <v>600</v>
      </c>
      <c r="D16" s="302">
        <f t="shared" si="6"/>
        <v>350.41818000000001</v>
      </c>
      <c r="E16" s="302">
        <f t="shared" si="5"/>
        <v>58.403030000000001</v>
      </c>
      <c r="F16" s="302">
        <f>район!C42</f>
        <v>600</v>
      </c>
      <c r="G16" s="302">
        <f>район!D42</f>
        <v>350.41818000000001</v>
      </c>
      <c r="H16" s="302">
        <f t="shared" si="2"/>
        <v>58.403030000000001</v>
      </c>
      <c r="I16" s="302">
        <v>0</v>
      </c>
      <c r="J16" s="302">
        <v>0</v>
      </c>
      <c r="K16" s="303">
        <v>0</v>
      </c>
    </row>
    <row r="17" spans="1:13" ht="33" customHeight="1">
      <c r="A17" s="81" t="s">
        <v>194</v>
      </c>
      <c r="B17" s="77">
        <v>11300</v>
      </c>
      <c r="C17" s="302">
        <f t="shared" si="6"/>
        <v>230</v>
      </c>
      <c r="D17" s="302">
        <f t="shared" si="6"/>
        <v>407.47309999999999</v>
      </c>
      <c r="E17" s="302">
        <f>D17/C17*100</f>
        <v>177.16221739130432</v>
      </c>
      <c r="F17" s="302">
        <f>район!C44</f>
        <v>0</v>
      </c>
      <c r="G17" s="302">
        <f>район!D44</f>
        <v>1.2607900000000001</v>
      </c>
      <c r="H17" s="302" t="e">
        <f t="shared" si="2"/>
        <v>#DIV/0!</v>
      </c>
      <c r="I17" s="302">
        <f>Справка!AY31</f>
        <v>230</v>
      </c>
      <c r="J17" s="302">
        <f>Справка!AZ31</f>
        <v>406.21231</v>
      </c>
      <c r="K17" s="303">
        <f>J17/I17*100</f>
        <v>176.61404782608696</v>
      </c>
    </row>
    <row r="18" spans="1:13" ht="33" customHeight="1">
      <c r="A18" s="81" t="s">
        <v>195</v>
      </c>
      <c r="B18" s="77">
        <v>11400</v>
      </c>
      <c r="C18" s="302">
        <f t="shared" si="6"/>
        <v>10748.17628</v>
      </c>
      <c r="D18" s="302">
        <f t="shared" si="6"/>
        <v>439.03489000000002</v>
      </c>
      <c r="E18" s="302">
        <f t="shared" si="5"/>
        <v>4.0847384576018513</v>
      </c>
      <c r="F18" s="302">
        <f>район!C47</f>
        <v>10300</v>
      </c>
      <c r="G18" s="302">
        <f>район!D47</f>
        <v>432.63589000000002</v>
      </c>
      <c r="H18" s="302">
        <f t="shared" si="2"/>
        <v>4.2003484466019421</v>
      </c>
      <c r="I18" s="302">
        <f>Справка!BE31</f>
        <v>448.17627999999996</v>
      </c>
      <c r="J18" s="302">
        <f>Справка!BF31</f>
        <v>6.399</v>
      </c>
      <c r="K18" s="303">
        <f>J18/I18*100</f>
        <v>1.4277864058312055</v>
      </c>
    </row>
    <row r="19" spans="1:13" ht="23.25" customHeight="1">
      <c r="A19" s="81" t="s">
        <v>250</v>
      </c>
      <c r="B19" s="77">
        <v>11500</v>
      </c>
      <c r="C19" s="302">
        <f t="shared" si="6"/>
        <v>0</v>
      </c>
      <c r="D19" s="302">
        <f t="shared" si="6"/>
        <v>0</v>
      </c>
      <c r="E19" s="302"/>
      <c r="F19" s="302">
        <f>район!C50</f>
        <v>0</v>
      </c>
      <c r="G19" s="302">
        <f>район!D50</f>
        <v>0</v>
      </c>
      <c r="H19" s="302"/>
      <c r="I19" s="302"/>
      <c r="J19" s="302"/>
      <c r="K19" s="303"/>
    </row>
    <row r="20" spans="1:13" ht="22.5" customHeight="1">
      <c r="A20" s="81" t="s">
        <v>196</v>
      </c>
      <c r="B20" s="77">
        <v>11600</v>
      </c>
      <c r="C20" s="302">
        <f t="shared" si="6"/>
        <v>5600</v>
      </c>
      <c r="D20" s="302">
        <f t="shared" si="6"/>
        <v>1755.51719</v>
      </c>
      <c r="E20" s="302">
        <f t="shared" si="5"/>
        <v>31.348521250000001</v>
      </c>
      <c r="F20" s="302">
        <f>район!C52</f>
        <v>5600</v>
      </c>
      <c r="G20" s="302">
        <f>район!D52</f>
        <v>1699.12364</v>
      </c>
      <c r="H20" s="302">
        <f t="shared" si="2"/>
        <v>30.341493571428575</v>
      </c>
      <c r="I20" s="302">
        <f>Справка!BN31</f>
        <v>0</v>
      </c>
      <c r="J20" s="302">
        <f>Справка!BO31</f>
        <v>56.393550000000005</v>
      </c>
      <c r="K20" s="303">
        <v>0</v>
      </c>
    </row>
    <row r="21" spans="1:13" ht="31.5" customHeight="1">
      <c r="A21" s="81" t="s">
        <v>197</v>
      </c>
      <c r="B21" s="77">
        <v>11700</v>
      </c>
      <c r="C21" s="302">
        <f t="shared" si="6"/>
        <v>0</v>
      </c>
      <c r="D21" s="302">
        <f t="shared" si="6"/>
        <v>-4.6500000000000004</v>
      </c>
      <c r="E21" s="302"/>
      <c r="F21" s="302">
        <f>район!C69</f>
        <v>0</v>
      </c>
      <c r="G21" s="302">
        <f>район!D69</f>
        <v>0</v>
      </c>
      <c r="H21" s="302"/>
      <c r="I21" s="302">
        <f>Справка!BQ31</f>
        <v>0</v>
      </c>
      <c r="J21" s="302">
        <f>Справка!BR31</f>
        <v>-4.6500000000000004</v>
      </c>
      <c r="K21" s="303">
        <v>0</v>
      </c>
    </row>
    <row r="22" spans="1:13" ht="45.75" hidden="1" customHeight="1">
      <c r="A22" s="79" t="s">
        <v>198</v>
      </c>
      <c r="B22" s="76">
        <v>30000</v>
      </c>
      <c r="C22" s="301">
        <f t="shared" si="6"/>
        <v>0</v>
      </c>
      <c r="D22" s="301">
        <f t="shared" si="6"/>
        <v>0</v>
      </c>
      <c r="E22" s="301"/>
      <c r="F22" s="301">
        <v>0</v>
      </c>
      <c r="G22" s="301">
        <v>0</v>
      </c>
      <c r="H22" s="301"/>
      <c r="I22" s="301">
        <v>0</v>
      </c>
      <c r="J22" s="301">
        <v>0</v>
      </c>
      <c r="K22" s="301"/>
    </row>
    <row r="23" spans="1:13" ht="36.75" customHeight="1">
      <c r="A23" s="79" t="s">
        <v>18</v>
      </c>
      <c r="B23" s="76">
        <v>10000</v>
      </c>
      <c r="C23" s="304">
        <f>SUM(C4,C14,C22,)</f>
        <v>200460.25857000001</v>
      </c>
      <c r="D23" s="304">
        <f>SUM(D4,D14,)</f>
        <v>59388.403170000005</v>
      </c>
      <c r="E23" s="301">
        <f t="shared" si="5"/>
        <v>29.62602342910866</v>
      </c>
      <c r="F23" s="440">
        <f>SUM(F4,F14,)</f>
        <v>161088.99000000002</v>
      </c>
      <c r="G23" s="441">
        <f>SUM(G4,G14,G22)</f>
        <v>49998.973510000003</v>
      </c>
      <c r="H23" s="301">
        <f t="shared" si="2"/>
        <v>31.038107266052133</v>
      </c>
      <c r="I23" s="441">
        <f>I4+I14</f>
        <v>39371.268569999993</v>
      </c>
      <c r="J23" s="441">
        <f>J4+J14</f>
        <v>9389.4296599999998</v>
      </c>
      <c r="K23" s="301">
        <f>J23/I23*100</f>
        <v>23.848430596809703</v>
      </c>
    </row>
    <row r="24" spans="1:13" ht="33" customHeight="1">
      <c r="A24" s="79" t="s">
        <v>199</v>
      </c>
      <c r="B24" s="76">
        <v>20200</v>
      </c>
      <c r="C24" s="305">
        <v>600129.99531000003</v>
      </c>
      <c r="D24" s="305">
        <v>159526.89747</v>
      </c>
      <c r="E24" s="304">
        <f t="shared" si="5"/>
        <v>26.582057007098204</v>
      </c>
      <c r="F24" s="440">
        <f>район!C73</f>
        <v>595080.19530999998</v>
      </c>
      <c r="G24" s="304">
        <f>район!D73</f>
        <v>137808.78146999999</v>
      </c>
      <c r="H24" s="301">
        <f t="shared" si="2"/>
        <v>23.15801845803491</v>
      </c>
      <c r="I24" s="304">
        <f>Справка!BZ31</f>
        <v>96071.740120000002</v>
      </c>
      <c r="J24" s="304">
        <f>Справка!CA31</f>
        <v>17941.897910000003</v>
      </c>
      <c r="K24" s="301">
        <f t="shared" ref="K24:K38" si="7">J24/I24*100</f>
        <v>18.675520905095901</v>
      </c>
    </row>
    <row r="25" spans="1:13" ht="33" customHeight="1">
      <c r="A25" s="79" t="s">
        <v>302</v>
      </c>
      <c r="B25" s="76">
        <v>20700</v>
      </c>
      <c r="C25" s="306">
        <f>F25+I25</f>
        <v>3447.6282000000001</v>
      </c>
      <c r="D25" s="306">
        <f>G25+J25</f>
        <v>2553.22291</v>
      </c>
      <c r="E25" s="304">
        <f t="shared" si="5"/>
        <v>74.057373994098313</v>
      </c>
      <c r="F25" s="304"/>
      <c r="G25" s="304"/>
      <c r="H25" s="301"/>
      <c r="I25" s="304">
        <f>Справка!CR31</f>
        <v>3447.6282000000001</v>
      </c>
      <c r="J25" s="304">
        <f>Справка!CS31</f>
        <v>2553.22291</v>
      </c>
      <c r="K25" s="301">
        <f t="shared" si="7"/>
        <v>74.057373994098313</v>
      </c>
    </row>
    <row r="26" spans="1:13" ht="33" customHeight="1">
      <c r="A26" s="79" t="s">
        <v>262</v>
      </c>
      <c r="B26" s="77">
        <v>21900</v>
      </c>
      <c r="C26" s="306">
        <f>F26+I26</f>
        <v>-29040.5</v>
      </c>
      <c r="D26" s="306">
        <f>G26+J26</f>
        <v>-29058.792000000001</v>
      </c>
      <c r="E26" s="304"/>
      <c r="F26" s="303">
        <f>район!C81</f>
        <v>-29040.5</v>
      </c>
      <c r="G26" s="303">
        <f>район!D81</f>
        <v>-29058.792000000001</v>
      </c>
      <c r="H26" s="301"/>
      <c r="I26" s="303">
        <v>0</v>
      </c>
      <c r="J26" s="303">
        <v>0</v>
      </c>
      <c r="K26" s="303">
        <v>0</v>
      </c>
      <c r="L26" s="83"/>
    </row>
    <row r="27" spans="1:13" ht="29.25" customHeight="1">
      <c r="A27" s="76" t="s">
        <v>200</v>
      </c>
      <c r="B27" s="76"/>
      <c r="C27" s="308">
        <f>C24+C23+C26+C25</f>
        <v>774997.38208000001</v>
      </c>
      <c r="D27" s="308">
        <f>D24+D23+D26+D25</f>
        <v>192409.73155000003</v>
      </c>
      <c r="E27" s="308">
        <f t="shared" si="5"/>
        <v>24.827146000622015</v>
      </c>
      <c r="F27" s="308">
        <f>F24+F23</f>
        <v>756169.18530999997</v>
      </c>
      <c r="G27" s="308">
        <f>G24+G23</f>
        <v>187807.75498</v>
      </c>
      <c r="H27" s="308">
        <f t="shared" si="2"/>
        <v>24.836737416508996</v>
      </c>
      <c r="I27" s="308">
        <f>I24+I23</f>
        <v>135443.00868999999</v>
      </c>
      <c r="J27" s="308">
        <f>J24+J23</f>
        <v>27331.327570000001</v>
      </c>
      <c r="K27" s="307">
        <f t="shared" si="7"/>
        <v>20.179208830597929</v>
      </c>
      <c r="L27" s="95"/>
      <c r="M27" s="83"/>
    </row>
    <row r="28" spans="1:13" ht="29.25" customHeight="1">
      <c r="A28" s="76" t="s">
        <v>201</v>
      </c>
      <c r="B28" s="76"/>
      <c r="C28" s="308">
        <f>C29+C30+C31+C32+C33+C34+C35+C36+C37+C41+C38+C39+C40</f>
        <v>814492.03140999994</v>
      </c>
      <c r="D28" s="308">
        <f>SUM(D29:D41)</f>
        <v>218844.75732999999</v>
      </c>
      <c r="E28" s="308">
        <f t="shared" si="5"/>
        <v>26.868864137461113</v>
      </c>
      <c r="F28" s="433">
        <f>SUM(F29+F30+F31+F32+F33+F34+F35+F36+F37+F38+F39+F40+F41)</f>
        <v>789054.13688000001</v>
      </c>
      <c r="G28" s="434">
        <f>SUM(G29:G41)</f>
        <v>215292.13229000004</v>
      </c>
      <c r="H28" s="308">
        <f t="shared" si="2"/>
        <v>27.284836645212572</v>
      </c>
      <c r="I28" s="433">
        <f>I29+I30+I31+I32+I33+I34+I35+I36+I37+I38+I39+I40+I41</f>
        <v>143039.30645</v>
      </c>
      <c r="J28" s="434">
        <f>J29+J30+J31+J32+J33+J34+J35+J36+J37+J38+J39+J40+J41</f>
        <v>26281.976040000001</v>
      </c>
      <c r="K28" s="307">
        <f t="shared" si="7"/>
        <v>18.373953769963908</v>
      </c>
      <c r="L28" s="95"/>
    </row>
    <row r="29" spans="1:13" ht="30.75" customHeight="1">
      <c r="A29" s="81" t="s">
        <v>202</v>
      </c>
      <c r="B29" s="82" t="s">
        <v>29</v>
      </c>
      <c r="C29" s="432">
        <f>F29+I29</f>
        <v>66043.351949999997</v>
      </c>
      <c r="D29" s="432">
        <f>G29+J29</f>
        <v>20617.90048</v>
      </c>
      <c r="E29" s="310">
        <f t="shared" si="5"/>
        <v>31.218737194940331</v>
      </c>
      <c r="F29" s="302">
        <f>район!C88</f>
        <v>44100.93995</v>
      </c>
      <c r="G29" s="310">
        <f>район!D88</f>
        <v>13524.49807</v>
      </c>
      <c r="H29" s="311">
        <f t="shared" si="2"/>
        <v>30.667142435815585</v>
      </c>
      <c r="I29" s="311">
        <f>Справка!DJ31</f>
        <v>21942.412</v>
      </c>
      <c r="J29" s="311">
        <f>Справка!DK31</f>
        <v>7093.4024100000006</v>
      </c>
      <c r="K29" s="311">
        <f t="shared" si="7"/>
        <v>32.327359499037755</v>
      </c>
    </row>
    <row r="30" spans="1:13" ht="30.75" customHeight="1">
      <c r="A30" s="81" t="s">
        <v>203</v>
      </c>
      <c r="B30" s="82" t="s">
        <v>45</v>
      </c>
      <c r="C30" s="306">
        <f>I30</f>
        <v>2158.6999999999998</v>
      </c>
      <c r="D30" s="306">
        <f>J30</f>
        <v>698.14467999999999</v>
      </c>
      <c r="E30" s="310">
        <f t="shared" si="5"/>
        <v>32.340977440126004</v>
      </c>
      <c r="F30" s="302">
        <f>район!C96</f>
        <v>2158.6999999999998</v>
      </c>
      <c r="G30" s="310">
        <f>район!D96</f>
        <v>714.6</v>
      </c>
      <c r="H30" s="311">
        <f t="shared" si="2"/>
        <v>33.103256589614119</v>
      </c>
      <c r="I30" s="311">
        <f>Справка!DY31</f>
        <v>2158.6999999999998</v>
      </c>
      <c r="J30" s="311">
        <f>Справка!DZ31</f>
        <v>698.14467999999999</v>
      </c>
      <c r="K30" s="311">
        <f t="shared" si="7"/>
        <v>32.340977440126004</v>
      </c>
    </row>
    <row r="31" spans="1:13" ht="33" customHeight="1">
      <c r="A31" s="81" t="s">
        <v>204</v>
      </c>
      <c r="B31" s="82" t="s">
        <v>49</v>
      </c>
      <c r="C31" s="432">
        <f>F31+I31</f>
        <v>12057.48</v>
      </c>
      <c r="D31" s="432">
        <f>G31+J31</f>
        <v>1144.95866</v>
      </c>
      <c r="E31" s="310">
        <f t="shared" si="5"/>
        <v>9.4958371069244976</v>
      </c>
      <c r="F31" s="302">
        <f>район!C98</f>
        <v>11876.5</v>
      </c>
      <c r="G31" s="310">
        <f>район!D98</f>
        <v>1090.40823</v>
      </c>
      <c r="H31" s="311">
        <f t="shared" si="2"/>
        <v>9.1812253610070318</v>
      </c>
      <c r="I31" s="311">
        <f>Справка!EB31</f>
        <v>180.98000000000002</v>
      </c>
      <c r="J31" s="311">
        <f>Справка!EC31</f>
        <v>54.550429999999999</v>
      </c>
      <c r="K31" s="311">
        <f t="shared" si="7"/>
        <v>30.14168968946845</v>
      </c>
    </row>
    <row r="32" spans="1:13" ht="30" customHeight="1">
      <c r="A32" s="81" t="s">
        <v>205</v>
      </c>
      <c r="B32" s="82" t="s">
        <v>57</v>
      </c>
      <c r="C32" s="309">
        <v>219610.45301</v>
      </c>
      <c r="D32" s="309">
        <v>17111.6116</v>
      </c>
      <c r="E32" s="310">
        <f t="shared" si="5"/>
        <v>7.7918019681972153</v>
      </c>
      <c r="F32" s="302">
        <f>район!C104</f>
        <v>196807.40899999999</v>
      </c>
      <c r="G32" s="310">
        <f>район!D104</f>
        <v>14976.629150000001</v>
      </c>
      <c r="H32" s="311">
        <f t="shared" si="2"/>
        <v>7.6097892991416813</v>
      </c>
      <c r="I32" s="311">
        <f>Справка!EE31</f>
        <v>59618.744009999988</v>
      </c>
      <c r="J32" s="311">
        <f>Справка!EF31</f>
        <v>6645.4254500000015</v>
      </c>
      <c r="K32" s="311">
        <f t="shared" si="7"/>
        <v>11.146537150942578</v>
      </c>
    </row>
    <row r="33" spans="1:12" ht="30" customHeight="1">
      <c r="A33" s="81" t="s">
        <v>206</v>
      </c>
      <c r="B33" s="82" t="s">
        <v>67</v>
      </c>
      <c r="C33" s="309">
        <v>25330.251799999998</v>
      </c>
      <c r="D33" s="309">
        <v>3588.6768900000002</v>
      </c>
      <c r="E33" s="310">
        <f t="shared" si="5"/>
        <v>14.16755316265747</v>
      </c>
      <c r="F33" s="302">
        <f>район!C110</f>
        <v>13271.258280000002</v>
      </c>
      <c r="G33" s="310">
        <f>район!D110</f>
        <v>322.49274000000003</v>
      </c>
      <c r="H33" s="311">
        <f t="shared" si="2"/>
        <v>2.4300087692965917</v>
      </c>
      <c r="I33" s="311">
        <f>Справка!EH31</f>
        <v>20849.351800000004</v>
      </c>
      <c r="J33" s="311">
        <f>Справка!EI31</f>
        <v>3266.18415</v>
      </c>
      <c r="K33" s="311">
        <f t="shared" si="7"/>
        <v>15.665638823361402</v>
      </c>
    </row>
    <row r="34" spans="1:12" ht="30" customHeight="1">
      <c r="A34" s="81" t="s">
        <v>207</v>
      </c>
      <c r="B34" s="82" t="s">
        <v>75</v>
      </c>
      <c r="C34" s="306">
        <f>F34</f>
        <v>32</v>
      </c>
      <c r="D34" s="306">
        <f>G34</f>
        <v>32</v>
      </c>
      <c r="E34" s="310">
        <f t="shared" si="5"/>
        <v>100</v>
      </c>
      <c r="F34" s="302">
        <f>район!C114</f>
        <v>32</v>
      </c>
      <c r="G34" s="310">
        <f>район!D114</f>
        <v>32</v>
      </c>
      <c r="H34" s="311">
        <f t="shared" si="2"/>
        <v>100</v>
      </c>
      <c r="I34" s="310"/>
      <c r="J34" s="310"/>
      <c r="K34" s="311">
        <v>0</v>
      </c>
    </row>
    <row r="35" spans="1:12" ht="30" customHeight="1">
      <c r="A35" s="81" t="s">
        <v>208</v>
      </c>
      <c r="B35" s="82" t="s">
        <v>79</v>
      </c>
      <c r="C35" s="306">
        <f>F35</f>
        <v>377141.85746999999</v>
      </c>
      <c r="D35" s="306">
        <f>G35</f>
        <v>134536.71679999999</v>
      </c>
      <c r="E35" s="310">
        <f t="shared" si="5"/>
        <v>35.672708858814964</v>
      </c>
      <c r="F35" s="302">
        <f>район!C116</f>
        <v>377141.85746999999</v>
      </c>
      <c r="G35" s="310">
        <f>район!D116</f>
        <v>134536.71679999999</v>
      </c>
      <c r="H35" s="311">
        <f t="shared" si="2"/>
        <v>35.672708858814964</v>
      </c>
      <c r="I35" s="310"/>
      <c r="J35" s="310"/>
      <c r="K35" s="311">
        <v>0</v>
      </c>
    </row>
    <row r="36" spans="1:12" ht="30" customHeight="1">
      <c r="A36" s="81" t="s">
        <v>209</v>
      </c>
      <c r="B36" s="82" t="s">
        <v>85</v>
      </c>
      <c r="C36" s="309">
        <v>62617.364909999997</v>
      </c>
      <c r="D36" s="309">
        <v>14644.42345</v>
      </c>
      <c r="E36" s="310">
        <f t="shared" si="5"/>
        <v>23.387160208751112</v>
      </c>
      <c r="F36" s="302">
        <f>район!C122</f>
        <v>53473.459340000001</v>
      </c>
      <c r="G36" s="310">
        <f>район!D122</f>
        <v>13519.866529999999</v>
      </c>
      <c r="H36" s="311">
        <f t="shared" si="2"/>
        <v>25.283321290355847</v>
      </c>
      <c r="I36" s="311">
        <f>Справка!EK31</f>
        <v>38112.206640000004</v>
      </c>
      <c r="J36" s="311">
        <f>Справка!EL31</f>
        <v>8465.2329200000004</v>
      </c>
      <c r="K36" s="311">
        <f t="shared" si="7"/>
        <v>22.211342943117501</v>
      </c>
      <c r="L36" s="83"/>
    </row>
    <row r="37" spans="1:12" ht="30" customHeight="1">
      <c r="A37" s="81" t="s">
        <v>210</v>
      </c>
      <c r="B37" s="82" t="s">
        <v>211</v>
      </c>
      <c r="C37" s="309">
        <v>43941.620269999999</v>
      </c>
      <c r="D37" s="309">
        <v>23841.867020000002</v>
      </c>
      <c r="E37" s="310">
        <f t="shared" si="5"/>
        <v>54.258051645577154</v>
      </c>
      <c r="F37" s="302">
        <f>район!C125</f>
        <v>44928.220269999998</v>
      </c>
      <c r="G37" s="310">
        <f>район!D125</f>
        <v>23841.867020000002</v>
      </c>
      <c r="H37" s="311">
        <f t="shared" si="2"/>
        <v>53.066573473688152</v>
      </c>
      <c r="I37" s="311">
        <f>Справка!EN31</f>
        <v>0</v>
      </c>
      <c r="J37" s="311">
        <f>Справка!EO31</f>
        <v>0</v>
      </c>
      <c r="K37" s="311"/>
    </row>
    <row r="38" spans="1:12" ht="30" customHeight="1">
      <c r="A38" s="81" t="s">
        <v>212</v>
      </c>
      <c r="B38" s="82" t="s">
        <v>94</v>
      </c>
      <c r="C38" s="309">
        <f>F38+I38</f>
        <v>5513.8119999999999</v>
      </c>
      <c r="D38" s="309">
        <v>2628.45775</v>
      </c>
      <c r="E38" s="310">
        <f t="shared" si="5"/>
        <v>47.670427464701376</v>
      </c>
      <c r="F38" s="302">
        <f>район!C130</f>
        <v>5336.9</v>
      </c>
      <c r="G38" s="310">
        <f>район!D130</f>
        <v>2569.42175</v>
      </c>
      <c r="H38" s="311">
        <f t="shared" si="2"/>
        <v>48.144461204069785</v>
      </c>
      <c r="I38" s="311">
        <f>Справка!EQ31</f>
        <v>176.91200000000001</v>
      </c>
      <c r="J38" s="311">
        <f>Справка!ER31</f>
        <v>59.035999999999994</v>
      </c>
      <c r="K38" s="311">
        <f t="shared" si="7"/>
        <v>33.370263181694845</v>
      </c>
    </row>
    <row r="39" spans="1:12" ht="30" customHeight="1">
      <c r="A39" s="81" t="s">
        <v>213</v>
      </c>
      <c r="B39" s="82" t="s">
        <v>106</v>
      </c>
      <c r="C39" s="302">
        <f>F39</f>
        <v>45.14</v>
      </c>
      <c r="D39" s="312">
        <f>G39</f>
        <v>0</v>
      </c>
      <c r="E39" s="310">
        <f t="shared" si="5"/>
        <v>0</v>
      </c>
      <c r="F39" s="302">
        <f>район!C136</f>
        <v>45.14</v>
      </c>
      <c r="G39" s="310">
        <f>район!D136</f>
        <v>0</v>
      </c>
      <c r="H39" s="311">
        <f t="shared" si="2"/>
        <v>0</v>
      </c>
      <c r="I39" s="311"/>
      <c r="J39" s="311"/>
      <c r="K39" s="311">
        <v>0</v>
      </c>
    </row>
    <row r="40" spans="1:12" ht="34.5" customHeight="1">
      <c r="A40" s="81" t="s">
        <v>214</v>
      </c>
      <c r="B40" s="82" t="s">
        <v>110</v>
      </c>
      <c r="C40" s="302">
        <f>F40</f>
        <v>0</v>
      </c>
      <c r="D40" s="312">
        <f>G40</f>
        <v>0</v>
      </c>
      <c r="E40" s="310"/>
      <c r="F40" s="302">
        <f>район!C138</f>
        <v>0</v>
      </c>
      <c r="G40" s="310">
        <f>район!D138</f>
        <v>0</v>
      </c>
      <c r="H40" s="311">
        <v>0</v>
      </c>
      <c r="I40" s="311"/>
      <c r="J40" s="313"/>
      <c r="K40" s="311">
        <v>0</v>
      </c>
    </row>
    <row r="41" spans="1:12" ht="30" customHeight="1">
      <c r="A41" s="81" t="s">
        <v>215</v>
      </c>
      <c r="B41" s="82" t="s">
        <v>216</v>
      </c>
      <c r="C41" s="302">
        <v>0</v>
      </c>
      <c r="D41" s="312"/>
      <c r="E41" s="310">
        <v>0</v>
      </c>
      <c r="F41" s="302">
        <f>район!C140</f>
        <v>39881.752569999997</v>
      </c>
      <c r="G41" s="310">
        <f>район!D140</f>
        <v>10163.632</v>
      </c>
      <c r="H41" s="311">
        <f t="shared" si="2"/>
        <v>25.484416669405157</v>
      </c>
      <c r="I41" s="311">
        <f>Справка!ET31</f>
        <v>0</v>
      </c>
      <c r="J41" s="313">
        <f>Справка!EU31</f>
        <v>0</v>
      </c>
      <c r="K41" s="311"/>
    </row>
    <row r="42" spans="1:12">
      <c r="A42" s="140"/>
      <c r="B42" s="141"/>
      <c r="C42" s="139"/>
      <c r="D42" s="139"/>
      <c r="E42" s="139"/>
      <c r="F42" s="139"/>
      <c r="G42" s="139"/>
      <c r="H42" s="139"/>
      <c r="I42" s="139"/>
      <c r="J42" s="139"/>
      <c r="K42" s="139"/>
    </row>
    <row r="43" spans="1:12" hidden="1">
      <c r="A43" s="140"/>
      <c r="B43" s="141"/>
      <c r="C43" s="139">
        <f>C27-C28</f>
        <v>-39494.649329999927</v>
      </c>
      <c r="D43" s="139">
        <f>D27-D28</f>
        <v>-26435.025779999967</v>
      </c>
      <c r="E43" s="139"/>
      <c r="F43" s="139">
        <f>F27-F28</f>
        <v>-32884.951570000034</v>
      </c>
      <c r="G43" s="139">
        <f>G27-G28</f>
        <v>-27484.37731000004</v>
      </c>
      <c r="H43" s="139"/>
      <c r="I43" s="139">
        <f>I27-I28</f>
        <v>-7596.2977600000158</v>
      </c>
      <c r="J43" s="139">
        <f>J27-J28</f>
        <v>1049.3515299999999</v>
      </c>
      <c r="K43" s="139"/>
    </row>
    <row r="44" spans="1:12" hidden="1">
      <c r="A44" s="140"/>
      <c r="B44" s="141"/>
      <c r="C44" s="139">
        <f>C43-F44</f>
        <v>986.60000000012224</v>
      </c>
      <c r="D44" s="139">
        <f>D43-G44</f>
        <v>7.2759576141834259E-11</v>
      </c>
      <c r="E44" s="139"/>
      <c r="F44" s="139">
        <f>F43+I43</f>
        <v>-40481.24933000005</v>
      </c>
      <c r="G44" s="139">
        <f>G43+J43</f>
        <v>-26435.02578000004</v>
      </c>
      <c r="H44" s="139"/>
      <c r="I44" s="139"/>
      <c r="J44" s="139"/>
      <c r="K44" s="139"/>
    </row>
    <row r="45" spans="1:12" ht="20.25" hidden="1" customHeight="1">
      <c r="A45" s="140"/>
      <c r="B45" s="141"/>
      <c r="C45" s="142"/>
      <c r="D45" s="142"/>
      <c r="E45" s="143"/>
      <c r="F45" s="143">
        <f>C28+F44-C23-C26</f>
        <v>602591.02350999997</v>
      </c>
      <c r="G45" s="143">
        <f>D28+G44-D23-D26</f>
        <v>162080.12037999998</v>
      </c>
      <c r="H45" s="137"/>
      <c r="I45" s="137"/>
      <c r="J45" s="137"/>
      <c r="K45" s="139"/>
    </row>
    <row r="46" spans="1:12">
      <c r="A46" s="140"/>
      <c r="B46" s="141"/>
      <c r="C46" s="321"/>
      <c r="D46" s="139"/>
      <c r="E46" s="139"/>
      <c r="F46" s="139"/>
      <c r="G46" s="139"/>
      <c r="H46" s="139"/>
      <c r="I46" s="139"/>
      <c r="J46" s="139"/>
      <c r="K46" s="139"/>
    </row>
    <row r="47" spans="1:12">
      <c r="A47" s="140"/>
      <c r="B47" s="141"/>
      <c r="C47" s="139"/>
      <c r="D47" s="139"/>
      <c r="E47" s="139"/>
      <c r="F47" s="139"/>
      <c r="G47" s="139"/>
      <c r="H47" s="139"/>
      <c r="I47" s="139"/>
      <c r="J47" s="139"/>
      <c r="K47" s="139"/>
    </row>
    <row r="48" spans="1:12">
      <c r="A48" s="140"/>
      <c r="B48" s="141"/>
      <c r="C48" s="139"/>
      <c r="D48" s="139"/>
      <c r="E48" s="139"/>
      <c r="F48" s="139"/>
      <c r="G48" s="139"/>
      <c r="H48" s="139"/>
      <c r="I48" s="139"/>
      <c r="J48" s="139"/>
      <c r="K48" s="139"/>
    </row>
    <row r="49" spans="1:11">
      <c r="A49" s="140" t="s">
        <v>119</v>
      </c>
      <c r="B49" s="141"/>
      <c r="C49" s="142"/>
      <c r="D49" s="142"/>
      <c r="E49" s="143"/>
      <c r="F49" s="143"/>
      <c r="G49" s="143"/>
      <c r="H49" s="137"/>
      <c r="I49" s="137"/>
      <c r="J49" s="137"/>
      <c r="K49" s="137"/>
    </row>
    <row r="50" spans="1:11">
      <c r="A50" s="140" t="s">
        <v>217</v>
      </c>
      <c r="B50" s="141"/>
      <c r="C50" s="144" t="s">
        <v>266</v>
      </c>
      <c r="D50" s="488"/>
      <c r="E50" s="488"/>
      <c r="F50" s="145"/>
      <c r="G50" s="143"/>
      <c r="H50" s="137"/>
      <c r="I50" s="137"/>
      <c r="J50" s="137"/>
      <c r="K50" s="137"/>
    </row>
    <row r="51" spans="1:11">
      <c r="C51" s="86"/>
      <c r="D51" s="86"/>
      <c r="F51" s="83"/>
      <c r="G51" s="83"/>
    </row>
    <row r="52" spans="1:11">
      <c r="C52" s="90"/>
      <c r="D52" s="90"/>
      <c r="F52" s="83"/>
      <c r="G52" s="83"/>
      <c r="I52" s="83"/>
      <c r="J52" s="83"/>
    </row>
    <row r="53" spans="1:11">
      <c r="C53" s="98"/>
      <c r="D53" s="83"/>
      <c r="F53" s="83"/>
      <c r="G53" s="83"/>
    </row>
    <row r="54" spans="1:11">
      <c r="C54" s="98"/>
      <c r="D54" s="83"/>
    </row>
    <row r="82" hidden="1"/>
    <row r="83" hidden="1"/>
    <row r="84" hidden="1"/>
  </sheetData>
  <customSheetViews>
    <customSheetView guid="{5BFCA170-DEAE-4D2C-98A0-1E68B427AC01}" scale="80" showPageBreaks="1" printArea="1" hiddenRows="1" view="pageBreakPreview">
      <selection activeCell="C25" sqref="C25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1"/>
    </customSheetView>
    <customSheetView guid="{B30CE22D-C12F-4E12-8BB9-3AAE0A6991CC}" scale="80" showPageBreaks="1" printArea="1" hiddenRows="1" view="pageBreakPreview">
      <selection activeCell="D28" sqref="D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2"/>
    </customSheetView>
    <customSheetView guid="{1A52382B-3765-4E8C-903F-6B8919B7242E}" scale="80" showPageBreaks="1" printArea="1" hiddenRows="1" view="pageBreakPreview" topLeftCell="A7">
      <selection activeCell="F30" sqref="F30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3"/>
    </customSheetView>
    <customSheetView guid="{A54C432C-6C68-4B53-A75C-446EB3A61B2B}" scale="80" showPageBreaks="1" printArea="1" hiddenRows="1" view="pageBreakPreview" topLeftCell="A25">
      <selection activeCell="C27" sqref="C27:K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4"/>
    </customSheetView>
    <customSheetView guid="{3DCB9AAA-F09C-4EA6-B992-F93E466D374A}" hiddenRows="1" topLeftCell="A20">
      <selection activeCell="G28" sqref="G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5"/>
    </customSheetView>
    <customSheetView guid="{1718F1EE-9F48-4DBE-9531-3B70F9C4A5DD}" scale="80" showPageBreaks="1" printArea="1" hiddenRows="1" view="pageBreakPreview" topLeftCell="A16">
      <selection activeCell="G24" sqref="F24:G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3" orientation="landscape" r:id="rId6"/>
    </customSheetView>
    <customSheetView guid="{42584DC0-1D41-4C93-9B38-C388E7B8DAC4}" scale="80" showPageBreaks="1" printArea="1" hiddenRows="1" view="pageBreakPreview" topLeftCell="A23">
      <selection activeCell="J4" sqref="J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7"/>
    </customSheetView>
    <customSheetView guid="{B31C8DB7-3E78-4144-A6B5-8DE36DE63F0E}" scale="80" showPageBreaks="1" printArea="1" hiddenRows="1" view="pageBreakPreview" topLeftCell="A17">
      <selection activeCell="G27" sqref="G27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8"/>
    </customSheetView>
    <customSheetView guid="{61528DAC-5C4C-48F4-ADE2-8A724B05A086}" scale="80" showPageBreaks="1" printArea="1" hiddenRows="1" view="pageBreakPreview" topLeftCell="A8">
      <selection activeCell="J27" sqref="J27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9"/>
    </customSheetView>
  </customSheetViews>
  <mergeCells count="7">
    <mergeCell ref="C2:E2"/>
    <mergeCell ref="D50:E50"/>
    <mergeCell ref="A2:A3"/>
    <mergeCell ref="B2:B3"/>
    <mergeCell ref="A1:K1"/>
    <mergeCell ref="I2:K2"/>
    <mergeCell ref="F2:H2"/>
  </mergeCells>
  <phoneticPr fontId="15" type="noConversion"/>
  <pageMargins left="0.70866141732283472" right="0.70866141732283472" top="0.34" bottom="0.74803149606299213" header="0.31496062992125984" footer="0.31496062992125984"/>
  <pageSetup paperSize="9" scale="62" orientation="landscape" r:id="rId10"/>
  <rowBreaks count="1" manualBreakCount="1">
    <brk id="2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G103"/>
  <sheetViews>
    <sheetView topLeftCell="A51" zoomScaleNormal="100" zoomScaleSheetLayoutView="70" workbookViewId="0">
      <selection activeCell="D98" sqref="D98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5" style="62" customWidth="1"/>
    <col min="5" max="5" width="14.140625" style="62" customWidth="1"/>
    <col min="6" max="6" width="10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0" t="s">
        <v>433</v>
      </c>
      <c r="B1" s="530"/>
      <c r="C1" s="530"/>
      <c r="D1" s="530"/>
      <c r="E1" s="530"/>
      <c r="F1" s="530"/>
    </row>
    <row r="2" spans="1:6">
      <c r="A2" s="530"/>
      <c r="B2" s="530"/>
      <c r="C2" s="530"/>
      <c r="D2" s="530"/>
      <c r="E2" s="530"/>
      <c r="F2" s="530"/>
    </row>
    <row r="3" spans="1:6" ht="66.75" customHeight="1">
      <c r="A3" s="2" t="s">
        <v>0</v>
      </c>
      <c r="B3" s="2" t="s">
        <v>1</v>
      </c>
      <c r="C3" s="72" t="s">
        <v>411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2594.6179999999999</v>
      </c>
      <c r="D4" s="5">
        <f>D5+D12+D14+D17+D7</f>
        <v>372.81322999999998</v>
      </c>
      <c r="E4" s="5">
        <f>SUM(D4/C4*100)</f>
        <v>14.368713621812537</v>
      </c>
      <c r="F4" s="5">
        <f>SUM(D4-C4)</f>
        <v>-2221.8047699999997</v>
      </c>
    </row>
    <row r="5" spans="1:6" s="6" customFormat="1">
      <c r="A5" s="68">
        <v>1010000000</v>
      </c>
      <c r="B5" s="67" t="s">
        <v>5</v>
      </c>
      <c r="C5" s="5">
        <f>C6</f>
        <v>244.083</v>
      </c>
      <c r="D5" s="5">
        <f>D6</f>
        <v>57.582340000000002</v>
      </c>
      <c r="E5" s="5">
        <f t="shared" ref="E5:E51" si="0">SUM(D5/C5*100)</f>
        <v>23.591294764485852</v>
      </c>
      <c r="F5" s="5">
        <f t="shared" ref="F5:F51" si="1">SUM(D5-C5)</f>
        <v>-186.50065999999998</v>
      </c>
    </row>
    <row r="6" spans="1:6">
      <c r="A6" s="7">
        <v>1010200001</v>
      </c>
      <c r="B6" s="8" t="s">
        <v>228</v>
      </c>
      <c r="C6" s="9">
        <v>244.083</v>
      </c>
      <c r="D6" s="10">
        <v>57.582340000000002</v>
      </c>
      <c r="E6" s="9">
        <f t="shared" ref="E6:E11" si="2">SUM(D6/C6*100)</f>
        <v>23.591294764485852</v>
      </c>
      <c r="F6" s="9">
        <f t="shared" si="1"/>
        <v>-186.50065999999998</v>
      </c>
    </row>
    <row r="7" spans="1:6" ht="31.5">
      <c r="A7" s="3">
        <v>1030000000</v>
      </c>
      <c r="B7" s="13" t="s">
        <v>280</v>
      </c>
      <c r="C7" s="5">
        <f>C8+C10+C9</f>
        <v>424.53500000000003</v>
      </c>
      <c r="D7" s="5">
        <f>D8+D9+D10+D11</f>
        <v>163.98811000000003</v>
      </c>
      <c r="E7" s="9">
        <f t="shared" si="2"/>
        <v>38.627700896274753</v>
      </c>
      <c r="F7" s="9">
        <f t="shared" si="1"/>
        <v>-260.54688999999996</v>
      </c>
    </row>
    <row r="8" spans="1:6">
      <c r="A8" s="7">
        <v>1030223001</v>
      </c>
      <c r="B8" s="8" t="s">
        <v>282</v>
      </c>
      <c r="C8" s="9">
        <v>158.35</v>
      </c>
      <c r="D8" s="10">
        <v>73.800160000000005</v>
      </c>
      <c r="E8" s="9">
        <f t="shared" si="2"/>
        <v>46.605721502999693</v>
      </c>
      <c r="F8" s="9">
        <f t="shared" si="1"/>
        <v>-84.549839999999989</v>
      </c>
    </row>
    <row r="9" spans="1:6">
      <c r="A9" s="7">
        <v>1030224001</v>
      </c>
      <c r="B9" s="8" t="s">
        <v>288</v>
      </c>
      <c r="C9" s="9">
        <v>1.6950000000000001</v>
      </c>
      <c r="D9" s="10">
        <v>0.53868000000000005</v>
      </c>
      <c r="E9" s="9">
        <f t="shared" si="2"/>
        <v>31.780530973451327</v>
      </c>
      <c r="F9" s="9">
        <f t="shared" si="1"/>
        <v>-1.15632</v>
      </c>
    </row>
    <row r="10" spans="1:6">
      <c r="A10" s="7">
        <v>1030225001</v>
      </c>
      <c r="B10" s="8" t="s">
        <v>281</v>
      </c>
      <c r="C10" s="9">
        <v>264.49</v>
      </c>
      <c r="D10" s="10">
        <v>104.90354000000001</v>
      </c>
      <c r="E10" s="9">
        <f t="shared" si="2"/>
        <v>39.662573254187308</v>
      </c>
      <c r="F10" s="9">
        <f t="shared" si="1"/>
        <v>-159.58645999999999</v>
      </c>
    </row>
    <row r="11" spans="1:6">
      <c r="A11" s="7">
        <v>1030265001</v>
      </c>
      <c r="B11" s="8" t="s">
        <v>290</v>
      </c>
      <c r="C11" s="9">
        <v>0</v>
      </c>
      <c r="D11" s="10">
        <v>-15.25427</v>
      </c>
      <c r="E11" s="9" t="e">
        <f t="shared" si="2"/>
        <v>#DIV/0!</v>
      </c>
      <c r="F11" s="9">
        <f t="shared" si="1"/>
        <v>-15.25427</v>
      </c>
    </row>
    <row r="12" spans="1:6" s="6" customFormat="1">
      <c r="A12" s="68">
        <v>1050000000</v>
      </c>
      <c r="B12" s="67" t="s">
        <v>6</v>
      </c>
      <c r="C12" s="5">
        <f>SUM(C13:C13)</f>
        <v>40</v>
      </c>
      <c r="D12" s="5">
        <f>SUM(D13:D13)</f>
        <v>9.3778500000000005</v>
      </c>
      <c r="E12" s="5">
        <f t="shared" si="0"/>
        <v>23.444625000000002</v>
      </c>
      <c r="F12" s="5">
        <f t="shared" si="1"/>
        <v>-30.622149999999998</v>
      </c>
    </row>
    <row r="13" spans="1:6" ht="15.75" customHeight="1">
      <c r="A13" s="7">
        <v>1050300000</v>
      </c>
      <c r="B13" s="11" t="s">
        <v>229</v>
      </c>
      <c r="C13" s="12">
        <v>40</v>
      </c>
      <c r="D13" s="10">
        <v>9.3778500000000005</v>
      </c>
      <c r="E13" s="9">
        <f t="shared" si="0"/>
        <v>23.444625000000002</v>
      </c>
      <c r="F13" s="9">
        <f t="shared" si="1"/>
        <v>-30.622149999999998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1876</v>
      </c>
      <c r="D14" s="5">
        <f>D15+D16</f>
        <v>140.72493</v>
      </c>
      <c r="E14" s="5">
        <f t="shared" si="0"/>
        <v>7.5013288912579954</v>
      </c>
      <c r="F14" s="5">
        <f t="shared" si="1"/>
        <v>-1735.2750699999999</v>
      </c>
    </row>
    <row r="15" spans="1:6" s="6" customFormat="1" ht="15.75" customHeight="1">
      <c r="A15" s="7">
        <v>1060100000</v>
      </c>
      <c r="B15" s="11" t="s">
        <v>8</v>
      </c>
      <c r="C15" s="9">
        <v>326</v>
      </c>
      <c r="D15" s="10">
        <v>43.477440000000001</v>
      </c>
      <c r="E15" s="9">
        <f t="shared" si="0"/>
        <v>13.336638036809816</v>
      </c>
      <c r="F15" s="9">
        <f>SUM(D15-C15)</f>
        <v>-282.52256</v>
      </c>
    </row>
    <row r="16" spans="1:6" ht="15.75" customHeight="1">
      <c r="A16" s="7">
        <v>1060600000</v>
      </c>
      <c r="B16" s="11" t="s">
        <v>7</v>
      </c>
      <c r="C16" s="9">
        <v>1550</v>
      </c>
      <c r="D16" s="10">
        <v>97.247489999999999</v>
      </c>
      <c r="E16" s="9">
        <f t="shared" si="0"/>
        <v>6.2740316129032259</v>
      </c>
      <c r="F16" s="9">
        <f t="shared" si="1"/>
        <v>-1452.75251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1.1399999999999999</v>
      </c>
      <c r="E17" s="5">
        <f t="shared" si="0"/>
        <v>11.399999999999999</v>
      </c>
      <c r="F17" s="5">
        <f t="shared" si="1"/>
        <v>-8.86</v>
      </c>
    </row>
    <row r="18" spans="1:6" ht="18" customHeight="1">
      <c r="A18" s="7">
        <v>1080400001</v>
      </c>
      <c r="B18" s="8" t="s">
        <v>227</v>
      </c>
      <c r="C18" s="9">
        <v>10</v>
      </c>
      <c r="D18" s="9">
        <v>1.1399999999999999</v>
      </c>
      <c r="E18" s="9">
        <f t="shared" si="0"/>
        <v>11.399999999999999</v>
      </c>
      <c r="F18" s="9">
        <f t="shared" si="1"/>
        <v>-8.86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80</v>
      </c>
      <c r="D25" s="5">
        <f>D26+D29+D31+D36+D34</f>
        <v>26.094049999999996</v>
      </c>
      <c r="E25" s="5">
        <f t="shared" si="0"/>
        <v>32.617562499999998</v>
      </c>
      <c r="F25" s="5">
        <f t="shared" si="1"/>
        <v>-53.905950000000004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80</v>
      </c>
      <c r="D26" s="5">
        <f>D27+D28</f>
        <v>18.149999999999999</v>
      </c>
      <c r="E26" s="5">
        <f t="shared" si="0"/>
        <v>22.6875</v>
      </c>
      <c r="F26" s="5">
        <f t="shared" si="1"/>
        <v>-61.85</v>
      </c>
    </row>
    <row r="27" spans="1:6" ht="15.75" customHeight="1">
      <c r="A27" s="16">
        <v>1110502510</v>
      </c>
      <c r="B27" s="17" t="s">
        <v>225</v>
      </c>
      <c r="C27" s="12">
        <v>50</v>
      </c>
      <c r="D27" s="12">
        <v>4.6500000000000004</v>
      </c>
      <c r="E27" s="9">
        <f t="shared" si="0"/>
        <v>9.3000000000000007</v>
      </c>
      <c r="F27" s="9">
        <f t="shared" si="1"/>
        <v>-45.35</v>
      </c>
    </row>
    <row r="28" spans="1:6" ht="17.25" customHeight="1">
      <c r="A28" s="7">
        <v>1110503510</v>
      </c>
      <c r="B28" s="11" t="s">
        <v>224</v>
      </c>
      <c r="C28" s="12">
        <v>30</v>
      </c>
      <c r="D28" s="10">
        <v>13.5</v>
      </c>
      <c r="E28" s="9">
        <f t="shared" si="0"/>
        <v>45</v>
      </c>
      <c r="F28" s="9">
        <f t="shared" si="1"/>
        <v>-16.5</v>
      </c>
    </row>
    <row r="29" spans="1:6" s="15" customFormat="1" ht="15" customHeight="1">
      <c r="A29" s="68">
        <v>1130000000</v>
      </c>
      <c r="B29" s="69" t="s">
        <v>130</v>
      </c>
      <c r="C29" s="5">
        <f>C30</f>
        <v>0</v>
      </c>
      <c r="D29" s="5">
        <f>D30</f>
        <v>12.594049999999999</v>
      </c>
      <c r="E29" s="5" t="e">
        <f t="shared" si="0"/>
        <v>#DIV/0!</v>
      </c>
      <c r="F29" s="5">
        <f t="shared" si="1"/>
        <v>12.594049999999999</v>
      </c>
    </row>
    <row r="30" spans="1:6" ht="15.75" customHeight="1">
      <c r="A30" s="7">
        <v>1130206005</v>
      </c>
      <c r="B30" s="8" t="s">
        <v>223</v>
      </c>
      <c r="C30" s="9">
        <v>0</v>
      </c>
      <c r="D30" s="10">
        <v>12.594049999999999</v>
      </c>
      <c r="E30" s="9" t="e">
        <f t="shared" si="0"/>
        <v>#DIV/0!</v>
      </c>
      <c r="F30" s="9">
        <f t="shared" si="1"/>
        <v>12.594049999999999</v>
      </c>
    </row>
    <row r="31" spans="1:6" ht="15.75" customHeight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0.75" hidden="1" customHeight="1">
      <c r="A32" s="16">
        <v>1140200000</v>
      </c>
      <c r="B32" s="18" t="s">
        <v>132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customHeight="1">
      <c r="A34" s="7">
        <v>1169000000</v>
      </c>
      <c r="B34" s="13" t="s">
        <v>339</v>
      </c>
      <c r="C34" s="9">
        <v>0</v>
      </c>
      <c r="D34" s="10">
        <v>0</v>
      </c>
      <c r="E34" s="9" t="e">
        <f>SUM(D34/C34*100)</f>
        <v>#DIV/0!</v>
      </c>
      <c r="F34" s="9">
        <f>SUM(D34-C34)</f>
        <v>0</v>
      </c>
    </row>
    <row r="35" spans="1:7" ht="18" customHeight="1">
      <c r="A35" s="7">
        <v>1169005010</v>
      </c>
      <c r="B35" s="8" t="s">
        <v>340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9.5" customHeight="1">
      <c r="A36" s="3">
        <v>1170000000</v>
      </c>
      <c r="B36" s="13" t="s">
        <v>134</v>
      </c>
      <c r="C36" s="5">
        <f>C37+C38</f>
        <v>0</v>
      </c>
      <c r="D36" s="5">
        <f>D37+D38</f>
        <v>-4.6500000000000004</v>
      </c>
      <c r="E36" s="5" t="e">
        <f t="shared" si="0"/>
        <v>#DIV/0!</v>
      </c>
      <c r="F36" s="5">
        <f t="shared" si="1"/>
        <v>-4.6500000000000004</v>
      </c>
    </row>
    <row r="37" spans="1:7" ht="15.75" customHeight="1">
      <c r="A37" s="7">
        <v>1170105005</v>
      </c>
      <c r="B37" s="8" t="s">
        <v>17</v>
      </c>
      <c r="C37" s="9">
        <v>0</v>
      </c>
      <c r="D37" s="9">
        <v>-4.6500000000000004</v>
      </c>
      <c r="E37" s="9" t="e">
        <f t="shared" si="0"/>
        <v>#DIV/0!</v>
      </c>
      <c r="F37" s="9">
        <f t="shared" si="1"/>
        <v>-4.6500000000000004</v>
      </c>
    </row>
    <row r="38" spans="1:7" ht="18.75" customHeight="1">
      <c r="A38" s="7">
        <v>1170505005</v>
      </c>
      <c r="B38" s="11" t="s">
        <v>220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20.25" customHeight="1">
      <c r="A39" s="3">
        <v>1000000000</v>
      </c>
      <c r="B39" s="4" t="s">
        <v>18</v>
      </c>
      <c r="C39" s="409">
        <f>SUM(C4,C25)</f>
        <v>2674.6179999999999</v>
      </c>
      <c r="D39" s="409">
        <f>SUM(D4,D25)</f>
        <v>398.90727999999996</v>
      </c>
      <c r="E39" s="5">
        <f t="shared" si="0"/>
        <v>14.914551535957656</v>
      </c>
      <c r="F39" s="5">
        <f t="shared" si="1"/>
        <v>-2275.71072</v>
      </c>
    </row>
    <row r="40" spans="1:7" s="6" customFormat="1">
      <c r="A40" s="3">
        <v>2000000000</v>
      </c>
      <c r="B40" s="4" t="s">
        <v>19</v>
      </c>
      <c r="C40" s="5">
        <f>C41+C43+C45+C46+C48+C49+C47+C42+C44</f>
        <v>2969.9829999999997</v>
      </c>
      <c r="D40" s="381">
        <f>D41+D43+D45+D46+D48+D49+D42+D47</f>
        <v>811.00599999999997</v>
      </c>
      <c r="E40" s="5">
        <f t="shared" si="0"/>
        <v>27.306755627894169</v>
      </c>
      <c r="F40" s="5">
        <f t="shared" si="1"/>
        <v>-2158.9769999999999</v>
      </c>
      <c r="G40" s="19"/>
    </row>
    <row r="41" spans="1:7">
      <c r="A41" s="16">
        <v>2021000000</v>
      </c>
      <c r="B41" s="17" t="s">
        <v>20</v>
      </c>
      <c r="C41" s="99">
        <v>1462.5</v>
      </c>
      <c r="D41" s="20">
        <v>487.5</v>
      </c>
      <c r="E41" s="9">
        <f t="shared" si="0"/>
        <v>33.333333333333329</v>
      </c>
      <c r="F41" s="9">
        <f t="shared" si="1"/>
        <v>-975</v>
      </c>
    </row>
    <row r="42" spans="1:7" ht="17.25" customHeight="1">
      <c r="A42" s="16">
        <v>2021500200</v>
      </c>
      <c r="B42" s="17" t="s">
        <v>231</v>
      </c>
      <c r="C42" s="12">
        <v>200</v>
      </c>
      <c r="D42" s="20">
        <v>0</v>
      </c>
      <c r="E42" s="9">
        <f>SUM(D42/C42*100)</f>
        <v>0</v>
      </c>
      <c r="F42" s="9">
        <f>SUM(D42-C42)</f>
        <v>-200</v>
      </c>
    </row>
    <row r="43" spans="1:7" ht="19.5" customHeight="1">
      <c r="A43" s="16">
        <v>2022000000</v>
      </c>
      <c r="B43" s="17" t="s">
        <v>21</v>
      </c>
      <c r="C43" s="12">
        <v>1125.08</v>
      </c>
      <c r="D43" s="10">
        <v>263.95699999999999</v>
      </c>
      <c r="E43" s="9">
        <f t="shared" si="0"/>
        <v>23.461176094144417</v>
      </c>
      <c r="F43" s="9">
        <f t="shared" si="1"/>
        <v>-861.12299999999993</v>
      </c>
    </row>
    <row r="44" spans="1:7" hidden="1">
      <c r="A44" s="16">
        <v>2022999910</v>
      </c>
      <c r="B44" s="18" t="s">
        <v>349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7.25" customHeight="1">
      <c r="A45" s="16">
        <v>2023000000</v>
      </c>
      <c r="B45" s="17" t="s">
        <v>22</v>
      </c>
      <c r="C45" s="12">
        <v>182.40299999999999</v>
      </c>
      <c r="D45" s="249">
        <v>59.548999999999999</v>
      </c>
      <c r="E45" s="9">
        <f t="shared" si="0"/>
        <v>32.646941113907118</v>
      </c>
      <c r="F45" s="9">
        <f t="shared" si="1"/>
        <v>-122.85399999999998</v>
      </c>
    </row>
    <row r="46" spans="1:7" ht="17.25" customHeight="1">
      <c r="A46" s="16">
        <v>2020400000</v>
      </c>
      <c r="B46" s="17" t="s">
        <v>23</v>
      </c>
      <c r="C46" s="12">
        <v>0</v>
      </c>
      <c r="D46" s="250">
        <v>0</v>
      </c>
      <c r="E46" s="9" t="e">
        <f t="shared" si="0"/>
        <v>#DIV/0!</v>
      </c>
      <c r="F46" s="9">
        <f t="shared" si="1"/>
        <v>0</v>
      </c>
    </row>
    <row r="47" spans="1:7" ht="20.25" customHeight="1">
      <c r="A47" s="7">
        <v>2070500010</v>
      </c>
      <c r="B47" s="18" t="s">
        <v>297</v>
      </c>
      <c r="C47" s="12">
        <v>0</v>
      </c>
      <c r="D47" s="250">
        <v>0</v>
      </c>
      <c r="E47" s="9" t="e">
        <f t="shared" si="0"/>
        <v>#DIV/0!</v>
      </c>
      <c r="F47" s="9">
        <f t="shared" si="1"/>
        <v>0</v>
      </c>
    </row>
    <row r="48" spans="1:7" ht="19.5" hidden="1" customHeight="1">
      <c r="A48" s="16">
        <v>2020900000</v>
      </c>
      <c r="B48" s="18" t="s">
        <v>24</v>
      </c>
      <c r="C48" s="12"/>
      <c r="D48" s="250"/>
      <c r="E48" s="9" t="e">
        <f t="shared" si="0"/>
        <v>#DIV/0!</v>
      </c>
      <c r="F48" s="9">
        <f t="shared" si="1"/>
        <v>0</v>
      </c>
    </row>
    <row r="49" spans="1:7" ht="0.75" hidden="1" customHeight="1">
      <c r="A49" s="7">
        <v>2190500005</v>
      </c>
      <c r="B49" s="11" t="s">
        <v>25</v>
      </c>
      <c r="C49" s="14"/>
      <c r="D49" s="14"/>
      <c r="E49" s="5"/>
      <c r="F49" s="5">
        <f>SUM(D49-C49)</f>
        <v>0</v>
      </c>
    </row>
    <row r="50" spans="1:7" s="6" customFormat="1" ht="3" hidden="1" customHeight="1">
      <c r="A50" s="3">
        <v>3000000000</v>
      </c>
      <c r="B50" s="13" t="s">
        <v>26</v>
      </c>
      <c r="C50" s="122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3"/>
      <c r="B51" s="4" t="s">
        <v>27</v>
      </c>
      <c r="C51" s="376">
        <f>C39+C40</f>
        <v>5644.6009999999997</v>
      </c>
      <c r="D51" s="377">
        <f>D39+D40</f>
        <v>1209.91328</v>
      </c>
      <c r="E51" s="5">
        <f t="shared" si="0"/>
        <v>21.434876973589454</v>
      </c>
      <c r="F51" s="5">
        <f t="shared" si="1"/>
        <v>-4434.6877199999999</v>
      </c>
      <c r="G51" s="291"/>
    </row>
    <row r="52" spans="1:7" s="6" customFormat="1">
      <c r="A52" s="3"/>
      <c r="B52" s="21" t="s">
        <v>320</v>
      </c>
      <c r="C52" s="93">
        <f>C51-C99</f>
        <v>-359.81648000000041</v>
      </c>
      <c r="D52" s="93">
        <f>D51-D99</f>
        <v>-257.66585000000009</v>
      </c>
      <c r="E52" s="22"/>
      <c r="F52" s="22"/>
    </row>
    <row r="53" spans="1:7" ht="23.25" customHeight="1">
      <c r="A53" s="23"/>
      <c r="B53" s="24"/>
      <c r="C53" s="240"/>
      <c r="D53" s="240"/>
      <c r="E53" s="132"/>
      <c r="F53" s="92"/>
    </row>
    <row r="54" spans="1:7" ht="65.25" customHeight="1">
      <c r="A54" s="28" t="s">
        <v>0</v>
      </c>
      <c r="B54" s="28" t="s">
        <v>28</v>
      </c>
      <c r="C54" s="72" t="s">
        <v>411</v>
      </c>
      <c r="D54" s="103" t="s">
        <v>419</v>
      </c>
      <c r="E54" s="72" t="s">
        <v>2</v>
      </c>
      <c r="F54" s="74" t="s">
        <v>3</v>
      </c>
    </row>
    <row r="55" spans="1:7" ht="19.5" customHeight="1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>
      <c r="A56" s="30" t="s">
        <v>29</v>
      </c>
      <c r="B56" s="31" t="s">
        <v>30</v>
      </c>
      <c r="C56" s="32">
        <f>C57+C58+C59+C60+C61+C63+C62</f>
        <v>1204.2350000000001</v>
      </c>
      <c r="D56" s="33">
        <f>D57+D58+D59+D60+D61+D63+D62</f>
        <v>387.34233999999998</v>
      </c>
      <c r="E56" s="34">
        <f>SUM(D56/C56*100)</f>
        <v>32.165012642881159</v>
      </c>
      <c r="F56" s="34">
        <f>SUM(D56-C56)</f>
        <v>-816.89266000000021</v>
      </c>
    </row>
    <row r="57" spans="1:7" s="6" customFormat="1" ht="0.75" hidden="1" customHeight="1">
      <c r="A57" s="35" t="s">
        <v>31</v>
      </c>
      <c r="B57" s="36" t="s">
        <v>32</v>
      </c>
      <c r="C57" s="37"/>
      <c r="D57" s="37"/>
      <c r="E57" s="38"/>
      <c r="F57" s="38"/>
    </row>
    <row r="58" spans="1:7" ht="18" customHeight="1">
      <c r="A58" s="35" t="s">
        <v>33</v>
      </c>
      <c r="B58" s="39" t="s">
        <v>34</v>
      </c>
      <c r="C58" s="37">
        <v>1195.0350000000001</v>
      </c>
      <c r="D58" s="37">
        <v>383.30784</v>
      </c>
      <c r="E58" s="38">
        <f t="shared" ref="E58:E99" si="3">SUM(D58/C58*100)</f>
        <v>32.075030438439036</v>
      </c>
      <c r="F58" s="38">
        <f t="shared" ref="F58:F99" si="4">SUM(D58-C58)</f>
        <v>-811.72716000000014</v>
      </c>
    </row>
    <row r="59" spans="1:7" ht="16.5" hidden="1" customHeight="1">
      <c r="A59" s="35" t="s">
        <v>35</v>
      </c>
      <c r="B59" s="39" t="s">
        <v>36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37</v>
      </c>
      <c r="B60" s="39" t="s">
        <v>38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 ht="15.75" customHeight="1">
      <c r="A61" s="35" t="s">
        <v>39</v>
      </c>
      <c r="B61" s="39" t="s">
        <v>40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41</v>
      </c>
      <c r="B62" s="39" t="s">
        <v>42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8" customHeight="1">
      <c r="A63" s="35" t="s">
        <v>43</v>
      </c>
      <c r="B63" s="39" t="s">
        <v>44</v>
      </c>
      <c r="C63" s="37">
        <v>4.2</v>
      </c>
      <c r="D63" s="37">
        <v>4.0345000000000004</v>
      </c>
      <c r="E63" s="38">
        <f t="shared" si="3"/>
        <v>96.05952380952381</v>
      </c>
      <c r="F63" s="38">
        <f t="shared" si="4"/>
        <v>-0.16549999999999976</v>
      </c>
    </row>
    <row r="64" spans="1:7" s="6" customFormat="1">
      <c r="A64" s="41" t="s">
        <v>45</v>
      </c>
      <c r="B64" s="42" t="s">
        <v>46</v>
      </c>
      <c r="C64" s="32">
        <f>C65</f>
        <v>179.892</v>
      </c>
      <c r="D64" s="32">
        <f>D65</f>
        <v>58.756</v>
      </c>
      <c r="E64" s="34">
        <f t="shared" si="3"/>
        <v>32.661819313810511</v>
      </c>
      <c r="F64" s="34">
        <f t="shared" si="4"/>
        <v>-121.136</v>
      </c>
    </row>
    <row r="65" spans="1:7">
      <c r="A65" s="43" t="s">
        <v>47</v>
      </c>
      <c r="B65" s="44" t="s">
        <v>48</v>
      </c>
      <c r="C65" s="37">
        <v>179.892</v>
      </c>
      <c r="D65" s="37">
        <v>58.756</v>
      </c>
      <c r="E65" s="38">
        <f t="shared" si="3"/>
        <v>32.661819313810511</v>
      </c>
      <c r="F65" s="38">
        <f t="shared" si="4"/>
        <v>-121.136</v>
      </c>
    </row>
    <row r="66" spans="1:7" s="6" customFormat="1" ht="18.75" customHeight="1">
      <c r="A66" s="30" t="s">
        <v>49</v>
      </c>
      <c r="B66" s="31" t="s">
        <v>50</v>
      </c>
      <c r="C66" s="32">
        <f>C70+C69+C68+C67+C71</f>
        <v>10</v>
      </c>
      <c r="D66" s="32">
        <f>D70+D69+D68+D67</f>
        <v>2.95</v>
      </c>
      <c r="E66" s="34">
        <f t="shared" si="3"/>
        <v>29.500000000000004</v>
      </c>
      <c r="F66" s="34">
        <f t="shared" si="4"/>
        <v>-7.05</v>
      </c>
    </row>
    <row r="67" spans="1:7" hidden="1">
      <c r="A67" s="35" t="s">
        <v>51</v>
      </c>
      <c r="B67" s="39" t="s">
        <v>52</v>
      </c>
      <c r="C67" s="37"/>
      <c r="D67" s="37"/>
      <c r="E67" s="38" t="e">
        <f t="shared" si="3"/>
        <v>#DIV/0!</v>
      </c>
      <c r="F67" s="38">
        <f t="shared" si="4"/>
        <v>0</v>
      </c>
    </row>
    <row r="68" spans="1:7" hidden="1">
      <c r="A68" s="45" t="s">
        <v>53</v>
      </c>
      <c r="B68" s="39" t="s">
        <v>54</v>
      </c>
      <c r="C68" s="37"/>
      <c r="D68" s="37"/>
      <c r="E68" s="38" t="e">
        <f t="shared" si="3"/>
        <v>#DIV/0!</v>
      </c>
      <c r="F68" s="38">
        <f t="shared" si="4"/>
        <v>0</v>
      </c>
    </row>
    <row r="69" spans="1:7" ht="15.75" customHeight="1">
      <c r="A69" s="46" t="s">
        <v>55</v>
      </c>
      <c r="B69" s="47" t="s">
        <v>56</v>
      </c>
      <c r="C69" s="37">
        <v>1.5</v>
      </c>
      <c r="D69" s="37">
        <v>0</v>
      </c>
      <c r="E69" s="38">
        <f t="shared" si="3"/>
        <v>0</v>
      </c>
      <c r="F69" s="38">
        <f t="shared" si="4"/>
        <v>-1.5</v>
      </c>
    </row>
    <row r="70" spans="1:7" ht="15.75" customHeight="1">
      <c r="A70" s="46" t="s">
        <v>218</v>
      </c>
      <c r="B70" s="47" t="s">
        <v>219</v>
      </c>
      <c r="C70" s="37">
        <v>6.5</v>
      </c>
      <c r="D70" s="37">
        <v>2.95</v>
      </c>
      <c r="E70" s="38">
        <f>SUM(D70/C70*100)</f>
        <v>45.384615384615387</v>
      </c>
      <c r="F70" s="38">
        <f>SUM(D70-C70)</f>
        <v>-3.55</v>
      </c>
    </row>
    <row r="71" spans="1:7" ht="15.75" customHeight="1">
      <c r="A71" s="46" t="s">
        <v>357</v>
      </c>
      <c r="B71" s="47" t="s">
        <v>414</v>
      </c>
      <c r="C71" s="37">
        <v>2</v>
      </c>
      <c r="D71" s="37"/>
      <c r="E71" s="38"/>
      <c r="F71" s="38"/>
    </row>
    <row r="72" spans="1:7" s="6" customFormat="1">
      <c r="A72" s="30" t="s">
        <v>57</v>
      </c>
      <c r="B72" s="31" t="s">
        <v>58</v>
      </c>
      <c r="C72" s="48">
        <f>SUM(C73:C76)</f>
        <v>1918.6814800000002</v>
      </c>
      <c r="D72" s="48">
        <f>SUM(D73:D76)</f>
        <v>346.86745000000002</v>
      </c>
      <c r="E72" s="34">
        <f t="shared" si="3"/>
        <v>18.078428004631597</v>
      </c>
      <c r="F72" s="34">
        <f t="shared" si="4"/>
        <v>-1571.8140300000002</v>
      </c>
    </row>
    <row r="73" spans="1:7" ht="17.25" customHeight="1">
      <c r="A73" s="35" t="s">
        <v>59</v>
      </c>
      <c r="B73" s="39" t="s">
        <v>60</v>
      </c>
      <c r="C73" s="49">
        <v>6.7024999999999997</v>
      </c>
      <c r="D73" s="37">
        <v>0</v>
      </c>
      <c r="E73" s="38">
        <f t="shared" si="3"/>
        <v>0</v>
      </c>
      <c r="F73" s="38">
        <f t="shared" si="4"/>
        <v>-6.7024999999999997</v>
      </c>
    </row>
    <row r="74" spans="1:7" s="6" customFormat="1" ht="17.25" customHeight="1">
      <c r="A74" s="35" t="s">
        <v>61</v>
      </c>
      <c r="B74" s="39" t="s">
        <v>62</v>
      </c>
      <c r="C74" s="49">
        <v>145</v>
      </c>
      <c r="D74" s="37">
        <v>15.69</v>
      </c>
      <c r="E74" s="38">
        <f t="shared" si="3"/>
        <v>10.820689655172414</v>
      </c>
      <c r="F74" s="38">
        <f t="shared" si="4"/>
        <v>-129.31</v>
      </c>
      <c r="G74" s="50"/>
    </row>
    <row r="75" spans="1:7">
      <c r="A75" s="35" t="s">
        <v>63</v>
      </c>
      <c r="B75" s="39" t="s">
        <v>64</v>
      </c>
      <c r="C75" s="49">
        <v>1676.9789800000001</v>
      </c>
      <c r="D75" s="37">
        <v>299.95245</v>
      </c>
      <c r="E75" s="38">
        <f t="shared" si="3"/>
        <v>17.886476430372429</v>
      </c>
      <c r="F75" s="38">
        <f t="shared" si="4"/>
        <v>-1377.0265300000001</v>
      </c>
    </row>
    <row r="76" spans="1:7">
      <c r="A76" s="35" t="s">
        <v>65</v>
      </c>
      <c r="B76" s="39" t="s">
        <v>66</v>
      </c>
      <c r="C76" s="49">
        <v>90</v>
      </c>
      <c r="D76" s="37">
        <v>31.225000000000001</v>
      </c>
      <c r="E76" s="38">
        <f t="shared" si="3"/>
        <v>34.694444444444443</v>
      </c>
      <c r="F76" s="38">
        <f t="shared" si="4"/>
        <v>-58.774999999999999</v>
      </c>
    </row>
    <row r="77" spans="1:7" s="6" customFormat="1" ht="18" customHeight="1">
      <c r="A77" s="30" t="s">
        <v>67</v>
      </c>
      <c r="B77" s="31" t="s">
        <v>68</v>
      </c>
      <c r="C77" s="32">
        <f>SUM(C78:C81)</f>
        <v>1090.509</v>
      </c>
      <c r="D77" s="32">
        <f>SUM(D78:D81)</f>
        <v>169.16134</v>
      </c>
      <c r="E77" s="34">
        <f t="shared" si="3"/>
        <v>15.512145245935614</v>
      </c>
      <c r="F77" s="34">
        <f t="shared" si="4"/>
        <v>-921.34766000000002</v>
      </c>
    </row>
    <row r="78" spans="1:7" hidden="1">
      <c r="A78" s="35" t="s">
        <v>69</v>
      </c>
      <c r="B78" s="51" t="s">
        <v>70</v>
      </c>
      <c r="C78" s="37"/>
      <c r="D78" s="37"/>
      <c r="E78" s="38" t="e">
        <f t="shared" si="3"/>
        <v>#DIV/0!</v>
      </c>
      <c r="F78" s="38">
        <f t="shared" si="4"/>
        <v>0</v>
      </c>
    </row>
    <row r="79" spans="1:7" ht="15.75" hidden="1" customHeight="1">
      <c r="A79" s="35" t="s">
        <v>71</v>
      </c>
      <c r="B79" s="51" t="s">
        <v>72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t="16.5" customHeight="1">
      <c r="A80" s="35" t="s">
        <v>73</v>
      </c>
      <c r="B80" s="39" t="s">
        <v>74</v>
      </c>
      <c r="C80" s="37">
        <v>1090.509</v>
      </c>
      <c r="D80" s="37">
        <v>169.16134</v>
      </c>
      <c r="E80" s="38">
        <f t="shared" si="3"/>
        <v>15.512145245935614</v>
      </c>
      <c r="F80" s="38">
        <f t="shared" si="4"/>
        <v>-921.34766000000002</v>
      </c>
    </row>
    <row r="81" spans="1:6" ht="31.5" hidden="1">
      <c r="A81" s="35" t="s">
        <v>263</v>
      </c>
      <c r="B81" s="39" t="s">
        <v>277</v>
      </c>
      <c r="C81" s="37">
        <v>0</v>
      </c>
      <c r="D81" s="37">
        <v>0</v>
      </c>
      <c r="E81" s="38" t="e">
        <f t="shared" si="3"/>
        <v>#DIV/0!</v>
      </c>
      <c r="F81" s="38">
        <f t="shared" si="4"/>
        <v>0</v>
      </c>
    </row>
    <row r="82" spans="1:6" s="6" customFormat="1">
      <c r="A82" s="30" t="s">
        <v>85</v>
      </c>
      <c r="B82" s="31" t="s">
        <v>86</v>
      </c>
      <c r="C82" s="32">
        <f>C83</f>
        <v>1599.1</v>
      </c>
      <c r="D82" s="32">
        <f>SUM(D83)</f>
        <v>502.50200000000001</v>
      </c>
      <c r="E82" s="34">
        <f t="shared" si="3"/>
        <v>31.424051028703648</v>
      </c>
      <c r="F82" s="34">
        <f t="shared" si="4"/>
        <v>-1096.598</v>
      </c>
    </row>
    <row r="83" spans="1:6" ht="16.5" hidden="1" customHeight="1">
      <c r="A83" s="35" t="s">
        <v>87</v>
      </c>
      <c r="B83" s="39" t="s">
        <v>233</v>
      </c>
      <c r="C83" s="37">
        <v>1599.1</v>
      </c>
      <c r="D83" s="37">
        <v>502.50200000000001</v>
      </c>
      <c r="E83" s="38">
        <f t="shared" si="3"/>
        <v>31.424051028703648</v>
      </c>
      <c r="F83" s="38">
        <f t="shared" si="4"/>
        <v>-1096.598</v>
      </c>
    </row>
    <row r="84" spans="1:6" s="6" customFormat="1" ht="18" hidden="1" customHeight="1">
      <c r="A84" s="52">
        <v>1000</v>
      </c>
      <c r="B84" s="31" t="s">
        <v>88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0.75" hidden="1" customHeight="1">
      <c r="A85" s="53">
        <v>1001</v>
      </c>
      <c r="B85" s="54" t="s">
        <v>89</v>
      </c>
      <c r="C85" s="37"/>
      <c r="D85" s="32">
        <v>0</v>
      </c>
      <c r="E85" s="38" t="e">
        <f t="shared" si="3"/>
        <v>#DIV/0!</v>
      </c>
      <c r="F85" s="38">
        <f t="shared" si="4"/>
        <v>0</v>
      </c>
    </row>
    <row r="86" spans="1:6" ht="18.75" hidden="1" customHeight="1">
      <c r="A86" s="53">
        <v>1003</v>
      </c>
      <c r="B86" s="54" t="s">
        <v>90</v>
      </c>
      <c r="C86" s="37">
        <v>0</v>
      </c>
      <c r="D86" s="32">
        <v>0</v>
      </c>
      <c r="E86" s="38" t="e">
        <f t="shared" si="3"/>
        <v>#DIV/0!</v>
      </c>
      <c r="F86" s="38">
        <f t="shared" si="4"/>
        <v>0</v>
      </c>
    </row>
    <row r="87" spans="1:6" ht="19.5" hidden="1" customHeight="1">
      <c r="A87" s="53">
        <v>1004</v>
      </c>
      <c r="B87" s="54" t="s">
        <v>91</v>
      </c>
      <c r="C87" s="37">
        <v>0</v>
      </c>
      <c r="D87" s="32">
        <v>0</v>
      </c>
      <c r="E87" s="38" t="e">
        <f t="shared" si="3"/>
        <v>#DIV/0!</v>
      </c>
      <c r="F87" s="38">
        <f t="shared" si="4"/>
        <v>0</v>
      </c>
    </row>
    <row r="88" spans="1:6" ht="18" customHeight="1">
      <c r="A88" s="35" t="s">
        <v>92</v>
      </c>
      <c r="B88" s="39" t="s">
        <v>93</v>
      </c>
      <c r="C88" s="37">
        <v>0</v>
      </c>
      <c r="D88" s="37">
        <v>0</v>
      </c>
      <c r="E88" s="38"/>
      <c r="F88" s="38">
        <f t="shared" si="4"/>
        <v>0</v>
      </c>
    </row>
    <row r="89" spans="1:6" ht="15.75" customHeight="1">
      <c r="A89" s="30" t="s">
        <v>94</v>
      </c>
      <c r="B89" s="31" t="s">
        <v>95</v>
      </c>
      <c r="C89" s="32">
        <f>C90+C91+C92+C93+C94</f>
        <v>2</v>
      </c>
      <c r="D89" s="32">
        <f>D90+D91+D92+D93+D94</f>
        <v>0</v>
      </c>
      <c r="E89" s="38">
        <f t="shared" si="3"/>
        <v>0</v>
      </c>
      <c r="F89" s="22">
        <f>F90+F91+F92+F93+F94</f>
        <v>-2</v>
      </c>
    </row>
    <row r="90" spans="1:6" ht="19.5" customHeight="1">
      <c r="A90" s="35" t="s">
        <v>96</v>
      </c>
      <c r="B90" s="39" t="s">
        <v>97</v>
      </c>
      <c r="C90" s="37">
        <v>2</v>
      </c>
      <c r="D90" s="37">
        <v>0</v>
      </c>
      <c r="E90" s="38">
        <f t="shared" si="3"/>
        <v>0</v>
      </c>
      <c r="F90" s="38">
        <f>SUM(D90-C90)</f>
        <v>-2</v>
      </c>
    </row>
    <row r="91" spans="1:6" ht="1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ht="13.5" hidden="1" customHeight="1">
      <c r="A94" s="35" t="s">
        <v>104</v>
      </c>
      <c r="B94" s="39" t="s">
        <v>105</v>
      </c>
      <c r="C94" s="37"/>
      <c r="D94" s="37"/>
      <c r="E94" s="38" t="e">
        <f t="shared" si="3"/>
        <v>#DIV/0!</v>
      </c>
      <c r="F94" s="38"/>
    </row>
    <row r="95" spans="1:6" s="6" customFormat="1" ht="0.75" hidden="1" customHeight="1">
      <c r="A95" s="52">
        <v>1400</v>
      </c>
      <c r="B95" s="56" t="s">
        <v>114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t="15" hidden="1" customHeight="1">
      <c r="A96" s="53">
        <v>1401</v>
      </c>
      <c r="B96" s="54" t="s">
        <v>115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57.75" hidden="1" customHeight="1">
      <c r="A97" s="53">
        <v>1402</v>
      </c>
      <c r="B97" s="54" t="s">
        <v>116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15" hidden="1" customHeight="1">
      <c r="A98" s="53">
        <v>1403</v>
      </c>
      <c r="B98" s="54" t="s">
        <v>117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6" s="6" customFormat="1" ht="16.5" customHeight="1">
      <c r="A99" s="52"/>
      <c r="B99" s="57" t="s">
        <v>118</v>
      </c>
      <c r="C99" s="371">
        <f>C56+C64+C66+C72+C77+C82+C84+C89+C95</f>
        <v>6004.4174800000001</v>
      </c>
      <c r="D99" s="371">
        <f>D56+D64+D66+D72+D77+D82+D84+D89+D95</f>
        <v>1467.5791300000001</v>
      </c>
      <c r="E99" s="34">
        <f t="shared" si="3"/>
        <v>24.441657078115096</v>
      </c>
      <c r="F99" s="34">
        <f t="shared" si="4"/>
        <v>-4536.83835</v>
      </c>
    </row>
    <row r="100" spans="1:6" ht="20.25" customHeight="1">
      <c r="C100" s="341"/>
      <c r="D100" s="342"/>
    </row>
    <row r="101" spans="1:6" s="65" customFormat="1" ht="13.5" customHeight="1">
      <c r="A101" s="63" t="s">
        <v>119</v>
      </c>
      <c r="B101" s="63"/>
      <c r="C101" s="64"/>
      <c r="D101" s="64"/>
    </row>
    <row r="102" spans="1:6" s="65" customFormat="1" ht="12.75">
      <c r="A102" s="66" t="s">
        <v>120</v>
      </c>
      <c r="B102" s="66"/>
      <c r="C102" s="134" t="s">
        <v>121</v>
      </c>
      <c r="D102" s="134"/>
    </row>
    <row r="103" spans="1:6" ht="5.25" customHeight="1"/>
  </sheetData>
  <customSheetViews>
    <customSheetView guid="{5BFCA170-DEAE-4D2C-98A0-1E68B427AC01}" showPageBreaks="1" hiddenRows="1" topLeftCell="A51">
      <selection activeCell="D98" sqref="D98"/>
      <pageMargins left="0.7" right="0.7" top="0.75" bottom="0.75" header="0.3" footer="0.3"/>
      <pageSetup paperSize="9" scale="57" orientation="portrait" r:id="rId1"/>
    </customSheetView>
    <customSheetView guid="{B30CE22D-C12F-4E12-8BB9-3AAE0A6991CC}" scale="70" showPageBreaks="1" hiddenRows="1" view="pageBreakPreview">
      <selection activeCell="C98" sqref="C98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1A52382B-3765-4E8C-903F-6B8919B7242E}" scale="70" showPageBreaks="1" hiddenRows="1" view="pageBreakPreview" topLeftCell="A40">
      <selection activeCell="D90" sqref="D90"/>
      <pageMargins left="0.7" right="0.7" top="0.75" bottom="0.75" header="0.3" footer="0.3"/>
      <pageSetup paperSize="9" scale="57" orientation="portrait" r:id="rId3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3" orientation="portrait" r:id="rId4"/>
    </customSheetView>
    <customSheetView guid="{3DCB9AAA-F09C-4EA6-B992-F93E466D374A}" hiddenRows="1" topLeftCell="A43">
      <selection activeCell="B100" sqref="B100"/>
      <pageMargins left="0.7" right="0.7" top="0.75" bottom="0.75" header="0.3" footer="0.3"/>
      <pageSetup paperSize="9" scale="57" orientation="portrait" r:id="rId5"/>
    </customSheetView>
    <customSheetView guid="{1718F1EE-9F48-4DBE-9531-3B70F9C4A5DD}" scale="70" showPageBreaks="1" hiddenRows="1" view="pageBreakPreview" topLeftCell="A45">
      <selection activeCell="C64" sqref="C64"/>
      <pageMargins left="0.7" right="0.7" top="0.75" bottom="0.75" header="0.3" footer="0.3"/>
      <pageSetup paperSize="9" scale="40" orientation="portrait" r:id="rId6"/>
    </customSheetView>
    <customSheetView guid="{42584DC0-1D41-4C93-9B38-C388E7B8DAC4}" scale="70" showPageBreaks="1" hiddenRows="1" view="pageBreakPreview" topLeftCell="A69">
      <selection activeCell="C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B31C8DB7-3E78-4144-A6B5-8DE36DE63F0E}" hiddenRows="1" topLeftCell="A31">
      <selection activeCell="D46" sqref="D46"/>
      <pageMargins left="0.7" right="0.7" top="0.75" bottom="0.75" header="0.3" footer="0.3"/>
      <pageSetup paperSize="9" scale="57" orientation="portrait" r:id="rId8"/>
    </customSheetView>
    <customSheetView guid="{61528DAC-5C4C-48F4-ADE2-8A724B05A086}" scale="70" showPageBreaks="1" hiddenRows="1" view="pageBreakPreview" topLeftCell="A25">
      <selection activeCell="D90" sqref="D90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7" orientation="portrait" r:id="rId1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G103"/>
  <sheetViews>
    <sheetView topLeftCell="A10" zoomScaleNormal="100" zoomScaleSheetLayoutView="70" workbookViewId="0">
      <selection activeCell="C35" sqref="C35"/>
    </sheetView>
  </sheetViews>
  <sheetFormatPr defaultRowHeight="15.75"/>
  <cols>
    <col min="1" max="1" width="17" style="58" customWidth="1"/>
    <col min="2" max="2" width="57.5703125" style="59" customWidth="1"/>
    <col min="3" max="3" width="16.5703125" style="62" customWidth="1"/>
    <col min="4" max="4" width="16.28515625" style="62" customWidth="1"/>
    <col min="5" max="5" width="13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0" t="s">
        <v>434</v>
      </c>
      <c r="B1" s="530"/>
      <c r="C1" s="530"/>
      <c r="D1" s="530"/>
      <c r="E1" s="530"/>
      <c r="F1" s="530"/>
    </row>
    <row r="2" spans="1:6">
      <c r="A2" s="530"/>
      <c r="B2" s="530"/>
      <c r="C2" s="530"/>
      <c r="D2" s="530"/>
      <c r="E2" s="530"/>
      <c r="F2" s="530"/>
    </row>
    <row r="3" spans="1:6" ht="63">
      <c r="A3" s="2" t="s">
        <v>0</v>
      </c>
      <c r="B3" s="2" t="s">
        <v>1</v>
      </c>
      <c r="C3" s="72" t="s">
        <v>411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1828.2080000000001</v>
      </c>
      <c r="D4" s="5">
        <f>D5+D12+D14+D17+D7+D20</f>
        <v>519.10460999999998</v>
      </c>
      <c r="E4" s="5">
        <f>SUM(D4/C4*100)</f>
        <v>28.394176701994517</v>
      </c>
      <c r="F4" s="5">
        <f>SUM(D4-C4)</f>
        <v>-1309.1033900000002</v>
      </c>
    </row>
    <row r="5" spans="1:6" s="6" customFormat="1">
      <c r="A5" s="68">
        <v>1010000000</v>
      </c>
      <c r="B5" s="67" t="s">
        <v>5</v>
      </c>
      <c r="C5" s="5">
        <f>C6</f>
        <v>111.54300000000001</v>
      </c>
      <c r="D5" s="5">
        <f>D6</f>
        <v>48.75544</v>
      </c>
      <c r="E5" s="5">
        <f t="shared" ref="E5:E51" si="0">SUM(D5/C5*100)</f>
        <v>43.709995248469198</v>
      </c>
      <c r="F5" s="5">
        <f t="shared" ref="F5:F48" si="1">SUM(D5-C5)</f>
        <v>-62.787560000000006</v>
      </c>
    </row>
    <row r="6" spans="1:6">
      <c r="A6" s="7">
        <v>1010200001</v>
      </c>
      <c r="B6" s="8" t="s">
        <v>228</v>
      </c>
      <c r="C6" s="9">
        <v>111.54300000000001</v>
      </c>
      <c r="D6" s="10">
        <v>48.75544</v>
      </c>
      <c r="E6" s="9">
        <f t="shared" ref="E6:E11" si="2">SUM(D6/C6*100)</f>
        <v>43.709995248469198</v>
      </c>
      <c r="F6" s="9">
        <f t="shared" si="1"/>
        <v>-62.787560000000006</v>
      </c>
    </row>
    <row r="7" spans="1:6" ht="31.5">
      <c r="A7" s="3">
        <v>1030000000</v>
      </c>
      <c r="B7" s="13" t="s">
        <v>280</v>
      </c>
      <c r="C7" s="5">
        <f>C8+C10+C9</f>
        <v>523.66500000000008</v>
      </c>
      <c r="D7" s="5">
        <f>D8+D10+D9+D11</f>
        <v>202.27972</v>
      </c>
      <c r="E7" s="9">
        <f t="shared" si="2"/>
        <v>38.627695186808353</v>
      </c>
      <c r="F7" s="9">
        <f t="shared" si="1"/>
        <v>-321.38528000000008</v>
      </c>
    </row>
    <row r="8" spans="1:6">
      <c r="A8" s="7">
        <v>1030223001</v>
      </c>
      <c r="B8" s="8" t="s">
        <v>282</v>
      </c>
      <c r="C8" s="9">
        <v>195.33</v>
      </c>
      <c r="D8" s="10">
        <v>91.032669999999996</v>
      </c>
      <c r="E8" s="9">
        <f t="shared" si="2"/>
        <v>46.60455127220601</v>
      </c>
      <c r="F8" s="9">
        <f t="shared" si="1"/>
        <v>-104.29733000000002</v>
      </c>
    </row>
    <row r="9" spans="1:6">
      <c r="A9" s="7">
        <v>1030224001</v>
      </c>
      <c r="B9" s="8" t="s">
        <v>288</v>
      </c>
      <c r="C9" s="9">
        <v>2.0950000000000002</v>
      </c>
      <c r="D9" s="10">
        <v>0.66449999999999998</v>
      </c>
      <c r="E9" s="9">
        <f t="shared" si="2"/>
        <v>31.718377088305484</v>
      </c>
      <c r="F9" s="9">
        <f t="shared" si="1"/>
        <v>-1.4305000000000003</v>
      </c>
    </row>
    <row r="10" spans="1:6">
      <c r="A10" s="7">
        <v>1030225001</v>
      </c>
      <c r="B10" s="8" t="s">
        <v>281</v>
      </c>
      <c r="C10" s="9">
        <v>326.24</v>
      </c>
      <c r="D10" s="10">
        <v>129.39876000000001</v>
      </c>
      <c r="E10" s="9">
        <f t="shared" si="2"/>
        <v>39.663670917116235</v>
      </c>
      <c r="F10" s="9">
        <f t="shared" si="1"/>
        <v>-196.84124</v>
      </c>
    </row>
    <row r="11" spans="1:6">
      <c r="A11" s="7">
        <v>1030226001</v>
      </c>
      <c r="B11" s="8" t="s">
        <v>290</v>
      </c>
      <c r="C11" s="9">
        <v>0</v>
      </c>
      <c r="D11" s="10">
        <v>-18.816210000000002</v>
      </c>
      <c r="E11" s="9" t="e">
        <f t="shared" si="2"/>
        <v>#DIV/0!</v>
      </c>
      <c r="F11" s="9">
        <f t="shared" si="1"/>
        <v>-18.816210000000002</v>
      </c>
    </row>
    <row r="12" spans="1:6" s="6" customFormat="1">
      <c r="A12" s="68">
        <v>1050000000</v>
      </c>
      <c r="B12" s="67" t="s">
        <v>6</v>
      </c>
      <c r="C12" s="5">
        <f>SUM(C13:C13)</f>
        <v>45</v>
      </c>
      <c r="D12" s="5">
        <f>D13</f>
        <v>98.752200000000002</v>
      </c>
      <c r="E12" s="5">
        <f t="shared" si="0"/>
        <v>219.44933333333333</v>
      </c>
      <c r="F12" s="5">
        <f t="shared" si="1"/>
        <v>53.752200000000002</v>
      </c>
    </row>
    <row r="13" spans="1:6" ht="15.75" customHeight="1">
      <c r="A13" s="7">
        <v>1050300000</v>
      </c>
      <c r="B13" s="11" t="s">
        <v>229</v>
      </c>
      <c r="C13" s="12">
        <v>45</v>
      </c>
      <c r="D13" s="10">
        <v>98.752200000000002</v>
      </c>
      <c r="E13" s="9">
        <f t="shared" si="0"/>
        <v>219.44933333333333</v>
      </c>
      <c r="F13" s="9">
        <f t="shared" si="1"/>
        <v>53.752200000000002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1138</v>
      </c>
      <c r="D14" s="5">
        <f>D15+D16</f>
        <v>166.74224999999998</v>
      </c>
      <c r="E14" s="5">
        <f t="shared" si="0"/>
        <v>14.652218804920913</v>
      </c>
      <c r="F14" s="5">
        <f t="shared" si="1"/>
        <v>-971.25774999999999</v>
      </c>
    </row>
    <row r="15" spans="1:6" s="6" customFormat="1" ht="15.75" customHeight="1">
      <c r="A15" s="7">
        <v>1060100000</v>
      </c>
      <c r="B15" s="11" t="s">
        <v>8</v>
      </c>
      <c r="C15" s="9">
        <v>138</v>
      </c>
      <c r="D15" s="10">
        <v>6.3902000000000001</v>
      </c>
      <c r="E15" s="9">
        <f t="shared" si="0"/>
        <v>4.6305797101449278</v>
      </c>
      <c r="F15" s="9">
        <f>SUM(D15-C15)</f>
        <v>-131.60980000000001</v>
      </c>
    </row>
    <row r="16" spans="1:6" ht="15.75" customHeight="1">
      <c r="A16" s="7">
        <v>1060600000</v>
      </c>
      <c r="B16" s="11" t="s">
        <v>7</v>
      </c>
      <c r="C16" s="9">
        <v>1000</v>
      </c>
      <c r="D16" s="10">
        <v>160.35204999999999</v>
      </c>
      <c r="E16" s="9">
        <f t="shared" si="0"/>
        <v>16.035205000000001</v>
      </c>
      <c r="F16" s="9">
        <f t="shared" si="1"/>
        <v>-839.64795000000004</v>
      </c>
    </row>
    <row r="17" spans="1:6" s="6" customFormat="1">
      <c r="A17" s="3">
        <v>1080000000</v>
      </c>
      <c r="B17" s="4" t="s">
        <v>10</v>
      </c>
      <c r="C17" s="5">
        <f>C18+C19</f>
        <v>10</v>
      </c>
      <c r="D17" s="5">
        <f>D18+D19</f>
        <v>2.5750000000000002</v>
      </c>
      <c r="E17" s="5">
        <f t="shared" si="0"/>
        <v>25.75</v>
      </c>
      <c r="F17" s="5">
        <f t="shared" si="1"/>
        <v>-7.4249999999999998</v>
      </c>
    </row>
    <row r="18" spans="1:6" ht="18" customHeight="1">
      <c r="A18" s="7">
        <v>1080400001</v>
      </c>
      <c r="B18" s="8" t="s">
        <v>227</v>
      </c>
      <c r="C18" s="9">
        <v>10</v>
      </c>
      <c r="D18" s="10">
        <v>2.5750000000000002</v>
      </c>
      <c r="E18" s="9">
        <f t="shared" si="0"/>
        <v>25.75</v>
      </c>
      <c r="F18" s="9">
        <f t="shared" si="1"/>
        <v>-7.4249999999999998</v>
      </c>
    </row>
    <row r="19" spans="1:6" ht="36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2.25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4.75" customHeight="1">
      <c r="A21" s="7">
        <v>1090100000</v>
      </c>
      <c r="B21" s="8" t="s">
        <v>124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18.75" customHeight="1">
      <c r="A22" s="7">
        <v>1090400000</v>
      </c>
      <c r="B22" s="8" t="s">
        <v>125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8" customHeight="1">
      <c r="A23" s="7">
        <v>1090600000</v>
      </c>
      <c r="B23" s="8" t="s">
        <v>126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28.5" customHeight="1">
      <c r="A24" s="3">
        <v>1090700000</v>
      </c>
      <c r="B24" s="13" t="s">
        <v>127</v>
      </c>
      <c r="C24" s="5">
        <v>0</v>
      </c>
      <c r="D24" s="14">
        <v>0</v>
      </c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C26+C29+C31+C36+C34</f>
        <v>89</v>
      </c>
      <c r="D25" s="5">
        <f>D26+D29+D31+D36+D34</f>
        <v>23.26792</v>
      </c>
      <c r="E25" s="5">
        <f t="shared" si="0"/>
        <v>26.143730337078651</v>
      </c>
      <c r="F25" s="5">
        <f t="shared" si="1"/>
        <v>-65.732079999999996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89</v>
      </c>
      <c r="D26" s="370">
        <f>D27+D28</f>
        <v>23.26792</v>
      </c>
      <c r="E26" s="5">
        <f t="shared" si="0"/>
        <v>26.143730337078651</v>
      </c>
      <c r="F26" s="5">
        <f t="shared" si="1"/>
        <v>-65.732079999999996</v>
      </c>
    </row>
    <row r="27" spans="1:6">
      <c r="A27" s="16">
        <v>1110502510</v>
      </c>
      <c r="B27" s="17" t="s">
        <v>225</v>
      </c>
      <c r="C27" s="12">
        <v>83</v>
      </c>
      <c r="D27" s="10">
        <v>21.01</v>
      </c>
      <c r="E27" s="9">
        <f t="shared" si="0"/>
        <v>25.313253012048193</v>
      </c>
      <c r="F27" s="9">
        <f t="shared" si="1"/>
        <v>-61.989999999999995</v>
      </c>
    </row>
    <row r="28" spans="1:6" ht="18" customHeight="1">
      <c r="A28" s="7">
        <v>1110503510</v>
      </c>
      <c r="B28" s="11" t="s">
        <v>224</v>
      </c>
      <c r="C28" s="12">
        <v>6</v>
      </c>
      <c r="D28" s="10">
        <v>2.2579199999999999</v>
      </c>
      <c r="E28" s="9">
        <f t="shared" si="0"/>
        <v>37.631999999999998</v>
      </c>
      <c r="F28" s="9">
        <f t="shared" si="1"/>
        <v>-3.7420800000000001</v>
      </c>
    </row>
    <row r="29" spans="1:6" s="15" customFormat="1" ht="29.25">
      <c r="A29" s="68">
        <v>1130000000</v>
      </c>
      <c r="B29" s="69" t="s">
        <v>130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7.25" customHeight="1">
      <c r="A30" s="7">
        <v>1130206005</v>
      </c>
      <c r="B30" s="8" t="s">
        <v>223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8.5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>
      <c r="A33" s="7">
        <v>1140600000</v>
      </c>
      <c r="B33" s="8" t="s">
        <v>222</v>
      </c>
      <c r="C33" s="9">
        <v>0</v>
      </c>
      <c r="D33" s="10">
        <v>0</v>
      </c>
      <c r="E33" s="9" t="e">
        <f>SUM(D33/C33*100)</f>
        <v>#DIV/0!</v>
      </c>
      <c r="F33" s="9">
        <f t="shared" si="1"/>
        <v>0</v>
      </c>
    </row>
    <row r="34" spans="1:7" ht="22.5" customHeight="1">
      <c r="A34" s="3">
        <v>1160000000</v>
      </c>
      <c r="B34" s="13" t="s">
        <v>251</v>
      </c>
      <c r="C34" s="5">
        <f>C35</f>
        <v>0</v>
      </c>
      <c r="D34" s="5">
        <f>D35</f>
        <v>0</v>
      </c>
      <c r="E34" s="9" t="e">
        <f>SUM(D34/C34*100)</f>
        <v>#DIV/0!</v>
      </c>
      <c r="F34" s="9">
        <f>SUM(D34-C34)</f>
        <v>0</v>
      </c>
    </row>
    <row r="35" spans="1:7" ht="29.25" customHeight="1">
      <c r="A35" s="7">
        <v>1163305010</v>
      </c>
      <c r="B35" s="8" t="s">
        <v>267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7.25" customHeight="1">
      <c r="A36" s="3">
        <v>1170000000</v>
      </c>
      <c r="B36" s="13" t="s">
        <v>134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7.25" customHeight="1">
      <c r="A37" s="7">
        <v>1170105005</v>
      </c>
      <c r="B37" s="8" t="s">
        <v>17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9.5" customHeight="1">
      <c r="A38" s="7">
        <v>1170505005</v>
      </c>
      <c r="B38" s="11" t="s">
        <v>220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18</v>
      </c>
      <c r="C39" s="127">
        <f>SUM(C4,C25)</f>
        <v>1917.2080000000001</v>
      </c>
      <c r="D39" s="127">
        <f>SUM(D4,D25)</f>
        <v>542.37252999999998</v>
      </c>
      <c r="E39" s="5">
        <f t="shared" si="0"/>
        <v>28.289707220082533</v>
      </c>
      <c r="F39" s="5">
        <f t="shared" si="1"/>
        <v>-1374.83547</v>
      </c>
    </row>
    <row r="40" spans="1:7" s="6" customFormat="1">
      <c r="A40" s="3">
        <v>2000000000</v>
      </c>
      <c r="B40" s="4" t="s">
        <v>19</v>
      </c>
      <c r="C40" s="340">
        <f>C41+C42+C43+C44+C48+C49</f>
        <v>5329.3069999999998</v>
      </c>
      <c r="D40" s="340">
        <f>D41+D42+D43+D44+D48+D49+D50</f>
        <v>1635.6344000000001</v>
      </c>
      <c r="E40" s="5">
        <f t="shared" si="0"/>
        <v>30.691315024636417</v>
      </c>
      <c r="F40" s="5">
        <f t="shared" si="1"/>
        <v>-3693.6725999999999</v>
      </c>
      <c r="G40" s="19"/>
    </row>
    <row r="41" spans="1:7">
      <c r="A41" s="16">
        <v>2021000000</v>
      </c>
      <c r="B41" s="17" t="s">
        <v>20</v>
      </c>
      <c r="C41" s="12">
        <v>2862</v>
      </c>
      <c r="D41" s="20">
        <v>954</v>
      </c>
      <c r="E41" s="9">
        <f t="shared" si="0"/>
        <v>33.333333333333329</v>
      </c>
      <c r="F41" s="9">
        <f t="shared" si="1"/>
        <v>-1908</v>
      </c>
    </row>
    <row r="42" spans="1:7" ht="17.25" customHeight="1">
      <c r="A42" s="16">
        <v>2021500200</v>
      </c>
      <c r="B42" s="17" t="s">
        <v>231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21</v>
      </c>
      <c r="C43" s="12">
        <v>2060.44</v>
      </c>
      <c r="D43" s="10">
        <v>396.66399999999999</v>
      </c>
      <c r="E43" s="9">
        <f t="shared" si="0"/>
        <v>19.251422026363301</v>
      </c>
      <c r="F43" s="9">
        <f t="shared" si="1"/>
        <v>-1663.7760000000001</v>
      </c>
    </row>
    <row r="44" spans="1:7" ht="18" customHeight="1">
      <c r="A44" s="16">
        <v>2023000000</v>
      </c>
      <c r="B44" s="17" t="s">
        <v>22</v>
      </c>
      <c r="C44" s="12">
        <v>182.04300000000001</v>
      </c>
      <c r="D44" s="249">
        <v>60.1464</v>
      </c>
      <c r="E44" s="9">
        <f t="shared" si="0"/>
        <v>33.039666452431568</v>
      </c>
      <c r="F44" s="9">
        <f t="shared" si="1"/>
        <v>-121.89660000000001</v>
      </c>
    </row>
    <row r="45" spans="1:7" ht="0.75" hidden="1" customHeight="1">
      <c r="A45" s="16">
        <v>2020400000</v>
      </c>
      <c r="B45" s="17" t="s">
        <v>23</v>
      </c>
      <c r="C45" s="12"/>
      <c r="D45" s="250"/>
      <c r="E45" s="9" t="e">
        <f t="shared" si="0"/>
        <v>#DIV/0!</v>
      </c>
      <c r="F45" s="9">
        <f t="shared" si="1"/>
        <v>0</v>
      </c>
    </row>
    <row r="46" spans="1:7" ht="18" hidden="1" customHeight="1">
      <c r="A46" s="16">
        <v>2020900000</v>
      </c>
      <c r="B46" s="18" t="s">
        <v>24</v>
      </c>
      <c r="C46" s="12"/>
      <c r="D46" s="250"/>
      <c r="E46" s="9" t="e">
        <f t="shared" si="0"/>
        <v>#DIV/0!</v>
      </c>
      <c r="F46" s="9">
        <f t="shared" si="1"/>
        <v>0</v>
      </c>
    </row>
    <row r="47" spans="1:7" hidden="1">
      <c r="A47" s="7">
        <v>2190500005</v>
      </c>
      <c r="B47" s="11" t="s">
        <v>25</v>
      </c>
      <c r="C47" s="14"/>
      <c r="D47" s="14"/>
      <c r="E47" s="5"/>
      <c r="F47" s="5">
        <f>SUM(D47-C47)</f>
        <v>0</v>
      </c>
    </row>
    <row r="48" spans="1:7" s="6" customFormat="1" ht="18.75" customHeight="1">
      <c r="A48" s="7">
        <v>2020400000</v>
      </c>
      <c r="B48" s="8" t="s">
        <v>23</v>
      </c>
      <c r="C48" s="12">
        <v>0</v>
      </c>
      <c r="D48" s="10">
        <v>0</v>
      </c>
      <c r="E48" s="9" t="e">
        <f t="shared" si="0"/>
        <v>#DIV/0!</v>
      </c>
      <c r="F48" s="9">
        <f t="shared" si="1"/>
        <v>0</v>
      </c>
    </row>
    <row r="49" spans="1:7" s="6" customFormat="1" ht="18.75" customHeight="1">
      <c r="A49" s="7">
        <v>2070500010</v>
      </c>
      <c r="B49" s="8" t="s">
        <v>352</v>
      </c>
      <c r="C49" s="12">
        <v>224.82400000000001</v>
      </c>
      <c r="D49" s="10">
        <v>224.82400000000001</v>
      </c>
      <c r="E49" s="9">
        <f>SUM(D49/C49*100)</f>
        <v>100</v>
      </c>
      <c r="F49" s="9">
        <f>SUM(D49-C49)</f>
        <v>0</v>
      </c>
    </row>
    <row r="50" spans="1:7" s="6" customFormat="1" ht="18.75" customHeight="1">
      <c r="A50" s="7">
        <v>2190500005</v>
      </c>
      <c r="B50" s="11" t="s">
        <v>25</v>
      </c>
      <c r="C50" s="12">
        <v>0</v>
      </c>
      <c r="D50" s="10">
        <v>0</v>
      </c>
      <c r="E50" s="9"/>
      <c r="F50" s="9"/>
    </row>
    <row r="51" spans="1:7" s="6" customFormat="1" ht="19.5" customHeight="1">
      <c r="A51" s="3"/>
      <c r="B51" s="4" t="s">
        <v>27</v>
      </c>
      <c r="C51" s="368">
        <f>C39+C40</f>
        <v>7246.5149999999994</v>
      </c>
      <c r="D51" s="368">
        <f>SUM(D39,D40,)</f>
        <v>2178.00693</v>
      </c>
      <c r="E51" s="5">
        <f t="shared" si="0"/>
        <v>30.055922467558542</v>
      </c>
      <c r="F51" s="5">
        <f>SUM(D51-C51)</f>
        <v>-5068.5080699999999</v>
      </c>
      <c r="G51" s="291"/>
    </row>
    <row r="52" spans="1:7" s="6" customFormat="1">
      <c r="A52" s="3"/>
      <c r="B52" s="21" t="s">
        <v>320</v>
      </c>
      <c r="C52" s="368">
        <f>C51-C98</f>
        <v>-288.52385000000049</v>
      </c>
      <c r="D52" s="368">
        <f>D51-D98</f>
        <v>425.14423000000011</v>
      </c>
      <c r="E52" s="22"/>
      <c r="F52" s="22"/>
    </row>
    <row r="53" spans="1:7">
      <c r="A53" s="23"/>
      <c r="B53" s="24"/>
      <c r="C53" s="248"/>
      <c r="D53" s="248"/>
      <c r="E53" s="26"/>
      <c r="F53" s="92"/>
    </row>
    <row r="54" spans="1:7" ht="60" customHeight="1">
      <c r="A54" s="28" t="s">
        <v>0</v>
      </c>
      <c r="B54" s="28" t="s">
        <v>28</v>
      </c>
      <c r="C54" s="241" t="s">
        <v>411</v>
      </c>
      <c r="D54" s="242" t="s">
        <v>419</v>
      </c>
      <c r="E54" s="72" t="s">
        <v>2</v>
      </c>
      <c r="F54" s="74" t="s">
        <v>3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29.25" customHeight="1">
      <c r="A56" s="30" t="s">
        <v>29</v>
      </c>
      <c r="B56" s="31" t="s">
        <v>30</v>
      </c>
      <c r="C56" s="32">
        <f>C57+C58+C59+C60+C61+C63+C62</f>
        <v>1357.5060000000001</v>
      </c>
      <c r="D56" s="244">
        <f>D57+D58+D59+D60+D61+D63+D62</f>
        <v>436.32247000000001</v>
      </c>
      <c r="E56" s="34">
        <f>SUM(D56/C56*100)</f>
        <v>32.141476354432321</v>
      </c>
      <c r="F56" s="34">
        <f>SUM(D56-C56)</f>
        <v>-921.18353000000002</v>
      </c>
    </row>
    <row r="57" spans="1:7" s="6" customFormat="1" ht="31.5" hidden="1">
      <c r="A57" s="35" t="s">
        <v>31</v>
      </c>
      <c r="B57" s="36" t="s">
        <v>32</v>
      </c>
      <c r="C57" s="37"/>
      <c r="D57" s="37"/>
      <c r="E57" s="38"/>
      <c r="F57" s="38"/>
    </row>
    <row r="58" spans="1:7">
      <c r="A58" s="35" t="s">
        <v>33</v>
      </c>
      <c r="B58" s="39" t="s">
        <v>34</v>
      </c>
      <c r="C58" s="37">
        <v>1348</v>
      </c>
      <c r="D58" s="37">
        <v>431.81697000000003</v>
      </c>
      <c r="E58" s="38">
        <f t="shared" ref="E58:E98" si="3">SUM(D58/C58*100)</f>
        <v>32.03389985163205</v>
      </c>
      <c r="F58" s="38">
        <f t="shared" ref="F58:F98" si="4">SUM(D58-C58)</f>
        <v>-916.18302999999992</v>
      </c>
    </row>
    <row r="59" spans="1:7" ht="0.75" hidden="1" customHeight="1">
      <c r="A59" s="35" t="s">
        <v>35</v>
      </c>
      <c r="B59" s="39" t="s">
        <v>36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37</v>
      </c>
      <c r="B60" s="39" t="s">
        <v>38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39</v>
      </c>
      <c r="B61" s="39" t="s">
        <v>40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41</v>
      </c>
      <c r="B62" s="39" t="s">
        <v>42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8.75" customHeight="1">
      <c r="A63" s="35" t="s">
        <v>43</v>
      </c>
      <c r="B63" s="39" t="s">
        <v>44</v>
      </c>
      <c r="C63" s="37">
        <v>4.5060000000000002</v>
      </c>
      <c r="D63" s="37">
        <v>4.5054999999999996</v>
      </c>
      <c r="E63" s="38">
        <f t="shared" si="3"/>
        <v>99.988903683976901</v>
      </c>
      <c r="F63" s="38">
        <f t="shared" si="4"/>
        <v>-5.0000000000061107E-4</v>
      </c>
    </row>
    <row r="64" spans="1:7" s="6" customFormat="1">
      <c r="A64" s="41" t="s">
        <v>45</v>
      </c>
      <c r="B64" s="42" t="s">
        <v>46</v>
      </c>
      <c r="C64" s="32">
        <f>C65</f>
        <v>179.892</v>
      </c>
      <c r="D64" s="32">
        <f>D65</f>
        <v>59.827770000000001</v>
      </c>
      <c r="E64" s="34">
        <f>SUM(D64/C64*100)</f>
        <v>33.25760456273764</v>
      </c>
      <c r="F64" s="34">
        <f t="shared" si="4"/>
        <v>-120.06422999999999</v>
      </c>
    </row>
    <row r="65" spans="1:7">
      <c r="A65" s="43" t="s">
        <v>47</v>
      </c>
      <c r="B65" s="44" t="s">
        <v>48</v>
      </c>
      <c r="C65" s="37">
        <v>179.892</v>
      </c>
      <c r="D65" s="37">
        <v>59.827770000000001</v>
      </c>
      <c r="E65" s="435">
        <f>SUM(D65/C65*100)</f>
        <v>33.25760456273764</v>
      </c>
      <c r="F65" s="38">
        <f t="shared" si="4"/>
        <v>-120.06422999999999</v>
      </c>
    </row>
    <row r="66" spans="1:7" s="6" customFormat="1" ht="18" customHeight="1">
      <c r="A66" s="30" t="s">
        <v>49</v>
      </c>
      <c r="B66" s="31" t="s">
        <v>50</v>
      </c>
      <c r="C66" s="32">
        <f>C69+C70+C71</f>
        <v>6</v>
      </c>
      <c r="D66" s="32">
        <f>D69+D70</f>
        <v>0</v>
      </c>
      <c r="E66" s="34">
        <f t="shared" si="3"/>
        <v>0</v>
      </c>
      <c r="F66" s="34">
        <f t="shared" si="4"/>
        <v>-6</v>
      </c>
    </row>
    <row r="67" spans="1:7" hidden="1">
      <c r="A67" s="35" t="s">
        <v>51</v>
      </c>
      <c r="B67" s="39" t="s">
        <v>52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53</v>
      </c>
      <c r="B68" s="39" t="s">
        <v>54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55</v>
      </c>
      <c r="B69" s="47" t="s">
        <v>56</v>
      </c>
      <c r="C69" s="37">
        <v>2</v>
      </c>
      <c r="D69" s="37">
        <v>0</v>
      </c>
      <c r="E69" s="34">
        <f t="shared" si="3"/>
        <v>0</v>
      </c>
      <c r="F69" s="34">
        <f t="shared" si="4"/>
        <v>-2</v>
      </c>
    </row>
    <row r="70" spans="1:7" ht="15.75" customHeight="1">
      <c r="A70" s="46" t="s">
        <v>218</v>
      </c>
      <c r="B70" s="47" t="s">
        <v>219</v>
      </c>
      <c r="C70" s="37">
        <v>2</v>
      </c>
      <c r="D70" s="37">
        <v>0</v>
      </c>
      <c r="E70" s="34">
        <f t="shared" si="3"/>
        <v>0</v>
      </c>
      <c r="F70" s="34">
        <f t="shared" si="4"/>
        <v>-2</v>
      </c>
    </row>
    <row r="71" spans="1:7" ht="15.75" customHeight="1">
      <c r="A71" s="46" t="s">
        <v>357</v>
      </c>
      <c r="B71" s="47" t="s">
        <v>414</v>
      </c>
      <c r="C71" s="37">
        <v>2</v>
      </c>
      <c r="D71" s="37"/>
      <c r="E71" s="34"/>
      <c r="F71" s="34"/>
    </row>
    <row r="72" spans="1:7" s="6" customFormat="1" ht="16.5" customHeight="1">
      <c r="A72" s="30" t="s">
        <v>57</v>
      </c>
      <c r="B72" s="31" t="s">
        <v>58</v>
      </c>
      <c r="C72" s="48">
        <f>C73+C74+C75+C76</f>
        <v>3450.3148500000002</v>
      </c>
      <c r="D72" s="48">
        <f>SUM(D73:D76)</f>
        <v>507.84730999999999</v>
      </c>
      <c r="E72" s="34">
        <f t="shared" si="3"/>
        <v>14.718868627308026</v>
      </c>
      <c r="F72" s="34">
        <f t="shared" si="4"/>
        <v>-2942.4675400000001</v>
      </c>
    </row>
    <row r="73" spans="1:7" ht="15" customHeight="1">
      <c r="A73" s="35" t="s">
        <v>59</v>
      </c>
      <c r="B73" s="39" t="s">
        <v>60</v>
      </c>
      <c r="C73" s="49">
        <v>5.3620000000000001</v>
      </c>
      <c r="D73" s="37">
        <v>1.3405</v>
      </c>
      <c r="E73" s="38">
        <f t="shared" si="3"/>
        <v>25</v>
      </c>
      <c r="F73" s="38">
        <f t="shared" si="4"/>
        <v>-4.0214999999999996</v>
      </c>
    </row>
    <row r="74" spans="1:7" s="6" customFormat="1" ht="15" customHeight="1">
      <c r="A74" s="35" t="s">
        <v>61</v>
      </c>
      <c r="B74" s="39" t="s">
        <v>62</v>
      </c>
      <c r="C74" s="49">
        <v>256</v>
      </c>
      <c r="D74" s="37">
        <v>32.950000000000003</v>
      </c>
      <c r="E74" s="38">
        <f t="shared" si="3"/>
        <v>12.871093750000002</v>
      </c>
      <c r="F74" s="38">
        <f t="shared" si="4"/>
        <v>-223.05</v>
      </c>
      <c r="G74" s="50"/>
    </row>
    <row r="75" spans="1:7">
      <c r="A75" s="35" t="s">
        <v>63</v>
      </c>
      <c r="B75" s="39" t="s">
        <v>64</v>
      </c>
      <c r="C75" s="49">
        <v>2938.9528500000001</v>
      </c>
      <c r="D75" s="37">
        <v>450.75680999999997</v>
      </c>
      <c r="E75" s="38">
        <f t="shared" si="3"/>
        <v>15.337327034695367</v>
      </c>
      <c r="F75" s="38">
        <f t="shared" si="4"/>
        <v>-2488.1960400000003</v>
      </c>
    </row>
    <row r="76" spans="1:7">
      <c r="A76" s="35" t="s">
        <v>65</v>
      </c>
      <c r="B76" s="39" t="s">
        <v>66</v>
      </c>
      <c r="C76" s="49">
        <v>250</v>
      </c>
      <c r="D76" s="37">
        <v>22.8</v>
      </c>
      <c r="E76" s="38">
        <f t="shared" si="3"/>
        <v>9.120000000000001</v>
      </c>
      <c r="F76" s="38">
        <f t="shared" si="4"/>
        <v>-227.2</v>
      </c>
    </row>
    <row r="77" spans="1:7" s="6" customFormat="1" ht="18" customHeight="1">
      <c r="A77" s="30" t="s">
        <v>67</v>
      </c>
      <c r="B77" s="31" t="s">
        <v>68</v>
      </c>
      <c r="C77" s="32">
        <f>SUM(C78:C80)</f>
        <v>492.63799999999998</v>
      </c>
      <c r="D77" s="32">
        <f>SUM(D78:D80)</f>
        <v>21.85</v>
      </c>
      <c r="E77" s="34">
        <f t="shared" si="3"/>
        <v>4.4353054372581902</v>
      </c>
      <c r="F77" s="34">
        <f t="shared" si="4"/>
        <v>-470.78799999999995</v>
      </c>
    </row>
    <row r="78" spans="1:7" ht="14.25" customHeight="1">
      <c r="A78" s="35" t="s">
        <v>69</v>
      </c>
      <c r="B78" s="51" t="s">
        <v>70</v>
      </c>
      <c r="C78" s="37">
        <v>0</v>
      </c>
      <c r="D78" s="37">
        <v>0</v>
      </c>
      <c r="E78" s="34" t="e">
        <f t="shared" si="3"/>
        <v>#DIV/0!</v>
      </c>
      <c r="F78" s="34">
        <f t="shared" si="4"/>
        <v>0</v>
      </c>
    </row>
    <row r="79" spans="1:7" ht="18.75" customHeight="1">
      <c r="A79" s="35" t="s">
        <v>71</v>
      </c>
      <c r="B79" s="51" t="s">
        <v>72</v>
      </c>
      <c r="C79" s="37">
        <v>0</v>
      </c>
      <c r="D79" s="37">
        <v>0</v>
      </c>
      <c r="E79" s="34" t="e">
        <f t="shared" si="3"/>
        <v>#DIV/0!</v>
      </c>
      <c r="F79" s="34">
        <f t="shared" si="4"/>
        <v>0</v>
      </c>
    </row>
    <row r="80" spans="1:7">
      <c r="A80" s="35" t="s">
        <v>73</v>
      </c>
      <c r="B80" s="39" t="s">
        <v>74</v>
      </c>
      <c r="C80" s="37">
        <v>492.63799999999998</v>
      </c>
      <c r="D80" s="37">
        <v>21.85</v>
      </c>
      <c r="E80" s="38">
        <f t="shared" si="3"/>
        <v>4.4353054372581902</v>
      </c>
      <c r="F80" s="38">
        <f t="shared" si="4"/>
        <v>-470.78799999999995</v>
      </c>
    </row>
    <row r="81" spans="1:6" s="6" customFormat="1">
      <c r="A81" s="30" t="s">
        <v>85</v>
      </c>
      <c r="B81" s="31" t="s">
        <v>86</v>
      </c>
      <c r="C81" s="32">
        <f>C82</f>
        <v>2028.6880000000001</v>
      </c>
      <c r="D81" s="32">
        <f>D82</f>
        <v>725.41615000000002</v>
      </c>
      <c r="E81" s="34">
        <f>SUM(D81/C81*100)</f>
        <v>35.757896236385292</v>
      </c>
      <c r="F81" s="34">
        <f t="shared" si="4"/>
        <v>-1303.2718500000001</v>
      </c>
    </row>
    <row r="82" spans="1:6" ht="15.75" customHeight="1">
      <c r="A82" s="35" t="s">
        <v>87</v>
      </c>
      <c r="B82" s="39" t="s">
        <v>233</v>
      </c>
      <c r="C82" s="37">
        <v>2028.6880000000001</v>
      </c>
      <c r="D82" s="37">
        <v>725.41615000000002</v>
      </c>
      <c r="E82" s="38">
        <f>SUM(D82/C82*100)</f>
        <v>35.757896236385292</v>
      </c>
      <c r="F82" s="38">
        <f t="shared" si="4"/>
        <v>-1303.2718500000001</v>
      </c>
    </row>
    <row r="83" spans="1:6" s="6" customFormat="1" ht="1.5" hidden="1" customHeight="1">
      <c r="A83" s="52">
        <v>1000</v>
      </c>
      <c r="B83" s="31" t="s">
        <v>88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7.25" hidden="1" customHeight="1">
      <c r="A84" s="53">
        <v>1001</v>
      </c>
      <c r="B84" s="54" t="s">
        <v>89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90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7.25" hidden="1" customHeight="1">
      <c r="A86" s="53">
        <v>1004</v>
      </c>
      <c r="B86" s="54" t="s">
        <v>91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7.25" customHeight="1">
      <c r="A87" s="35" t="s">
        <v>92</v>
      </c>
      <c r="B87" s="39" t="s">
        <v>93</v>
      </c>
      <c r="C87" s="37">
        <v>0</v>
      </c>
      <c r="D87" s="37">
        <v>0</v>
      </c>
      <c r="E87" s="38"/>
      <c r="F87" s="38">
        <f t="shared" si="4"/>
        <v>0</v>
      </c>
    </row>
    <row r="88" spans="1:6">
      <c r="A88" s="30" t="s">
        <v>94</v>
      </c>
      <c r="B88" s="31" t="s">
        <v>95</v>
      </c>
      <c r="C88" s="32">
        <f>C89+C90+C91+C92+C93</f>
        <v>20</v>
      </c>
      <c r="D88" s="32">
        <f>D89+D90+D91+D92+D93</f>
        <v>1.599</v>
      </c>
      <c r="E88" s="38">
        <f t="shared" si="3"/>
        <v>7.9949999999999992</v>
      </c>
      <c r="F88" s="22">
        <f>F89+F90+F91+F92+F93</f>
        <v>-18.401</v>
      </c>
    </row>
    <row r="89" spans="1:6" ht="18.75" customHeight="1">
      <c r="A89" s="35" t="s">
        <v>96</v>
      </c>
      <c r="B89" s="39" t="s">
        <v>97</v>
      </c>
      <c r="C89" s="37">
        <v>20</v>
      </c>
      <c r="D89" s="37">
        <v>1.599</v>
      </c>
      <c r="E89" s="38">
        <f t="shared" si="3"/>
        <v>7.9949999999999992</v>
      </c>
      <c r="F89" s="38">
        <f>SUM(D89-C89)</f>
        <v>-18.401</v>
      </c>
    </row>
    <row r="90" spans="1:6" ht="15.75" hidden="1" customHeight="1">
      <c r="A90" s="35" t="s">
        <v>98</v>
      </c>
      <c r="B90" s="39" t="s">
        <v>99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.75" hidden="1" customHeight="1">
      <c r="A91" s="35" t="s">
        <v>100</v>
      </c>
      <c r="B91" s="39" t="s">
        <v>101</v>
      </c>
      <c r="C91" s="37"/>
      <c r="D91" s="37"/>
      <c r="E91" s="38" t="e">
        <f t="shared" si="3"/>
        <v>#DIV/0!</v>
      </c>
      <c r="F91" s="38"/>
    </row>
    <row r="92" spans="1:6" ht="15.75" hidden="1" customHeight="1">
      <c r="A92" s="35" t="s">
        <v>102</v>
      </c>
      <c r="B92" s="39" t="s">
        <v>103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104</v>
      </c>
      <c r="B93" s="39" t="s">
        <v>105</v>
      </c>
      <c r="C93" s="37"/>
      <c r="D93" s="37"/>
      <c r="E93" s="38" t="e">
        <f t="shared" si="3"/>
        <v>#DIV/0!</v>
      </c>
      <c r="F93" s="38"/>
    </row>
    <row r="94" spans="1:6" s="6" customFormat="1" ht="16.5" hidden="1" customHeight="1">
      <c r="A94" s="52">
        <v>1400</v>
      </c>
      <c r="B94" s="56" t="s">
        <v>114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0.75" hidden="1" customHeight="1">
      <c r="A95" s="53">
        <v>1401</v>
      </c>
      <c r="B95" s="54" t="s">
        <v>115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9.5" hidden="1" customHeight="1">
      <c r="A96" s="53">
        <v>1402</v>
      </c>
      <c r="B96" s="54" t="s">
        <v>116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7" ht="18" hidden="1" customHeight="1">
      <c r="A97" s="53">
        <v>1403</v>
      </c>
      <c r="B97" s="54" t="s">
        <v>117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5.75" customHeight="1">
      <c r="A98" s="52"/>
      <c r="B98" s="57" t="s">
        <v>118</v>
      </c>
      <c r="C98" s="371">
        <f>C56+C64+C66+C72+C77+C81+C83+C88+C94</f>
        <v>7535.0388499999999</v>
      </c>
      <c r="D98" s="371">
        <f>D56+D64+D66+D72+D77+D81+D83+D88+D94</f>
        <v>1752.8626999999999</v>
      </c>
      <c r="E98" s="34">
        <f t="shared" si="3"/>
        <v>23.262822327717657</v>
      </c>
      <c r="F98" s="34">
        <f t="shared" si="4"/>
        <v>-5782.1761500000002</v>
      </c>
      <c r="G98" s="291"/>
    </row>
    <row r="99" spans="1:7" ht="0.75" customHeight="1">
      <c r="C99" s="126"/>
      <c r="D99" s="101"/>
    </row>
    <row r="100" spans="1:7" s="65" customFormat="1" ht="16.5" customHeight="1">
      <c r="A100" s="63" t="s">
        <v>119</v>
      </c>
      <c r="B100" s="63"/>
      <c r="C100" s="247"/>
      <c r="D100" s="247"/>
    </row>
    <row r="101" spans="1:7" s="65" customFormat="1" ht="20.25" customHeight="1">
      <c r="A101" s="66" t="s">
        <v>120</v>
      </c>
      <c r="B101" s="66"/>
      <c r="C101" s="65" t="s">
        <v>121</v>
      </c>
    </row>
    <row r="102" spans="1:7" ht="13.5" customHeight="1">
      <c r="C102" s="120"/>
    </row>
    <row r="103" spans="1:7" ht="5.25" customHeight="1"/>
  </sheetData>
  <customSheetViews>
    <customSheetView guid="{5BFCA170-DEAE-4D2C-98A0-1E68B427AC01}" showPageBreaks="1" hiddenRows="1" topLeftCell="A10">
      <selection activeCell="C35" sqref="C35"/>
      <pageMargins left="0.7" right="0.7" top="0.75" bottom="0.75" header="0.3" footer="0.3"/>
      <pageSetup paperSize="9" scale="49" orientation="portrait" r:id="rId1"/>
    </customSheetView>
    <customSheetView guid="{B30CE22D-C12F-4E12-8BB9-3AAE0A6991CC}" scale="70" showPageBreaks="1" hiddenRows="1" view="pageBreakPreview">
      <selection activeCell="D87" sqref="D87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1A52382B-3765-4E8C-903F-6B8919B7242E}" scale="70" showPageBreaks="1" hiddenRows="1" view="pageBreakPreview" topLeftCell="A44">
      <selection activeCell="G99" sqref="G99"/>
      <pageMargins left="0.7" right="0.7" top="0.75" bottom="0.75" header="0.3" footer="0.3"/>
      <pageSetup paperSize="9" scale="49" orientation="portrait" r:id="rId3"/>
    </customSheetView>
    <customSheetView guid="{A54C432C-6C68-4B53-A75C-446EB3A61B2B}" scale="70" showPageBreaks="1" hiddenRows="1" view="pageBreakPreview" topLeftCell="A70">
      <selection activeCell="B88" sqref="B88"/>
      <pageMargins left="0.70866141732283472" right="0.70866141732283472" top="0.74803149606299213" bottom="0.74803149606299213" header="0.31496062992125984" footer="0.31496062992125984"/>
      <pageSetup paperSize="9" scale="64" orientation="portrait" r:id="rId4"/>
    </customSheetView>
    <customSheetView guid="{3DCB9AAA-F09C-4EA6-B992-F93E466D374A}" hiddenRows="1" topLeftCell="A38">
      <selection activeCell="B100" sqref="B100"/>
      <pageMargins left="0.7" right="0.7" top="0.75" bottom="0.75" header="0.3" footer="0.3"/>
      <pageSetup paperSize="9" scale="49" orientation="portrait" r:id="rId5"/>
    </customSheetView>
    <customSheetView guid="{1718F1EE-9F48-4DBE-9531-3B70F9C4A5DD}" scale="70" showPageBreaks="1" hiddenRows="1" view="pageBreakPreview" topLeftCell="A44">
      <selection activeCell="D87" sqref="D87"/>
      <pageMargins left="0.7" right="0.7" top="0.75" bottom="0.75" header="0.3" footer="0.3"/>
      <pageSetup paperSize="9" scale="40" orientation="portrait" r:id="rId6"/>
    </customSheetView>
    <customSheetView guid="{42584DC0-1D41-4C93-9B38-C388E7B8DAC4}" scale="70" showPageBreaks="1" hiddenRows="1" view="pageBreakPreview" topLeftCell="C58">
      <selection activeCell="G98" sqref="G98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B31C8DB7-3E78-4144-A6B5-8DE36DE63F0E}" hiddenRows="1" topLeftCell="A26">
      <selection activeCell="D49" sqref="D49"/>
      <pageMargins left="0.7" right="0.7" top="0.75" bottom="0.75" header="0.3" footer="0.3"/>
      <pageSetup paperSize="9" scale="49" orientation="portrait" r:id="rId8"/>
    </customSheetView>
    <customSheetView guid="{61528DAC-5C4C-48F4-ADE2-8A724B05A086}" scale="70" showPageBreaks="1" hiddenRows="1" view="pageBreakPreview" topLeftCell="A28">
      <selection activeCell="D89" sqref="D89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49" orientation="portrait" r:id="rId1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H104"/>
  <sheetViews>
    <sheetView topLeftCell="A20" zoomScaleNormal="100" zoomScaleSheetLayoutView="70" workbookViewId="0">
      <selection activeCell="C42" sqref="C42"/>
    </sheetView>
  </sheetViews>
  <sheetFormatPr defaultRowHeight="15.75"/>
  <cols>
    <col min="1" max="1" width="14.7109375" style="58" customWidth="1"/>
    <col min="2" max="2" width="57.5703125" style="59" customWidth="1"/>
    <col min="3" max="3" width="17.28515625" style="62" customWidth="1"/>
    <col min="4" max="4" width="16.5703125" style="62" customWidth="1"/>
    <col min="5" max="5" width="10.28515625" style="62" customWidth="1"/>
    <col min="6" max="6" width="12.140625" style="62" customWidth="1"/>
    <col min="7" max="7" width="15.42578125" style="1" bestFit="1" customWidth="1"/>
    <col min="8" max="8" width="12" style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30" t="s">
        <v>435</v>
      </c>
      <c r="B1" s="530"/>
      <c r="C1" s="530"/>
      <c r="D1" s="530"/>
      <c r="E1" s="530"/>
      <c r="F1" s="530"/>
    </row>
    <row r="2" spans="1:6">
      <c r="A2" s="530"/>
      <c r="B2" s="530"/>
      <c r="C2" s="530"/>
      <c r="D2" s="530"/>
      <c r="E2" s="530"/>
      <c r="F2" s="530"/>
    </row>
    <row r="3" spans="1:6" ht="63">
      <c r="A3" s="2" t="s">
        <v>0</v>
      </c>
      <c r="B3" s="2" t="s">
        <v>1</v>
      </c>
      <c r="C3" s="72" t="s">
        <v>411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1489.3039999999999</v>
      </c>
      <c r="D4" s="5">
        <f>D5+D12+D14+D17+D20+D7</f>
        <v>283.62588</v>
      </c>
      <c r="E4" s="5">
        <f>SUM(D4/C4*100)</f>
        <v>19.044189769180772</v>
      </c>
      <c r="F4" s="5">
        <f>SUM(D4-C4)</f>
        <v>-1205.6781199999998</v>
      </c>
    </row>
    <row r="5" spans="1:6" s="6" customFormat="1">
      <c r="A5" s="68">
        <v>1010000000</v>
      </c>
      <c r="B5" s="67" t="s">
        <v>5</v>
      </c>
      <c r="C5" s="5">
        <f>C6</f>
        <v>105.069</v>
      </c>
      <c r="D5" s="5">
        <f>D6</f>
        <v>33.860190000000003</v>
      </c>
      <c r="E5" s="5">
        <f t="shared" ref="E5:E51" si="0">SUM(D5/C5*100)</f>
        <v>32.226622505210862</v>
      </c>
      <c r="F5" s="5">
        <f t="shared" ref="F5:F51" si="1">SUM(D5-C5)</f>
        <v>-71.20881</v>
      </c>
    </row>
    <row r="6" spans="1:6">
      <c r="A6" s="7">
        <v>1010200001</v>
      </c>
      <c r="B6" s="8" t="s">
        <v>228</v>
      </c>
      <c r="C6" s="9">
        <v>105.069</v>
      </c>
      <c r="D6" s="10">
        <v>33.860190000000003</v>
      </c>
      <c r="E6" s="9">
        <f t="shared" ref="E6:E11" si="2">SUM(D6/C6*100)</f>
        <v>32.226622505210862</v>
      </c>
      <c r="F6" s="9">
        <f t="shared" si="1"/>
        <v>-71.20881</v>
      </c>
    </row>
    <row r="7" spans="1:6" ht="31.5">
      <c r="A7" s="3">
        <v>1030000000</v>
      </c>
      <c r="B7" s="13" t="s">
        <v>280</v>
      </c>
      <c r="C7" s="5">
        <f>C8+C10+C9</f>
        <v>726.2349999999999</v>
      </c>
      <c r="D7" s="5">
        <f>D8+D10+D9+D11</f>
        <v>280.52787000000001</v>
      </c>
      <c r="E7" s="5">
        <f t="shared" si="2"/>
        <v>38.627699023043512</v>
      </c>
      <c r="F7" s="5">
        <f t="shared" si="1"/>
        <v>-445.70712999999989</v>
      </c>
    </row>
    <row r="8" spans="1:6">
      <c r="A8" s="7">
        <v>1030223001</v>
      </c>
      <c r="B8" s="8" t="s">
        <v>282</v>
      </c>
      <c r="C8" s="9">
        <v>270.89</v>
      </c>
      <c r="D8" s="10">
        <v>126.24697</v>
      </c>
      <c r="E8" s="9">
        <f t="shared" si="2"/>
        <v>46.604514747683567</v>
      </c>
      <c r="F8" s="9">
        <f t="shared" si="1"/>
        <v>-144.64302999999998</v>
      </c>
    </row>
    <row r="9" spans="1:6">
      <c r="A9" s="7">
        <v>1030224001</v>
      </c>
      <c r="B9" s="8" t="s">
        <v>288</v>
      </c>
      <c r="C9" s="9">
        <v>2.9049999999999998</v>
      </c>
      <c r="D9" s="10">
        <v>0.92152999999999996</v>
      </c>
      <c r="E9" s="9">
        <f>SUM(D9/C9*100)</f>
        <v>31.722203098106718</v>
      </c>
      <c r="F9" s="9">
        <f t="shared" si="1"/>
        <v>-1.9834699999999998</v>
      </c>
    </row>
    <row r="10" spans="1:6">
      <c r="A10" s="7">
        <v>1030225001</v>
      </c>
      <c r="B10" s="8" t="s">
        <v>281</v>
      </c>
      <c r="C10" s="9">
        <v>452.44</v>
      </c>
      <c r="D10" s="10">
        <v>179.45428000000001</v>
      </c>
      <c r="E10" s="9">
        <f t="shared" si="2"/>
        <v>39.66366369021307</v>
      </c>
      <c r="F10" s="9">
        <f t="shared" si="1"/>
        <v>-272.98572000000001</v>
      </c>
    </row>
    <row r="11" spans="1:6">
      <c r="A11" s="7">
        <v>1030226001</v>
      </c>
      <c r="B11" s="8" t="s">
        <v>290</v>
      </c>
      <c r="C11" s="9">
        <v>0</v>
      </c>
      <c r="D11" s="10">
        <v>-26.094909999999999</v>
      </c>
      <c r="E11" s="9" t="e">
        <f t="shared" si="2"/>
        <v>#DIV/0!</v>
      </c>
      <c r="F11" s="9">
        <f t="shared" si="1"/>
        <v>-26.094909999999999</v>
      </c>
    </row>
    <row r="12" spans="1:6" s="6" customFormat="1">
      <c r="A12" s="68">
        <v>1050000000</v>
      </c>
      <c r="B12" s="67" t="s">
        <v>6</v>
      </c>
      <c r="C12" s="5">
        <f>SUM(C13:C13)</f>
        <v>25</v>
      </c>
      <c r="D12" s="5">
        <f>SUM(D13:D13)</f>
        <v>52.619700000000002</v>
      </c>
      <c r="E12" s="5">
        <f t="shared" si="0"/>
        <v>210.47880000000001</v>
      </c>
      <c r="F12" s="5">
        <f t="shared" si="1"/>
        <v>27.619700000000002</v>
      </c>
    </row>
    <row r="13" spans="1:6" ht="15.75" customHeight="1">
      <c r="A13" s="7">
        <v>1050300000</v>
      </c>
      <c r="B13" s="11" t="s">
        <v>229</v>
      </c>
      <c r="C13" s="12">
        <v>25</v>
      </c>
      <c r="D13" s="10">
        <v>52.619700000000002</v>
      </c>
      <c r="E13" s="9">
        <f t="shared" si="0"/>
        <v>210.47880000000001</v>
      </c>
      <c r="F13" s="9">
        <f t="shared" si="1"/>
        <v>27.619700000000002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623</v>
      </c>
      <c r="D14" s="5">
        <f>D15+D16</f>
        <v>-87.281880000000001</v>
      </c>
      <c r="E14" s="5">
        <f t="shared" si="0"/>
        <v>-14.009932584269663</v>
      </c>
      <c r="F14" s="5">
        <f t="shared" si="1"/>
        <v>-710.28188</v>
      </c>
    </row>
    <row r="15" spans="1:6" s="6" customFormat="1" ht="15.75" customHeight="1">
      <c r="A15" s="7">
        <v>1060100000</v>
      </c>
      <c r="B15" s="11" t="s">
        <v>8</v>
      </c>
      <c r="C15" s="9">
        <v>153</v>
      </c>
      <c r="D15" s="10">
        <v>6.4527599999999996</v>
      </c>
      <c r="E15" s="9">
        <f t="shared" si="0"/>
        <v>4.2174901960784315</v>
      </c>
      <c r="F15" s="9">
        <f>SUM(D15-C15)</f>
        <v>-146.54723999999999</v>
      </c>
    </row>
    <row r="16" spans="1:6" ht="15.75" customHeight="1">
      <c r="A16" s="7">
        <v>1060600000</v>
      </c>
      <c r="B16" s="11" t="s">
        <v>7</v>
      </c>
      <c r="C16" s="9">
        <v>470</v>
      </c>
      <c r="D16" s="10">
        <v>-93.734639999999999</v>
      </c>
      <c r="E16" s="9">
        <f t="shared" si="0"/>
        <v>-19.943540425531914</v>
      </c>
      <c r="F16" s="9">
        <f t="shared" si="1"/>
        <v>-563.73464000000001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3.9</v>
      </c>
      <c r="E17" s="5">
        <f t="shared" si="0"/>
        <v>39</v>
      </c>
      <c r="F17" s="5">
        <f t="shared" si="1"/>
        <v>-6.1</v>
      </c>
    </row>
    <row r="18" spans="1:6" ht="17.25" customHeight="1">
      <c r="A18" s="7">
        <v>1080400001</v>
      </c>
      <c r="B18" s="8" t="s">
        <v>227</v>
      </c>
      <c r="C18" s="9">
        <v>10</v>
      </c>
      <c r="D18" s="10">
        <v>3.9</v>
      </c>
      <c r="E18" s="9">
        <f t="shared" si="0"/>
        <v>39</v>
      </c>
      <c r="F18" s="9">
        <f t="shared" si="1"/>
        <v>-6.1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3.75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2.5" customHeight="1">
      <c r="A21" s="7">
        <v>1090100000</v>
      </c>
      <c r="B21" s="8" t="s">
        <v>124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29.25" customHeight="1">
      <c r="A22" s="7">
        <v>1090400000</v>
      </c>
      <c r="B22" s="8" t="s">
        <v>232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6.25" customHeight="1">
      <c r="A23" s="7">
        <v>1090600000</v>
      </c>
      <c r="B23" s="8" t="s">
        <v>126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18" customHeight="1">
      <c r="A24" s="7">
        <v>1090700000</v>
      </c>
      <c r="B24" s="8" t="s">
        <v>353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C26+C29+C32+C37</f>
        <v>350</v>
      </c>
      <c r="D25" s="5">
        <f>D26+D29+D32+D37+D35</f>
        <v>240.69069999999999</v>
      </c>
      <c r="E25" s="5">
        <f t="shared" si="0"/>
        <v>68.768771428571426</v>
      </c>
      <c r="F25" s="5">
        <f t="shared" si="1"/>
        <v>-109.30930000000001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350</v>
      </c>
      <c r="D26" s="5">
        <f>D27+D28</f>
        <v>223.57521</v>
      </c>
      <c r="E26" s="5">
        <f t="shared" si="0"/>
        <v>63.878631428571431</v>
      </c>
      <c r="F26" s="5">
        <f t="shared" si="1"/>
        <v>-126.42479</v>
      </c>
    </row>
    <row r="27" spans="1:6">
      <c r="A27" s="16">
        <v>1110502510</v>
      </c>
      <c r="B27" s="17" t="s">
        <v>225</v>
      </c>
      <c r="C27" s="12">
        <v>300</v>
      </c>
      <c r="D27" s="10">
        <v>203.77209999999999</v>
      </c>
      <c r="E27" s="9">
        <f t="shared" si="0"/>
        <v>67.924033333333327</v>
      </c>
      <c r="F27" s="9">
        <f t="shared" si="1"/>
        <v>-96.227900000000005</v>
      </c>
    </row>
    <row r="28" spans="1:6" ht="18" customHeight="1">
      <c r="A28" s="7">
        <v>1110503505</v>
      </c>
      <c r="B28" s="11" t="s">
        <v>224</v>
      </c>
      <c r="C28" s="12">
        <v>50</v>
      </c>
      <c r="D28" s="10">
        <v>19.80311</v>
      </c>
      <c r="E28" s="9">
        <f t="shared" si="0"/>
        <v>39.60622</v>
      </c>
      <c r="F28" s="9">
        <f t="shared" si="1"/>
        <v>-30.19689</v>
      </c>
    </row>
    <row r="29" spans="1:6" s="15" customFormat="1" ht="18" customHeight="1">
      <c r="A29" s="68">
        <v>1130000000</v>
      </c>
      <c r="B29" s="69" t="s">
        <v>130</v>
      </c>
      <c r="C29" s="5">
        <f>C30+C31</f>
        <v>0</v>
      </c>
      <c r="D29" s="5">
        <f>D30+D31</f>
        <v>17.115490000000001</v>
      </c>
      <c r="E29" s="5" t="e">
        <f t="shared" si="0"/>
        <v>#DIV/0!</v>
      </c>
      <c r="F29" s="5">
        <f t="shared" si="1"/>
        <v>17.115490000000001</v>
      </c>
    </row>
    <row r="30" spans="1:6" ht="15.75" customHeight="1">
      <c r="A30" s="7">
        <v>1130206510</v>
      </c>
      <c r="B30" s="8" t="s">
        <v>337</v>
      </c>
      <c r="C30" s="9">
        <v>0</v>
      </c>
      <c r="D30" s="318">
        <v>17.115490000000001</v>
      </c>
      <c r="E30" s="9" t="e">
        <f t="shared" si="0"/>
        <v>#DIV/0!</v>
      </c>
      <c r="F30" s="9">
        <f t="shared" si="1"/>
        <v>17.115490000000001</v>
      </c>
    </row>
    <row r="31" spans="1:6" ht="17.25" customHeight="1">
      <c r="A31" s="7">
        <v>1130299510</v>
      </c>
      <c r="B31" s="8" t="s">
        <v>354</v>
      </c>
      <c r="C31" s="9">
        <v>0</v>
      </c>
      <c r="D31" s="318">
        <v>0</v>
      </c>
      <c r="E31" s="9" t="e">
        <f>SUM(D31/C31*100)</f>
        <v>#DIV/0!</v>
      </c>
      <c r="F31" s="9">
        <f>SUM(D31-C31)</f>
        <v>0</v>
      </c>
    </row>
    <row r="32" spans="1:6" ht="18" customHeight="1">
      <c r="A32" s="70">
        <v>1140000000</v>
      </c>
      <c r="B32" s="71" t="s">
        <v>131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18" customHeight="1">
      <c r="A33" s="16">
        <v>1140200000</v>
      </c>
      <c r="B33" s="18" t="s">
        <v>132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21.75" customHeight="1">
      <c r="A34" s="7">
        <v>1140600000</v>
      </c>
      <c r="B34" s="8" t="s">
        <v>222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>
      <c r="A35" s="3">
        <v>1160000000</v>
      </c>
      <c r="B35" s="13" t="s">
        <v>251</v>
      </c>
      <c r="C35" s="14">
        <f>C36</f>
        <v>0</v>
      </c>
      <c r="D35" s="14">
        <f>D36</f>
        <v>0</v>
      </c>
      <c r="E35" s="5" t="e">
        <f>SUM(D35/C35*100)</f>
        <v>#DIV/0!</v>
      </c>
      <c r="F35" s="5">
        <f>SUM(D35-C35)</f>
        <v>0</v>
      </c>
    </row>
    <row r="36" spans="1:7" ht="47.25">
      <c r="A36" s="7">
        <v>1163305010</v>
      </c>
      <c r="B36" s="8" t="s">
        <v>267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 ht="15.75" customHeight="1">
      <c r="A37" s="3"/>
      <c r="B37" s="13" t="s">
        <v>134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6.5" customHeight="1">
      <c r="A38" s="7">
        <v>1170105005</v>
      </c>
      <c r="B38" s="8" t="s">
        <v>17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6.5" customHeight="1">
      <c r="A39" s="7">
        <v>1170505005</v>
      </c>
      <c r="B39" s="11" t="s">
        <v>220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18</v>
      </c>
      <c r="C40" s="127">
        <f>SUM(C4,C25)</f>
        <v>1839.3039999999999</v>
      </c>
      <c r="D40" s="127">
        <f>D4+D25</f>
        <v>524.31657999999993</v>
      </c>
      <c r="E40" s="5">
        <f t="shared" si="0"/>
        <v>28.506249102921537</v>
      </c>
      <c r="F40" s="5">
        <f t="shared" si="1"/>
        <v>-1314.9874199999999</v>
      </c>
    </row>
    <row r="41" spans="1:7" s="6" customFormat="1">
      <c r="A41" s="3">
        <v>2000000000</v>
      </c>
      <c r="B41" s="4" t="s">
        <v>19</v>
      </c>
      <c r="C41" s="340">
        <f>C42+C43+C44+C45+C46+C48</f>
        <v>5822.9954299999999</v>
      </c>
      <c r="D41" s="340">
        <f>D42+D43+D44+D45+D46+D48+D49</f>
        <v>947.19099999999992</v>
      </c>
      <c r="E41" s="5">
        <f t="shared" si="0"/>
        <v>16.266387487101287</v>
      </c>
      <c r="F41" s="5">
        <f t="shared" si="1"/>
        <v>-4875.8044300000001</v>
      </c>
      <c r="G41" s="19"/>
    </row>
    <row r="42" spans="1:7">
      <c r="A42" s="16">
        <v>2021000000</v>
      </c>
      <c r="B42" s="17" t="s">
        <v>20</v>
      </c>
      <c r="C42" s="99">
        <v>1424.6</v>
      </c>
      <c r="D42" s="99">
        <v>474.86799999999999</v>
      </c>
      <c r="E42" s="9">
        <f t="shared" si="0"/>
        <v>33.33342692685666</v>
      </c>
      <c r="F42" s="9">
        <f t="shared" si="1"/>
        <v>-949.73199999999997</v>
      </c>
    </row>
    <row r="43" spans="1:7" ht="15.75" customHeight="1">
      <c r="A43" s="16">
        <v>2021500200</v>
      </c>
      <c r="B43" s="17" t="s">
        <v>231</v>
      </c>
      <c r="C43" s="99">
        <v>260</v>
      </c>
      <c r="D43" s="20">
        <v>130</v>
      </c>
      <c r="E43" s="9">
        <f>SUM(D43/C43*100)</f>
        <v>50</v>
      </c>
      <c r="F43" s="9">
        <f>SUM(D43-C43)</f>
        <v>-130</v>
      </c>
    </row>
    <row r="44" spans="1:7">
      <c r="A44" s="16">
        <v>2022000000</v>
      </c>
      <c r="B44" s="17" t="s">
        <v>21</v>
      </c>
      <c r="C44" s="99">
        <v>3448.5478199999998</v>
      </c>
      <c r="D44" s="10">
        <v>282.774</v>
      </c>
      <c r="E44" s="9">
        <f t="shared" si="0"/>
        <v>8.1997992998687774</v>
      </c>
      <c r="F44" s="9">
        <f t="shared" si="1"/>
        <v>-3165.7738199999999</v>
      </c>
    </row>
    <row r="45" spans="1:7" ht="18" customHeight="1">
      <c r="A45" s="16">
        <v>2023000000</v>
      </c>
      <c r="B45" s="17" t="s">
        <v>22</v>
      </c>
      <c r="C45" s="12">
        <v>181.68199999999999</v>
      </c>
      <c r="D45" s="249">
        <v>59.548999999999999</v>
      </c>
      <c r="E45" s="9">
        <f t="shared" si="0"/>
        <v>32.776499598199052</v>
      </c>
      <c r="F45" s="9">
        <f t="shared" si="1"/>
        <v>-122.13299999999998</v>
      </c>
    </row>
    <row r="46" spans="1:7" ht="22.5" customHeight="1">
      <c r="A46" s="16">
        <v>2020400000</v>
      </c>
      <c r="B46" s="17" t="s">
        <v>23</v>
      </c>
      <c r="C46" s="12">
        <v>0</v>
      </c>
      <c r="D46" s="250">
        <v>0</v>
      </c>
      <c r="E46" s="9" t="e">
        <f t="shared" si="0"/>
        <v>#DIV/0!</v>
      </c>
      <c r="F46" s="9">
        <f t="shared" si="1"/>
        <v>0</v>
      </c>
    </row>
    <row r="47" spans="1:7" ht="32.25" customHeight="1">
      <c r="A47" s="16">
        <v>2020900000</v>
      </c>
      <c r="B47" s="18" t="s">
        <v>24</v>
      </c>
      <c r="C47" s="12">
        <v>0</v>
      </c>
      <c r="D47" s="250">
        <v>0</v>
      </c>
      <c r="E47" s="9" t="e">
        <f t="shared" si="0"/>
        <v>#DIV/0!</v>
      </c>
      <c r="F47" s="9">
        <f t="shared" si="1"/>
        <v>0</v>
      </c>
    </row>
    <row r="48" spans="1:7" ht="19.5" customHeight="1">
      <c r="A48" s="16">
        <v>2070500010</v>
      </c>
      <c r="B48" s="8" t="s">
        <v>352</v>
      </c>
      <c r="C48" s="12">
        <v>508.16561000000002</v>
      </c>
      <c r="D48" s="250">
        <v>0</v>
      </c>
      <c r="E48" s="9">
        <f t="shared" si="0"/>
        <v>0</v>
      </c>
      <c r="F48" s="9">
        <f t="shared" si="1"/>
        <v>-508.16561000000002</v>
      </c>
    </row>
    <row r="49" spans="1:8" ht="19.5" customHeight="1">
      <c r="A49" s="7">
        <v>2190500005</v>
      </c>
      <c r="B49" s="11" t="s">
        <v>25</v>
      </c>
      <c r="C49" s="12">
        <v>0</v>
      </c>
      <c r="D49" s="250">
        <v>0</v>
      </c>
      <c r="E49" s="9" t="e">
        <f t="shared" si="0"/>
        <v>#DIV/0!</v>
      </c>
      <c r="F49" s="9">
        <f t="shared" si="1"/>
        <v>0</v>
      </c>
    </row>
    <row r="50" spans="1:8" s="6" customFormat="1" ht="0.75" hidden="1" customHeight="1">
      <c r="A50" s="3">
        <v>3000000000</v>
      </c>
      <c r="B50" s="13" t="s">
        <v>26</v>
      </c>
      <c r="C50" s="275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8" s="6" customFormat="1" ht="19.5" customHeight="1">
      <c r="A51" s="3"/>
      <c r="B51" s="4" t="s">
        <v>27</v>
      </c>
      <c r="C51" s="368">
        <f>C40+C41</f>
        <v>7662.29943</v>
      </c>
      <c r="D51" s="368">
        <f>D40+D41</f>
        <v>1471.50758</v>
      </c>
      <c r="E51" s="93">
        <f t="shared" si="0"/>
        <v>19.204516783025273</v>
      </c>
      <c r="F51" s="93">
        <f t="shared" si="1"/>
        <v>-6190.7918499999996</v>
      </c>
      <c r="G51" s="291">
        <f>7662.29943-C51</f>
        <v>0</v>
      </c>
      <c r="H51" s="291">
        <f>1130.4405-D51</f>
        <v>-341.06708000000003</v>
      </c>
    </row>
    <row r="52" spans="1:8" s="6" customFormat="1">
      <c r="A52" s="3"/>
      <c r="B52" s="21" t="s">
        <v>320</v>
      </c>
      <c r="C52" s="93">
        <f>C51-C99</f>
        <v>-434.22364000000107</v>
      </c>
      <c r="D52" s="93">
        <f>D51-D99</f>
        <v>253.69538999999986</v>
      </c>
      <c r="E52" s="279"/>
      <c r="F52" s="279"/>
    </row>
    <row r="53" spans="1:8">
      <c r="A53" s="23"/>
      <c r="B53" s="24"/>
      <c r="C53" s="248"/>
      <c r="D53" s="248"/>
      <c r="E53" s="26"/>
      <c r="F53" s="27"/>
    </row>
    <row r="54" spans="1:8" ht="45" customHeight="1">
      <c r="A54" s="28" t="s">
        <v>0</v>
      </c>
      <c r="B54" s="28" t="s">
        <v>28</v>
      </c>
      <c r="C54" s="241" t="s">
        <v>411</v>
      </c>
      <c r="D54" s="242" t="s">
        <v>419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18" customHeight="1">
      <c r="A56" s="30" t="s">
        <v>29</v>
      </c>
      <c r="B56" s="31" t="s">
        <v>30</v>
      </c>
      <c r="C56" s="32">
        <f>C57+C58+C59+C60+C61+C63+C62</f>
        <v>1089.4089999999999</v>
      </c>
      <c r="D56" s="33">
        <f>D57+D58+D59+D60+D61+D63+D62</f>
        <v>315.43708000000004</v>
      </c>
      <c r="E56" s="34">
        <f>SUM(D56/C56*100)</f>
        <v>28.954881041004811</v>
      </c>
      <c r="F56" s="34">
        <f>SUM(D56-C56)</f>
        <v>-773.97191999999984</v>
      </c>
    </row>
    <row r="57" spans="1:8" s="6" customFormat="1" ht="31.5" hidden="1">
      <c r="A57" s="35" t="s">
        <v>31</v>
      </c>
      <c r="B57" s="36" t="s">
        <v>32</v>
      </c>
      <c r="C57" s="37"/>
      <c r="D57" s="37"/>
      <c r="E57" s="38"/>
      <c r="F57" s="38"/>
    </row>
    <row r="58" spans="1:8" ht="18.75" customHeight="1">
      <c r="A58" s="35" t="s">
        <v>33</v>
      </c>
      <c r="B58" s="39" t="s">
        <v>34</v>
      </c>
      <c r="C58" s="37">
        <v>1079.2149999999999</v>
      </c>
      <c r="D58" s="37">
        <v>310.24308000000002</v>
      </c>
      <c r="E58" s="38">
        <f t="shared" ref="E58:E99" si="3">SUM(D58/C58*100)</f>
        <v>28.747105998341393</v>
      </c>
      <c r="F58" s="38">
        <f t="shared" ref="F58:F99" si="4">SUM(D58-C58)</f>
        <v>-768.97191999999995</v>
      </c>
    </row>
    <row r="59" spans="1:8" ht="0.75" hidden="1" customHeight="1">
      <c r="A59" s="35" t="s">
        <v>35</v>
      </c>
      <c r="B59" s="39" t="s">
        <v>36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37</v>
      </c>
      <c r="B60" s="39" t="s">
        <v>38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>
      <c r="A61" s="35" t="s">
        <v>39</v>
      </c>
      <c r="B61" s="39" t="s">
        <v>40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8" ht="18" customHeight="1">
      <c r="A62" s="35" t="s">
        <v>41</v>
      </c>
      <c r="B62" s="39" t="s">
        <v>42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8" ht="15.75" customHeight="1">
      <c r="A63" s="35" t="s">
        <v>43</v>
      </c>
      <c r="B63" s="39" t="s">
        <v>44</v>
      </c>
      <c r="C63" s="37">
        <v>5.194</v>
      </c>
      <c r="D63" s="37">
        <v>5.194</v>
      </c>
      <c r="E63" s="38">
        <f t="shared" si="3"/>
        <v>100</v>
      </c>
      <c r="F63" s="38">
        <f t="shared" si="4"/>
        <v>0</v>
      </c>
    </row>
    <row r="64" spans="1:8" s="6" customFormat="1">
      <c r="A64" s="41" t="s">
        <v>45</v>
      </c>
      <c r="B64" s="42" t="s">
        <v>46</v>
      </c>
      <c r="C64" s="32">
        <f>C65</f>
        <v>179.892</v>
      </c>
      <c r="D64" s="32">
        <f>D65</f>
        <v>59.543120000000002</v>
      </c>
      <c r="E64" s="34">
        <f t="shared" si="3"/>
        <v>33.09937073355124</v>
      </c>
      <c r="F64" s="34">
        <f t="shared" si="4"/>
        <v>-120.34887999999999</v>
      </c>
    </row>
    <row r="65" spans="1:7">
      <c r="A65" s="43" t="s">
        <v>47</v>
      </c>
      <c r="B65" s="44" t="s">
        <v>48</v>
      </c>
      <c r="C65" s="37">
        <v>179.892</v>
      </c>
      <c r="D65" s="37">
        <v>59.543120000000002</v>
      </c>
      <c r="E65" s="38">
        <f t="shared" si="3"/>
        <v>33.09937073355124</v>
      </c>
      <c r="F65" s="38">
        <f t="shared" si="4"/>
        <v>-120.34887999999999</v>
      </c>
    </row>
    <row r="66" spans="1:7" s="6" customFormat="1" ht="15" customHeight="1">
      <c r="A66" s="30" t="s">
        <v>49</v>
      </c>
      <c r="B66" s="31" t="s">
        <v>50</v>
      </c>
      <c r="C66" s="32">
        <f>C69+C70+C71</f>
        <v>38.99</v>
      </c>
      <c r="D66" s="403">
        <f>D69+D70</f>
        <v>34.79</v>
      </c>
      <c r="E66" s="34">
        <f t="shared" si="3"/>
        <v>89.228007181328536</v>
      </c>
      <c r="F66" s="34">
        <f t="shared" si="4"/>
        <v>-4.2000000000000028</v>
      </c>
    </row>
    <row r="67" spans="1:7" hidden="1">
      <c r="A67" s="35" t="s">
        <v>51</v>
      </c>
      <c r="B67" s="39" t="s">
        <v>52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53</v>
      </c>
      <c r="B68" s="39" t="s">
        <v>54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55</v>
      </c>
      <c r="B69" s="47" t="s">
        <v>56</v>
      </c>
      <c r="C69" s="37">
        <v>0.2</v>
      </c>
      <c r="D69" s="37">
        <v>0</v>
      </c>
      <c r="E69" s="34">
        <f t="shared" si="3"/>
        <v>0</v>
      </c>
      <c r="F69" s="34">
        <f t="shared" si="4"/>
        <v>-0.2</v>
      </c>
    </row>
    <row r="70" spans="1:7" ht="15.75" customHeight="1">
      <c r="A70" s="46" t="s">
        <v>218</v>
      </c>
      <c r="B70" s="47" t="s">
        <v>219</v>
      </c>
      <c r="C70" s="37">
        <v>36.79</v>
      </c>
      <c r="D70" s="37">
        <v>34.79</v>
      </c>
      <c r="E70" s="34">
        <f t="shared" si="3"/>
        <v>94.563740146779026</v>
      </c>
      <c r="F70" s="34">
        <f t="shared" si="4"/>
        <v>-2</v>
      </c>
    </row>
    <row r="71" spans="1:7" ht="15.75" customHeight="1">
      <c r="A71" s="46" t="s">
        <v>357</v>
      </c>
      <c r="B71" s="47" t="s">
        <v>414</v>
      </c>
      <c r="C71" s="37">
        <v>2</v>
      </c>
      <c r="D71" s="37"/>
      <c r="E71" s="34">
        <f>SUM(D71/C71*100)</f>
        <v>0</v>
      </c>
      <c r="F71" s="34">
        <f>SUM(D71-C71)</f>
        <v>-2</v>
      </c>
    </row>
    <row r="72" spans="1:7" s="6" customFormat="1" ht="18.75" customHeight="1">
      <c r="A72" s="30" t="s">
        <v>57</v>
      </c>
      <c r="B72" s="31" t="s">
        <v>58</v>
      </c>
      <c r="C72" s="48">
        <f>SUM(C73:C77)</f>
        <v>5083.4035700000004</v>
      </c>
      <c r="D72" s="48">
        <f>SUM(D73:D77)</f>
        <v>345.45700999999997</v>
      </c>
      <c r="E72" s="34">
        <f t="shared" si="3"/>
        <v>6.7957817089072847</v>
      </c>
      <c r="F72" s="34">
        <f t="shared" si="4"/>
        <v>-4737.9465600000003</v>
      </c>
    </row>
    <row r="73" spans="1:7" ht="15" customHeight="1">
      <c r="A73" s="35" t="s">
        <v>59</v>
      </c>
      <c r="B73" s="39" t="s">
        <v>60</v>
      </c>
      <c r="C73" s="49">
        <v>4.0214999999999996</v>
      </c>
      <c r="D73" s="37">
        <v>0</v>
      </c>
      <c r="E73" s="38">
        <f t="shared" si="3"/>
        <v>0</v>
      </c>
      <c r="F73" s="38">
        <f t="shared" si="4"/>
        <v>-4.0214999999999996</v>
      </c>
    </row>
    <row r="74" spans="1:7" s="6" customFormat="1" ht="17.25" customHeight="1">
      <c r="A74" s="35" t="s">
        <v>61</v>
      </c>
      <c r="B74" s="39" t="s">
        <v>62</v>
      </c>
      <c r="C74" s="49">
        <v>155.00665000000001</v>
      </c>
      <c r="D74" s="37">
        <v>11.26989</v>
      </c>
      <c r="E74" s="38">
        <f t="shared" si="3"/>
        <v>7.2705848426502993</v>
      </c>
      <c r="F74" s="38">
        <f t="shared" si="4"/>
        <v>-143.73676</v>
      </c>
      <c r="G74" s="50"/>
    </row>
    <row r="75" spans="1:7" s="6" customFormat="1" ht="15" hidden="1" customHeight="1">
      <c r="A75" s="35" t="s">
        <v>61</v>
      </c>
      <c r="B75" s="39" t="s">
        <v>62</v>
      </c>
      <c r="C75" s="49">
        <v>0</v>
      </c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63</v>
      </c>
      <c r="B76" s="39" t="s">
        <v>64</v>
      </c>
      <c r="C76" s="49">
        <v>4904.3754200000003</v>
      </c>
      <c r="D76" s="37">
        <v>334.18711999999999</v>
      </c>
      <c r="E76" s="38">
        <f t="shared" si="3"/>
        <v>6.814060739257191</v>
      </c>
      <c r="F76" s="38">
        <f t="shared" si="4"/>
        <v>-4570.1883000000007</v>
      </c>
    </row>
    <row r="77" spans="1:7">
      <c r="A77" s="35" t="s">
        <v>65</v>
      </c>
      <c r="B77" s="39" t="s">
        <v>66</v>
      </c>
      <c r="C77" s="49">
        <v>20</v>
      </c>
      <c r="D77" s="37">
        <v>0</v>
      </c>
      <c r="E77" s="38">
        <f t="shared" si="3"/>
        <v>0</v>
      </c>
      <c r="F77" s="38">
        <f t="shared" si="4"/>
        <v>-20</v>
      </c>
    </row>
    <row r="78" spans="1:7" s="6" customFormat="1" ht="17.25" customHeight="1">
      <c r="A78" s="30" t="s">
        <v>67</v>
      </c>
      <c r="B78" s="31" t="s">
        <v>68</v>
      </c>
      <c r="C78" s="32">
        <f>SUM(C79:C81)</f>
        <v>439.7285</v>
      </c>
      <c r="D78" s="32">
        <f>SUM(D79:D81)</f>
        <v>48.454979999999999</v>
      </c>
      <c r="E78" s="34">
        <f t="shared" si="3"/>
        <v>11.01929486035133</v>
      </c>
      <c r="F78" s="34">
        <f t="shared" si="4"/>
        <v>-391.27352000000002</v>
      </c>
    </row>
    <row r="79" spans="1:7" hidden="1">
      <c r="A79" s="35" t="s">
        <v>69</v>
      </c>
      <c r="B79" s="51" t="s">
        <v>70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idden="1">
      <c r="A80" s="35" t="s">
        <v>71</v>
      </c>
      <c r="B80" s="51" t="s">
        <v>72</v>
      </c>
      <c r="C80" s="37"/>
      <c r="D80" s="37"/>
      <c r="E80" s="38" t="e">
        <f t="shared" si="3"/>
        <v>#DIV/0!</v>
      </c>
      <c r="F80" s="38">
        <f t="shared" si="4"/>
        <v>0</v>
      </c>
    </row>
    <row r="81" spans="1:6">
      <c r="A81" s="35" t="s">
        <v>73</v>
      </c>
      <c r="B81" s="39" t="s">
        <v>74</v>
      </c>
      <c r="C81" s="37">
        <v>439.7285</v>
      </c>
      <c r="D81" s="37">
        <v>48.454979999999999</v>
      </c>
      <c r="E81" s="38">
        <f t="shared" si="3"/>
        <v>11.01929486035133</v>
      </c>
      <c r="F81" s="38">
        <f t="shared" si="4"/>
        <v>-391.27352000000002</v>
      </c>
    </row>
    <row r="82" spans="1:6" s="6" customFormat="1">
      <c r="A82" s="30" t="s">
        <v>85</v>
      </c>
      <c r="B82" s="31" t="s">
        <v>86</v>
      </c>
      <c r="C82" s="32">
        <f>C83</f>
        <v>1260.0999999999999</v>
      </c>
      <c r="D82" s="32">
        <f>D83</f>
        <v>414.13</v>
      </c>
      <c r="E82" s="34">
        <f t="shared" si="3"/>
        <v>32.864851995873344</v>
      </c>
      <c r="F82" s="34">
        <f t="shared" si="4"/>
        <v>-845.96999999999991</v>
      </c>
    </row>
    <row r="83" spans="1:6" ht="40.5" hidden="1" customHeight="1">
      <c r="A83" s="35" t="s">
        <v>87</v>
      </c>
      <c r="B83" s="39" t="s">
        <v>233</v>
      </c>
      <c r="C83" s="37">
        <v>1260.0999999999999</v>
      </c>
      <c r="D83" s="37">
        <v>414.13</v>
      </c>
      <c r="E83" s="38">
        <f t="shared" si="3"/>
        <v>32.864851995873344</v>
      </c>
      <c r="F83" s="38">
        <f t="shared" si="4"/>
        <v>-845.96999999999991</v>
      </c>
    </row>
    <row r="84" spans="1:6" s="6" customFormat="1" ht="21.75" hidden="1" customHeight="1">
      <c r="A84" s="52">
        <v>1000</v>
      </c>
      <c r="B84" s="31" t="s">
        <v>88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0.75" hidden="1" customHeight="1">
      <c r="A85" s="53">
        <v>1001</v>
      </c>
      <c r="B85" s="54" t="s">
        <v>89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29.25" hidden="1" customHeight="1">
      <c r="A86" s="53">
        <v>1003</v>
      </c>
      <c r="B86" s="54" t="s">
        <v>90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24.75" hidden="1" customHeight="1">
      <c r="A87" s="53">
        <v>1004</v>
      </c>
      <c r="B87" s="54" t="s">
        <v>91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35.25" hidden="1" customHeight="1">
      <c r="A88" s="35" t="s">
        <v>92</v>
      </c>
      <c r="B88" s="39" t="s">
        <v>93</v>
      </c>
      <c r="C88" s="37">
        <v>0</v>
      </c>
      <c r="D88" s="37">
        <v>0</v>
      </c>
      <c r="E88" s="38"/>
      <c r="F88" s="38">
        <f t="shared" si="4"/>
        <v>0</v>
      </c>
    </row>
    <row r="89" spans="1:6" ht="1.5" hidden="1" customHeight="1">
      <c r="A89" s="30" t="s">
        <v>94</v>
      </c>
      <c r="B89" s="31" t="s">
        <v>95</v>
      </c>
      <c r="C89" s="32">
        <f>C90+C91+C92+C93+C94</f>
        <v>0</v>
      </c>
      <c r="D89" s="32">
        <f>D90+D91+D92+D93+D94</f>
        <v>0</v>
      </c>
      <c r="E89" s="38" t="e">
        <f t="shared" si="3"/>
        <v>#DIV/0!</v>
      </c>
      <c r="F89" s="22">
        <f>F90+F91+F92+F93+F94</f>
        <v>0</v>
      </c>
    </row>
    <row r="90" spans="1:6" ht="27.75" hidden="1" customHeight="1">
      <c r="A90" s="35" t="s">
        <v>96</v>
      </c>
      <c r="B90" s="39" t="s">
        <v>97</v>
      </c>
      <c r="C90" s="37">
        <v>0</v>
      </c>
      <c r="D90" s="37">
        <v>0</v>
      </c>
      <c r="E90" s="38" t="e">
        <f t="shared" si="3"/>
        <v>#DIV/0!</v>
      </c>
      <c r="F90" s="38">
        <f>SUM(D90-C90)</f>
        <v>0</v>
      </c>
    </row>
    <row r="91" spans="1:6" ht="27.7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24.7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24.7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ht="27" hidden="1" customHeight="1">
      <c r="A94" s="35" t="s">
        <v>104</v>
      </c>
      <c r="B94" s="39" t="s">
        <v>105</v>
      </c>
      <c r="C94" s="37"/>
      <c r="D94" s="37"/>
      <c r="E94" s="38" t="e">
        <f t="shared" si="3"/>
        <v>#DIV/0!</v>
      </c>
      <c r="F94" s="38"/>
    </row>
    <row r="95" spans="1:6" s="6" customFormat="1" ht="22.5" customHeight="1">
      <c r="A95" s="52">
        <v>1400</v>
      </c>
      <c r="B95" s="56" t="s">
        <v>114</v>
      </c>
      <c r="C95" s="48"/>
      <c r="D95" s="48">
        <v>0</v>
      </c>
      <c r="E95" s="34" t="e">
        <f t="shared" si="3"/>
        <v>#DIV/0!</v>
      </c>
      <c r="F95" s="34">
        <f t="shared" si="4"/>
        <v>0</v>
      </c>
    </row>
    <row r="96" spans="1:6" ht="30" customHeight="1">
      <c r="A96" s="53">
        <v>1401</v>
      </c>
      <c r="B96" s="54" t="s">
        <v>115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t="18" customHeight="1">
      <c r="A97" s="30" t="s">
        <v>94</v>
      </c>
      <c r="B97" s="31" t="s">
        <v>95</v>
      </c>
      <c r="C97" s="48">
        <f>C98</f>
        <v>5</v>
      </c>
      <c r="D97" s="32">
        <f>D98</f>
        <v>0</v>
      </c>
      <c r="E97" s="34">
        <f t="shared" si="3"/>
        <v>0</v>
      </c>
      <c r="F97" s="34">
        <f t="shared" si="4"/>
        <v>-5</v>
      </c>
    </row>
    <row r="98" spans="1:8" ht="18" customHeight="1">
      <c r="A98" s="35" t="s">
        <v>96</v>
      </c>
      <c r="B98" s="39" t="s">
        <v>97</v>
      </c>
      <c r="C98" s="49">
        <v>5</v>
      </c>
      <c r="D98" s="37">
        <v>0</v>
      </c>
      <c r="E98" s="38">
        <f t="shared" si="3"/>
        <v>0</v>
      </c>
      <c r="F98" s="38">
        <f t="shared" si="4"/>
        <v>-5</v>
      </c>
    </row>
    <row r="99" spans="1:8" s="6" customFormat="1">
      <c r="A99" s="52"/>
      <c r="B99" s="57" t="s">
        <v>118</v>
      </c>
      <c r="C99" s="371">
        <f>C56+C64+C66+C72+C78+C82+C97+C84</f>
        <v>8096.5230700000011</v>
      </c>
      <c r="D99" s="371">
        <f>D56+D64+D66+D72+D78+D82+D97+D84</f>
        <v>1217.8121900000001</v>
      </c>
      <c r="E99" s="34">
        <f t="shared" si="3"/>
        <v>15.041174828641598</v>
      </c>
      <c r="F99" s="34">
        <f t="shared" si="4"/>
        <v>-6878.7108800000005</v>
      </c>
      <c r="G99" s="291">
        <f>8096.52307-C99</f>
        <v>0</v>
      </c>
      <c r="H99" s="291">
        <f>899.25122-D99</f>
        <v>-318.56097000000011</v>
      </c>
    </row>
    <row r="100" spans="1:8" ht="16.5" customHeight="1">
      <c r="C100" s="126"/>
      <c r="D100" s="101"/>
    </row>
    <row r="101" spans="1:8" s="65" customFormat="1" ht="20.25" customHeight="1">
      <c r="A101" s="63" t="s">
        <v>119</v>
      </c>
      <c r="B101" s="63"/>
      <c r="C101" s="116"/>
      <c r="D101" s="64" t="s">
        <v>274</v>
      </c>
    </row>
    <row r="102" spans="1:8" s="65" customFormat="1" ht="13.5" customHeight="1">
      <c r="A102" s="66" t="s">
        <v>120</v>
      </c>
      <c r="B102" s="66"/>
      <c r="C102" s="65" t="s">
        <v>121</v>
      </c>
    </row>
    <row r="104" spans="1:8" ht="5.25" customHeight="1"/>
  </sheetData>
  <customSheetViews>
    <customSheetView guid="{5BFCA170-DEAE-4D2C-98A0-1E68B427AC01}" showPageBreaks="1" printArea="1" hiddenRows="1" topLeftCell="A20">
      <selection activeCell="C42" sqref="C42"/>
      <pageMargins left="0.7" right="0.7" top="0.75" bottom="0.75" header="0.3" footer="0.3"/>
      <pageSetup paperSize="9" scale="48" orientation="portrait" r:id="rId1"/>
    </customSheetView>
    <customSheetView guid="{B30CE22D-C12F-4E12-8BB9-3AAE0A6991CC}" scale="70" showPageBreaks="1" printArea="1" hiddenRows="1" view="pageBreakPreview" topLeftCell="A3">
      <selection activeCell="D98" sqref="D98"/>
      <pageMargins left="0.70866141732283472" right="0.70866141732283472" top="0.74803149606299213" bottom="0.74803149606299213" header="0.31496062992125984" footer="0.31496062992125984"/>
      <pageSetup paperSize="9" scale="57" orientation="portrait" r:id="rId2"/>
    </customSheetView>
    <customSheetView guid="{1A52382B-3765-4E8C-903F-6B8919B7242E}" scale="70" showPageBreaks="1" printArea="1" hiddenRows="1" view="pageBreakPreview" topLeftCell="A40">
      <selection activeCell="C72" sqref="C72"/>
      <pageMargins left="0.7" right="0.7" top="0.75" bottom="0.75" header="0.3" footer="0.3"/>
      <pageSetup paperSize="9" scale="48" orientation="portrait" r:id="rId3"/>
    </customSheetView>
    <customSheetView guid="{A54C432C-6C68-4B53-A75C-446EB3A61B2B}" scale="70" showPageBreaks="1" printArea="1" hiddenRows="1" view="pageBreakPreview" topLeftCell="A52">
      <selection activeCell="G99" sqref="G99"/>
      <pageMargins left="0.70866141732283472" right="0.70866141732283472" top="0.74803149606299213" bottom="0.74803149606299213" header="0.31496062992125984" footer="0.31496062992125984"/>
      <pageSetup paperSize="9" scale="64" orientation="portrait" r:id="rId4"/>
    </customSheetView>
    <customSheetView guid="{3DCB9AAA-F09C-4EA6-B992-F93E466D374A}" hiddenRows="1" topLeftCell="A20">
      <selection activeCell="C42" sqref="C42"/>
      <pageMargins left="0.7" right="0.7" top="0.75" bottom="0.75" header="0.3" footer="0.3"/>
      <pageSetup paperSize="9" scale="48" orientation="portrait" r:id="rId5"/>
    </customSheetView>
    <customSheetView guid="{1718F1EE-9F48-4DBE-9531-3B70F9C4A5DD}" scale="70" showPageBreaks="1" printArea="1" hiddenRows="1" view="pageBreakPreview" topLeftCell="A18">
      <selection activeCell="D29" sqref="D29"/>
      <pageMargins left="0.7" right="0.7" top="0.75" bottom="0.75" header="0.3" footer="0.3"/>
      <pageSetup paperSize="9" scale="41" orientation="portrait" r:id="rId6"/>
    </customSheetView>
    <customSheetView guid="{42584DC0-1D41-4C93-9B38-C388E7B8DAC4}" scale="70" showPageBreaks="1" printArea="1" hiddenRows="1" view="pageBreakPreview" topLeftCell="A55">
      <selection activeCell="D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B31C8DB7-3E78-4144-A6B5-8DE36DE63F0E}" showPageBreaks="1" printArea="1" hiddenRows="1" topLeftCell="A20">
      <selection activeCell="C42" sqref="C42"/>
      <pageMargins left="0.7" right="0.7" top="0.75" bottom="0.75" header="0.3" footer="0.3"/>
      <pageSetup paperSize="9" scale="48" orientation="portrait" r:id="rId8"/>
    </customSheetView>
    <customSheetView guid="{61528DAC-5C4C-48F4-ADE2-8A724B05A086}" scale="70" showPageBreaks="1" printArea="1" hiddenRows="1" view="pageBreakPreview" topLeftCell="A37">
      <selection activeCell="C99" sqref="C99"/>
      <pageMargins left="0.70866141732283472" right="0.70866141732283472" top="0.74803149606299213" bottom="0.74803149606299213" header="0.31496062992125984" footer="0.31496062992125984"/>
      <pageSetup paperSize="9" scale="57" orientation="portrait" r:id="rId9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48" orientation="portrait" r:id="rId1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H100"/>
  <sheetViews>
    <sheetView topLeftCell="A18" zoomScaleNormal="100" zoomScaleSheetLayoutView="70" workbookViewId="0">
      <selection activeCell="C43" sqref="C43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6" style="62" customWidth="1"/>
    <col min="5" max="5" width="10.28515625" style="62" customWidth="1"/>
    <col min="6" max="6" width="9.42578125" style="62" customWidth="1"/>
    <col min="7" max="7" width="15.5703125" style="1" bestFit="1" customWidth="1"/>
    <col min="8" max="8" width="13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30" t="s">
        <v>436</v>
      </c>
      <c r="B1" s="530"/>
      <c r="C1" s="530"/>
      <c r="D1" s="530"/>
      <c r="E1" s="530"/>
      <c r="F1" s="530"/>
    </row>
    <row r="2" spans="1:6">
      <c r="A2" s="530"/>
      <c r="B2" s="530"/>
      <c r="C2" s="530"/>
      <c r="D2" s="530"/>
      <c r="E2" s="530"/>
      <c r="F2" s="530"/>
    </row>
    <row r="3" spans="1:6" ht="63">
      <c r="A3" s="2" t="s">
        <v>0</v>
      </c>
      <c r="B3" s="2" t="s">
        <v>1</v>
      </c>
      <c r="C3" s="72" t="s">
        <v>411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997.29200000000003</v>
      </c>
      <c r="D4" s="5">
        <f>D5+D12+D14+D17+D7</f>
        <v>437.13268000000005</v>
      </c>
      <c r="E4" s="5">
        <f>SUM(D4/C4*100)</f>
        <v>43.8319649611147</v>
      </c>
      <c r="F4" s="5">
        <f>SUM(D4-C4)</f>
        <v>-560.15931999999998</v>
      </c>
    </row>
    <row r="5" spans="1:6" s="6" customFormat="1">
      <c r="A5" s="68">
        <v>1010000000</v>
      </c>
      <c r="B5" s="67" t="s">
        <v>5</v>
      </c>
      <c r="C5" s="5">
        <f>C6</f>
        <v>79.421999999999997</v>
      </c>
      <c r="D5" s="5">
        <f>D6</f>
        <v>17.85491</v>
      </c>
      <c r="E5" s="5">
        <f t="shared" ref="E5:E49" si="0">SUM(D5/C5*100)</f>
        <v>22.481063181486238</v>
      </c>
      <c r="F5" s="5">
        <f t="shared" ref="F5:F49" si="1">SUM(D5-C5)</f>
        <v>-61.567089999999993</v>
      </c>
    </row>
    <row r="6" spans="1:6">
      <c r="A6" s="7">
        <v>1010200001</v>
      </c>
      <c r="B6" s="8" t="s">
        <v>228</v>
      </c>
      <c r="C6" s="9">
        <v>79.421999999999997</v>
      </c>
      <c r="D6" s="10">
        <v>17.85491</v>
      </c>
      <c r="E6" s="9">
        <f t="shared" ref="E6:E11" si="2">SUM(D6/C6*100)</f>
        <v>22.481063181486238</v>
      </c>
      <c r="F6" s="9">
        <f t="shared" si="1"/>
        <v>-61.567089999999993</v>
      </c>
    </row>
    <row r="7" spans="1:6" ht="31.5">
      <c r="A7" s="3">
        <v>1030000000</v>
      </c>
      <c r="B7" s="13" t="s">
        <v>280</v>
      </c>
      <c r="C7" s="5">
        <f>C8+C10+C9</f>
        <v>331.87</v>
      </c>
      <c r="D7" s="5">
        <f>D8+D10+D9+D11</f>
        <v>128.19372000000001</v>
      </c>
      <c r="E7" s="5">
        <f t="shared" si="2"/>
        <v>38.627691565974629</v>
      </c>
      <c r="F7" s="5">
        <f t="shared" si="1"/>
        <v>-203.67627999999999</v>
      </c>
    </row>
    <row r="8" spans="1:6">
      <c r="A8" s="7">
        <v>1030223001</v>
      </c>
      <c r="B8" s="8" t="s">
        <v>282</v>
      </c>
      <c r="C8" s="9">
        <v>123.79</v>
      </c>
      <c r="D8" s="10">
        <v>57.691490000000002</v>
      </c>
      <c r="E8" s="9">
        <f t="shared" si="2"/>
        <v>46.604321835366349</v>
      </c>
      <c r="F8" s="9">
        <f t="shared" si="1"/>
        <v>-66.098510000000005</v>
      </c>
    </row>
    <row r="9" spans="1:6">
      <c r="A9" s="7">
        <v>1030224001</v>
      </c>
      <c r="B9" s="8" t="s">
        <v>288</v>
      </c>
      <c r="C9" s="9">
        <v>1.33</v>
      </c>
      <c r="D9" s="10">
        <v>0.42110999999999998</v>
      </c>
      <c r="E9" s="9">
        <f t="shared" si="2"/>
        <v>31.662406015037593</v>
      </c>
      <c r="F9" s="9">
        <f t="shared" si="1"/>
        <v>-0.90889000000000009</v>
      </c>
    </row>
    <row r="10" spans="1:6">
      <c r="A10" s="7">
        <v>1030225001</v>
      </c>
      <c r="B10" s="8" t="s">
        <v>281</v>
      </c>
      <c r="C10" s="9">
        <v>206.75</v>
      </c>
      <c r="D10" s="10">
        <v>82.005799999999994</v>
      </c>
      <c r="E10" s="9">
        <f t="shared" si="2"/>
        <v>39.664232164449814</v>
      </c>
      <c r="F10" s="9">
        <f t="shared" si="1"/>
        <v>-124.74420000000001</v>
      </c>
    </row>
    <row r="11" spans="1:6">
      <c r="A11" s="7">
        <v>1030226001</v>
      </c>
      <c r="B11" s="8" t="s">
        <v>290</v>
      </c>
      <c r="C11" s="9">
        <v>0</v>
      </c>
      <c r="D11" s="10">
        <v>-11.92468</v>
      </c>
      <c r="E11" s="9" t="e">
        <f t="shared" si="2"/>
        <v>#DIV/0!</v>
      </c>
      <c r="F11" s="9">
        <f t="shared" si="1"/>
        <v>-11.92468</v>
      </c>
    </row>
    <row r="12" spans="1:6" s="6" customFormat="1">
      <c r="A12" s="68">
        <v>1050000000</v>
      </c>
      <c r="B12" s="67" t="s">
        <v>6</v>
      </c>
      <c r="C12" s="5">
        <f>SUM(C13:C13)</f>
        <v>5</v>
      </c>
      <c r="D12" s="5">
        <f>SUM(D13:D13)</f>
        <v>1.6605000000000001</v>
      </c>
      <c r="E12" s="5">
        <f t="shared" si="0"/>
        <v>33.21</v>
      </c>
      <c r="F12" s="5">
        <f t="shared" si="1"/>
        <v>-3.3395000000000001</v>
      </c>
    </row>
    <row r="13" spans="1:6" ht="15.75" customHeight="1">
      <c r="A13" s="7">
        <v>1050300000</v>
      </c>
      <c r="B13" s="11" t="s">
        <v>229</v>
      </c>
      <c r="C13" s="12">
        <v>5</v>
      </c>
      <c r="D13" s="10">
        <v>1.6605000000000001</v>
      </c>
      <c r="E13" s="9">
        <f t="shared" si="0"/>
        <v>33.21</v>
      </c>
      <c r="F13" s="9">
        <f t="shared" si="1"/>
        <v>-3.3395000000000001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571</v>
      </c>
      <c r="D14" s="5">
        <f>D15+D16</f>
        <v>287.62355000000002</v>
      </c>
      <c r="E14" s="5">
        <f t="shared" si="0"/>
        <v>50.371900175131358</v>
      </c>
      <c r="F14" s="5">
        <f t="shared" si="1"/>
        <v>-283.37644999999998</v>
      </c>
    </row>
    <row r="15" spans="1:6" s="6" customFormat="1" ht="15.75" customHeight="1">
      <c r="A15" s="7">
        <v>1060100000</v>
      </c>
      <c r="B15" s="11" t="s">
        <v>8</v>
      </c>
      <c r="C15" s="9">
        <v>179</v>
      </c>
      <c r="D15" s="10">
        <v>244.00111000000001</v>
      </c>
      <c r="E15" s="9">
        <f t="shared" si="0"/>
        <v>136.31346927374301</v>
      </c>
      <c r="F15" s="9">
        <f>SUM(D15-C15)</f>
        <v>65.001110000000011</v>
      </c>
    </row>
    <row r="16" spans="1:6" ht="15.75" customHeight="1">
      <c r="A16" s="7">
        <v>1060600000</v>
      </c>
      <c r="B16" s="11" t="s">
        <v>7</v>
      </c>
      <c r="C16" s="9">
        <v>392</v>
      </c>
      <c r="D16" s="10">
        <v>43.622439999999997</v>
      </c>
      <c r="E16" s="9">
        <f t="shared" si="0"/>
        <v>11.128173469387754</v>
      </c>
      <c r="F16" s="9">
        <f t="shared" si="1"/>
        <v>-348.37756000000002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1.8</v>
      </c>
      <c r="E17" s="5">
        <f t="shared" si="0"/>
        <v>18</v>
      </c>
      <c r="F17" s="5">
        <f t="shared" si="1"/>
        <v>-8.1999999999999993</v>
      </c>
    </row>
    <row r="18" spans="1:6" ht="18" customHeight="1">
      <c r="A18" s="7">
        <v>1080400001</v>
      </c>
      <c r="B18" s="8" t="s">
        <v>227</v>
      </c>
      <c r="C18" s="9">
        <v>10</v>
      </c>
      <c r="D18" s="10">
        <v>1.8</v>
      </c>
      <c r="E18" s="9">
        <f t="shared" si="0"/>
        <v>18</v>
      </c>
      <c r="F18" s="9">
        <f t="shared" si="1"/>
        <v>-8.1999999999999993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7.75" hidden="1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3.5" hidden="1" customHeight="1">
      <c r="A22" s="7">
        <v>1090400000</v>
      </c>
      <c r="B22" s="8" t="s">
        <v>125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.25" hidden="1" customHeight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32</v>
      </c>
      <c r="D25" s="5">
        <f>D27+D29+D34</f>
        <v>76.967389999999995</v>
      </c>
      <c r="E25" s="5">
        <f t="shared" si="0"/>
        <v>240.52309374999999</v>
      </c>
      <c r="F25" s="5">
        <f t="shared" si="1"/>
        <v>44.967389999999995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32</v>
      </c>
      <c r="D26" s="5">
        <f>D27</f>
        <v>76.967389999999995</v>
      </c>
      <c r="E26" s="5">
        <f t="shared" si="0"/>
        <v>240.52309374999999</v>
      </c>
      <c r="F26" s="5">
        <f t="shared" si="1"/>
        <v>44.967389999999995</v>
      </c>
    </row>
    <row r="27" spans="1:6" ht="17.25" customHeight="1">
      <c r="A27" s="16">
        <v>1110502510</v>
      </c>
      <c r="B27" s="17" t="s">
        <v>225</v>
      </c>
      <c r="C27" s="12">
        <v>32</v>
      </c>
      <c r="D27" s="10">
        <v>76.967389999999995</v>
      </c>
      <c r="E27" s="9">
        <f t="shared" si="0"/>
        <v>240.52309374999999</v>
      </c>
      <c r="F27" s="9">
        <f t="shared" si="1"/>
        <v>44.967389999999995</v>
      </c>
    </row>
    <row r="28" spans="1:6" ht="0.75" customHeight="1">
      <c r="A28" s="7">
        <v>1110503505</v>
      </c>
      <c r="B28" s="11" t="s">
        <v>224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>
      <c r="A29" s="68">
        <v>1130000000</v>
      </c>
      <c r="B29" s="69" t="s">
        <v>130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>
      <c r="A30" s="7">
        <v>1130305005</v>
      </c>
      <c r="B30" s="8" t="s">
        <v>14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6.5" customHeight="1">
      <c r="A31" s="70">
        <v>1140000000</v>
      </c>
      <c r="B31" s="71" t="s">
        <v>131</v>
      </c>
      <c r="C31" s="5">
        <f>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5.75" hidden="1" customHeight="1">
      <c r="A32" s="16">
        <v>1140200000</v>
      </c>
      <c r="B32" s="18" t="s">
        <v>132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1170000000</v>
      </c>
      <c r="B34" s="13" t="s">
        <v>134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7">
      <c r="A35" s="7">
        <v>1170105005</v>
      </c>
      <c r="B35" s="8" t="s">
        <v>17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7">
      <c r="A36" s="7">
        <v>1170505005</v>
      </c>
      <c r="B36" s="11" t="s">
        <v>220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8.75" customHeight="1">
      <c r="A37" s="3">
        <v>1000000000</v>
      </c>
      <c r="B37" s="4" t="s">
        <v>18</v>
      </c>
      <c r="C37" s="127">
        <f>SUM(C4,C25)</f>
        <v>1029.2919999999999</v>
      </c>
      <c r="D37" s="127">
        <f>D4+D25</f>
        <v>514.10007000000007</v>
      </c>
      <c r="E37" s="5">
        <f t="shared" si="0"/>
        <v>49.946960629248075</v>
      </c>
      <c r="F37" s="5">
        <f t="shared" si="1"/>
        <v>-515.19192999999984</v>
      </c>
    </row>
    <row r="38" spans="1:7" s="6" customFormat="1">
      <c r="A38" s="3">
        <v>2000000000</v>
      </c>
      <c r="B38" s="4" t="s">
        <v>19</v>
      </c>
      <c r="C38" s="5">
        <f>C39+C41+C42+C43+C44+C45</f>
        <v>4001.9576300000003</v>
      </c>
      <c r="D38" s="5">
        <f>D39+D41+D42+D43+D45</f>
        <v>663.5992</v>
      </c>
      <c r="E38" s="5">
        <f t="shared" si="0"/>
        <v>16.581864711046425</v>
      </c>
      <c r="F38" s="5">
        <f t="shared" si="1"/>
        <v>-3338.3584300000002</v>
      </c>
      <c r="G38" s="19"/>
    </row>
    <row r="39" spans="1:7" ht="14.25" customHeight="1">
      <c r="A39" s="16">
        <v>2021000000</v>
      </c>
      <c r="B39" s="17" t="s">
        <v>20</v>
      </c>
      <c r="C39" s="99">
        <v>1275.4000000000001</v>
      </c>
      <c r="D39" s="99">
        <v>425.13200000000001</v>
      </c>
      <c r="E39" s="9">
        <f t="shared" si="0"/>
        <v>33.333228790967539</v>
      </c>
      <c r="F39" s="9">
        <f t="shared" si="1"/>
        <v>-850.26800000000003</v>
      </c>
    </row>
    <row r="40" spans="1:7" ht="15.75" hidden="1" customHeight="1">
      <c r="A40" s="16">
        <v>2020100310</v>
      </c>
      <c r="B40" s="17" t="s">
        <v>231</v>
      </c>
      <c r="C40" s="99"/>
      <c r="D40" s="20">
        <v>0</v>
      </c>
      <c r="E40" s="9" t="e">
        <f t="shared" si="0"/>
        <v>#DIV/0!</v>
      </c>
      <c r="F40" s="9">
        <f t="shared" si="1"/>
        <v>0</v>
      </c>
    </row>
    <row r="41" spans="1:7" ht="15.75" customHeight="1">
      <c r="A41" s="16">
        <v>2021500200</v>
      </c>
      <c r="B41" s="17" t="s">
        <v>231</v>
      </c>
      <c r="C41" s="99">
        <v>90</v>
      </c>
      <c r="D41" s="20">
        <v>45</v>
      </c>
      <c r="E41" s="9">
        <f t="shared" si="0"/>
        <v>50</v>
      </c>
      <c r="F41" s="9">
        <f t="shared" si="1"/>
        <v>-45</v>
      </c>
    </row>
    <row r="42" spans="1:7">
      <c r="A42" s="16">
        <v>2022000000</v>
      </c>
      <c r="B42" s="17" t="s">
        <v>21</v>
      </c>
      <c r="C42" s="99">
        <v>1537.9304299999999</v>
      </c>
      <c r="D42" s="10">
        <v>157.52000000000001</v>
      </c>
      <c r="E42" s="9">
        <f t="shared" si="0"/>
        <v>10.242335864308245</v>
      </c>
      <c r="F42" s="9">
        <f t="shared" si="1"/>
        <v>-1380.4104299999999</v>
      </c>
    </row>
    <row r="43" spans="1:7" ht="17.25" customHeight="1">
      <c r="A43" s="16">
        <v>2023000000</v>
      </c>
      <c r="B43" s="17" t="s">
        <v>22</v>
      </c>
      <c r="C43" s="12">
        <v>92.456000000000003</v>
      </c>
      <c r="D43" s="249">
        <v>29.776</v>
      </c>
      <c r="E43" s="9">
        <f t="shared" si="0"/>
        <v>32.205589685904648</v>
      </c>
      <c r="F43" s="9">
        <f t="shared" si="1"/>
        <v>-62.680000000000007</v>
      </c>
    </row>
    <row r="44" spans="1:7" ht="0.75" hidden="1" customHeight="1">
      <c r="A44" s="16">
        <v>2020400000</v>
      </c>
      <c r="B44" s="17" t="s">
        <v>23</v>
      </c>
      <c r="C44" s="12">
        <v>1000</v>
      </c>
      <c r="D44" s="250">
        <v>0</v>
      </c>
      <c r="E44" s="9">
        <f t="shared" si="0"/>
        <v>0</v>
      </c>
      <c r="F44" s="9">
        <f t="shared" si="1"/>
        <v>-1000</v>
      </c>
    </row>
    <row r="45" spans="1:7" ht="14.25" customHeight="1">
      <c r="A45" s="16">
        <v>2070500010</v>
      </c>
      <c r="B45" s="8" t="s">
        <v>352</v>
      </c>
      <c r="C45" s="12">
        <v>6.1711999999999998</v>
      </c>
      <c r="D45" s="250">
        <v>6.1711999999999998</v>
      </c>
      <c r="E45" s="9">
        <f t="shared" si="0"/>
        <v>100</v>
      </c>
      <c r="F45" s="9">
        <f t="shared" si="1"/>
        <v>0</v>
      </c>
    </row>
    <row r="46" spans="1:7" ht="14.25" customHeight="1">
      <c r="A46" s="7">
        <v>2190500005</v>
      </c>
      <c r="B46" s="11" t="s">
        <v>25</v>
      </c>
      <c r="C46" s="14"/>
      <c r="D46" s="14"/>
      <c r="E46" s="5"/>
      <c r="F46" s="5">
        <f>SUM(D46-C46)</f>
        <v>0</v>
      </c>
    </row>
    <row r="47" spans="1:7" s="6" customFormat="1" ht="16.5" customHeight="1">
      <c r="A47" s="3">
        <v>3000000000</v>
      </c>
      <c r="B47" s="13" t="s">
        <v>26</v>
      </c>
      <c r="C47" s="275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7" s="6" customFormat="1" ht="21" customHeight="1">
      <c r="A48" s="3">
        <v>2190500010</v>
      </c>
      <c r="B48" s="13" t="s">
        <v>325</v>
      </c>
      <c r="C48" s="275">
        <v>0</v>
      </c>
      <c r="D48" s="14">
        <v>0</v>
      </c>
      <c r="E48" s="5"/>
      <c r="F48" s="5"/>
    </row>
    <row r="49" spans="1:8" s="6" customFormat="1" ht="16.5" customHeight="1">
      <c r="A49" s="3"/>
      <c r="B49" s="4" t="s">
        <v>27</v>
      </c>
      <c r="C49" s="278">
        <f>C37+C38</f>
        <v>5031.2496300000003</v>
      </c>
      <c r="D49" s="278">
        <f>D37+D38</f>
        <v>1177.6992700000001</v>
      </c>
      <c r="E49" s="5">
        <f t="shared" si="0"/>
        <v>23.407689075447447</v>
      </c>
      <c r="F49" s="5">
        <f t="shared" si="1"/>
        <v>-3853.5503600000002</v>
      </c>
      <c r="G49" s="291"/>
      <c r="H49" s="367"/>
    </row>
    <row r="50" spans="1:8" s="6" customFormat="1" ht="15.75" customHeight="1">
      <c r="A50" s="3"/>
      <c r="B50" s="21" t="s">
        <v>320</v>
      </c>
      <c r="C50" s="278">
        <f>C49-C96</f>
        <v>-283.55249999999978</v>
      </c>
      <c r="D50" s="278">
        <f>D49-D96</f>
        <v>289.9437200000001</v>
      </c>
      <c r="E50" s="22"/>
      <c r="F50" s="22"/>
    </row>
    <row r="51" spans="1:8">
      <c r="A51" s="23"/>
      <c r="B51" s="24"/>
      <c r="C51" s="115"/>
      <c r="D51" s="25"/>
      <c r="E51" s="26"/>
      <c r="F51" s="27"/>
    </row>
    <row r="52" spans="1:8" ht="32.25" customHeight="1">
      <c r="A52" s="28" t="s">
        <v>0</v>
      </c>
      <c r="B52" s="28" t="s">
        <v>28</v>
      </c>
      <c r="C52" s="246" t="s">
        <v>411</v>
      </c>
      <c r="D52" s="73" t="s">
        <v>419</v>
      </c>
      <c r="E52" s="72" t="s">
        <v>2</v>
      </c>
      <c r="F52" s="74" t="s">
        <v>3</v>
      </c>
    </row>
    <row r="53" spans="1:8">
      <c r="A53" s="29">
        <v>1</v>
      </c>
      <c r="B53" s="28">
        <v>2</v>
      </c>
      <c r="C53" s="87">
        <v>3</v>
      </c>
      <c r="D53" s="87">
        <v>4</v>
      </c>
      <c r="E53" s="87">
        <v>5</v>
      </c>
      <c r="F53" s="87">
        <v>6</v>
      </c>
    </row>
    <row r="54" spans="1:8" s="6" customFormat="1" ht="16.5" customHeight="1">
      <c r="A54" s="30" t="s">
        <v>29</v>
      </c>
      <c r="B54" s="31" t="s">
        <v>30</v>
      </c>
      <c r="C54" s="32">
        <f>C55+C56+C57+C58+C59+C61+C60</f>
        <v>992.09100000000001</v>
      </c>
      <c r="D54" s="33">
        <f>D56+D61</f>
        <v>307.40037000000001</v>
      </c>
      <c r="E54" s="34">
        <f>SUM(D54/C54*100)</f>
        <v>30.985098141198741</v>
      </c>
      <c r="F54" s="34">
        <f>SUM(D54-C54)</f>
        <v>-684.69063000000006</v>
      </c>
    </row>
    <row r="55" spans="1:8" s="6" customFormat="1" ht="17.25" hidden="1" customHeight="1">
      <c r="A55" s="35" t="s">
        <v>31</v>
      </c>
      <c r="B55" s="36" t="s">
        <v>32</v>
      </c>
      <c r="C55" s="37"/>
      <c r="D55" s="37"/>
      <c r="E55" s="38"/>
      <c r="F55" s="38"/>
    </row>
    <row r="56" spans="1:8" ht="20.25" customHeight="1">
      <c r="A56" s="35" t="s">
        <v>33</v>
      </c>
      <c r="B56" s="39" t="s">
        <v>34</v>
      </c>
      <c r="C56" s="37">
        <v>984.4</v>
      </c>
      <c r="D56" s="37">
        <v>304.70987000000002</v>
      </c>
      <c r="E56" s="38">
        <f>SUM(D56/C56*100)</f>
        <v>30.953867330353518</v>
      </c>
      <c r="F56" s="38">
        <f t="shared" ref="F56:F96" si="3">SUM(D56-C56)</f>
        <v>-679.69012999999995</v>
      </c>
    </row>
    <row r="57" spans="1:8" ht="0.75" hidden="1" customHeight="1">
      <c r="A57" s="35" t="s">
        <v>35</v>
      </c>
      <c r="B57" s="39" t="s">
        <v>36</v>
      </c>
      <c r="C57" s="37"/>
      <c r="D57" s="37"/>
      <c r="E57" s="38"/>
      <c r="F57" s="38">
        <f t="shared" si="3"/>
        <v>0</v>
      </c>
    </row>
    <row r="58" spans="1:8" ht="17.25" hidden="1" customHeight="1">
      <c r="A58" s="35" t="s">
        <v>37</v>
      </c>
      <c r="B58" s="39" t="s">
        <v>38</v>
      </c>
      <c r="C58" s="37"/>
      <c r="D58" s="37"/>
      <c r="E58" s="38" t="e">
        <f t="shared" ref="E58:E96" si="4">SUM(D58/C58*100)</f>
        <v>#DIV/0!</v>
      </c>
      <c r="F58" s="38">
        <f t="shared" si="3"/>
        <v>0</v>
      </c>
    </row>
    <row r="59" spans="1:8" ht="0.75" customHeight="1">
      <c r="A59" s="35" t="s">
        <v>39</v>
      </c>
      <c r="B59" s="39" t="s">
        <v>40</v>
      </c>
      <c r="C59" s="37">
        <v>0</v>
      </c>
      <c r="D59" s="37">
        <v>0</v>
      </c>
      <c r="E59" s="38" t="e">
        <f t="shared" si="4"/>
        <v>#DIV/0!</v>
      </c>
      <c r="F59" s="38">
        <f t="shared" si="3"/>
        <v>0</v>
      </c>
    </row>
    <row r="60" spans="1:8" ht="15.75" customHeight="1">
      <c r="A60" s="35" t="s">
        <v>41</v>
      </c>
      <c r="B60" s="39" t="s">
        <v>42</v>
      </c>
      <c r="C60" s="40">
        <v>5</v>
      </c>
      <c r="D60" s="40">
        <v>0</v>
      </c>
      <c r="E60" s="38">
        <f t="shared" si="4"/>
        <v>0</v>
      </c>
      <c r="F60" s="38">
        <f t="shared" si="3"/>
        <v>-5</v>
      </c>
    </row>
    <row r="61" spans="1:8" ht="17.25" customHeight="1">
      <c r="A61" s="35" t="s">
        <v>43</v>
      </c>
      <c r="B61" s="39" t="s">
        <v>44</v>
      </c>
      <c r="C61" s="37">
        <v>2.6909999999999998</v>
      </c>
      <c r="D61" s="37">
        <v>2.6905000000000001</v>
      </c>
      <c r="E61" s="38">
        <f t="shared" si="4"/>
        <v>99.981419546636957</v>
      </c>
      <c r="F61" s="38">
        <f t="shared" si="3"/>
        <v>-4.9999999999972289E-4</v>
      </c>
    </row>
    <row r="62" spans="1:8" s="6" customFormat="1" ht="17.850000000000001" customHeight="1">
      <c r="A62" s="41" t="s">
        <v>45</v>
      </c>
      <c r="B62" s="42" t="s">
        <v>46</v>
      </c>
      <c r="C62" s="32">
        <f>C63</f>
        <v>89.944999999999993</v>
      </c>
      <c r="D62" s="32">
        <f>D63</f>
        <v>29.38</v>
      </c>
      <c r="E62" s="34">
        <f t="shared" si="4"/>
        <v>32.664406025904718</v>
      </c>
      <c r="F62" s="34">
        <f t="shared" si="3"/>
        <v>-60.564999999999998</v>
      </c>
    </row>
    <row r="63" spans="1:8" ht="17.850000000000001" customHeight="1">
      <c r="A63" s="43" t="s">
        <v>47</v>
      </c>
      <c r="B63" s="44" t="s">
        <v>48</v>
      </c>
      <c r="C63" s="37">
        <v>89.944999999999993</v>
      </c>
      <c r="D63" s="37">
        <v>29.38</v>
      </c>
      <c r="E63" s="38">
        <f t="shared" si="4"/>
        <v>32.664406025904718</v>
      </c>
      <c r="F63" s="38">
        <f t="shared" si="3"/>
        <v>-60.564999999999998</v>
      </c>
    </row>
    <row r="64" spans="1:8" s="6" customFormat="1" ht="17.25" customHeight="1">
      <c r="A64" s="30" t="s">
        <v>49</v>
      </c>
      <c r="B64" s="31" t="s">
        <v>50</v>
      </c>
      <c r="C64" s="32">
        <f>C67+C68+C69</f>
        <v>6</v>
      </c>
      <c r="D64" s="32">
        <f>SUM(D65:D67)</f>
        <v>0</v>
      </c>
      <c r="E64" s="34">
        <f t="shared" si="4"/>
        <v>0</v>
      </c>
      <c r="F64" s="34">
        <f t="shared" si="3"/>
        <v>-6</v>
      </c>
    </row>
    <row r="65" spans="1:7" ht="17.25" hidden="1" customHeight="1">
      <c r="A65" s="35" t="s">
        <v>51</v>
      </c>
      <c r="B65" s="39" t="s">
        <v>52</v>
      </c>
      <c r="C65" s="37"/>
      <c r="D65" s="37"/>
      <c r="E65" s="34" t="e">
        <f t="shared" si="4"/>
        <v>#DIV/0!</v>
      </c>
      <c r="F65" s="34">
        <f t="shared" si="3"/>
        <v>0</v>
      </c>
    </row>
    <row r="66" spans="1:7" ht="17.25" hidden="1" customHeight="1">
      <c r="A66" s="45" t="s">
        <v>53</v>
      </c>
      <c r="B66" s="39" t="s">
        <v>54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t="18" customHeight="1">
      <c r="A67" s="46" t="s">
        <v>55</v>
      </c>
      <c r="B67" s="47" t="s">
        <v>56</v>
      </c>
      <c r="C67" s="37">
        <v>2</v>
      </c>
      <c r="D67" s="37">
        <v>0</v>
      </c>
      <c r="E67" s="34">
        <f t="shared" si="4"/>
        <v>0</v>
      </c>
      <c r="F67" s="34">
        <f t="shared" si="3"/>
        <v>-2</v>
      </c>
    </row>
    <row r="68" spans="1:7" ht="18" customHeight="1">
      <c r="A68" s="46" t="s">
        <v>218</v>
      </c>
      <c r="B68" s="47" t="s">
        <v>219</v>
      </c>
      <c r="C68" s="37">
        <v>2</v>
      </c>
      <c r="D68" s="37">
        <v>0</v>
      </c>
      <c r="E68" s="38">
        <f t="shared" si="4"/>
        <v>0</v>
      </c>
      <c r="F68" s="38">
        <f t="shared" si="3"/>
        <v>-2</v>
      </c>
    </row>
    <row r="69" spans="1:7" ht="18" customHeight="1">
      <c r="A69" s="46" t="s">
        <v>357</v>
      </c>
      <c r="B69" s="47" t="s">
        <v>360</v>
      </c>
      <c r="C69" s="37">
        <v>2</v>
      </c>
      <c r="D69" s="37">
        <v>0</v>
      </c>
      <c r="E69" s="38"/>
      <c r="F69" s="38"/>
    </row>
    <row r="70" spans="1:7" s="6" customFormat="1" ht="15.75" customHeight="1">
      <c r="A70" s="30" t="s">
        <v>57</v>
      </c>
      <c r="B70" s="31" t="s">
        <v>58</v>
      </c>
      <c r="C70" s="48">
        <f>SUM(C71:C74)</f>
        <v>2148.5418299999997</v>
      </c>
      <c r="D70" s="48">
        <f>D71+D72+D73+D74</f>
        <v>192.83500000000001</v>
      </c>
      <c r="E70" s="34">
        <f t="shared" si="4"/>
        <v>8.9751568858214892</v>
      </c>
      <c r="F70" s="34">
        <f t="shared" si="3"/>
        <v>-1955.7068299999996</v>
      </c>
    </row>
    <row r="71" spans="1:7" ht="16.5" customHeight="1">
      <c r="A71" s="35" t="s">
        <v>59</v>
      </c>
      <c r="B71" s="39" t="s">
        <v>60</v>
      </c>
      <c r="C71" s="49">
        <v>6.7024999999999997</v>
      </c>
      <c r="D71" s="37">
        <v>0</v>
      </c>
      <c r="E71" s="38">
        <f t="shared" si="4"/>
        <v>0</v>
      </c>
      <c r="F71" s="38">
        <f t="shared" si="3"/>
        <v>-6.7024999999999997</v>
      </c>
    </row>
    <row r="72" spans="1:7" s="6" customFormat="1" ht="19.5" customHeight="1">
      <c r="A72" s="35" t="s">
        <v>61</v>
      </c>
      <c r="B72" s="39" t="s">
        <v>62</v>
      </c>
      <c r="C72" s="49">
        <v>0</v>
      </c>
      <c r="D72" s="37">
        <v>0</v>
      </c>
      <c r="E72" s="38" t="e">
        <f t="shared" si="4"/>
        <v>#DIV/0!</v>
      </c>
      <c r="F72" s="38">
        <f t="shared" si="3"/>
        <v>0</v>
      </c>
      <c r="G72" s="50"/>
    </row>
    <row r="73" spans="1:7" ht="17.25" customHeight="1">
      <c r="A73" s="35" t="s">
        <v>63</v>
      </c>
      <c r="B73" s="39" t="s">
        <v>64</v>
      </c>
      <c r="C73" s="49">
        <v>2101.8393299999998</v>
      </c>
      <c r="D73" s="37">
        <v>179</v>
      </c>
      <c r="E73" s="38">
        <f t="shared" si="4"/>
        <v>8.516350295909632</v>
      </c>
      <c r="F73" s="38">
        <f t="shared" si="3"/>
        <v>-1922.8393299999998</v>
      </c>
    </row>
    <row r="74" spans="1:7" ht="15.75" customHeight="1">
      <c r="A74" s="35" t="s">
        <v>65</v>
      </c>
      <c r="B74" s="39" t="s">
        <v>66</v>
      </c>
      <c r="C74" s="49">
        <v>40</v>
      </c>
      <c r="D74" s="37">
        <v>13.835000000000001</v>
      </c>
      <c r="E74" s="38">
        <f t="shared" si="4"/>
        <v>34.587500000000006</v>
      </c>
      <c r="F74" s="38">
        <f t="shared" si="3"/>
        <v>-26.164999999999999</v>
      </c>
    </row>
    <row r="75" spans="1:7" s="6" customFormat="1" ht="18" customHeight="1">
      <c r="A75" s="30" t="s">
        <v>67</v>
      </c>
      <c r="B75" s="31" t="s">
        <v>68</v>
      </c>
      <c r="C75" s="32">
        <f>SUM(C76:C78)</f>
        <v>210.52430000000001</v>
      </c>
      <c r="D75" s="32">
        <f>D78</f>
        <v>68.140180000000001</v>
      </c>
      <c r="E75" s="34">
        <f t="shared" si="4"/>
        <v>32.366895413023578</v>
      </c>
      <c r="F75" s="34">
        <f t="shared" si="3"/>
        <v>-142.38412</v>
      </c>
    </row>
    <row r="76" spans="1:7" ht="15.75" customHeight="1">
      <c r="A76" s="35" t="s">
        <v>69</v>
      </c>
      <c r="B76" s="51" t="s">
        <v>70</v>
      </c>
      <c r="C76" s="37">
        <v>0</v>
      </c>
      <c r="D76" s="37">
        <v>0</v>
      </c>
      <c r="E76" s="38" t="e">
        <f t="shared" si="4"/>
        <v>#DIV/0!</v>
      </c>
      <c r="F76" s="38">
        <f t="shared" si="3"/>
        <v>0</v>
      </c>
    </row>
    <row r="77" spans="1:7" ht="15.75" customHeight="1">
      <c r="A77" s="35" t="s">
        <v>71</v>
      </c>
      <c r="B77" s="51" t="s">
        <v>72</v>
      </c>
      <c r="C77" s="37">
        <v>0</v>
      </c>
      <c r="D77" s="37"/>
      <c r="E77" s="38" t="e">
        <f t="shared" si="4"/>
        <v>#DIV/0!</v>
      </c>
      <c r="F77" s="38">
        <f t="shared" si="3"/>
        <v>0</v>
      </c>
    </row>
    <row r="78" spans="1:7" ht="17.850000000000001" customHeight="1">
      <c r="A78" s="35" t="s">
        <v>73</v>
      </c>
      <c r="B78" s="39" t="s">
        <v>74</v>
      </c>
      <c r="C78" s="37">
        <v>210.52430000000001</v>
      </c>
      <c r="D78" s="37">
        <v>68.140180000000001</v>
      </c>
      <c r="E78" s="38">
        <f t="shared" si="4"/>
        <v>32.366895413023578</v>
      </c>
      <c r="F78" s="38">
        <f t="shared" si="3"/>
        <v>-142.38412</v>
      </c>
    </row>
    <row r="79" spans="1:7" s="6" customFormat="1" ht="17.850000000000001" customHeight="1">
      <c r="A79" s="30" t="s">
        <v>85</v>
      </c>
      <c r="B79" s="31" t="s">
        <v>86</v>
      </c>
      <c r="C79" s="32">
        <f>C80</f>
        <v>1863.7</v>
      </c>
      <c r="D79" s="32">
        <f>D80</f>
        <v>288</v>
      </c>
      <c r="E79" s="34">
        <f t="shared" si="4"/>
        <v>15.453130868702045</v>
      </c>
      <c r="F79" s="34">
        <f t="shared" si="3"/>
        <v>-1575.7</v>
      </c>
    </row>
    <row r="80" spans="1:7" ht="15" customHeight="1">
      <c r="A80" s="35" t="s">
        <v>87</v>
      </c>
      <c r="B80" s="39" t="s">
        <v>233</v>
      </c>
      <c r="C80" s="37">
        <v>1863.7</v>
      </c>
      <c r="D80" s="37">
        <v>288</v>
      </c>
      <c r="E80" s="38">
        <f t="shared" si="4"/>
        <v>15.453130868702045</v>
      </c>
      <c r="F80" s="38">
        <f t="shared" si="3"/>
        <v>-1575.7</v>
      </c>
    </row>
    <row r="81" spans="1:8" s="6" customFormat="1" ht="0.75" hidden="1" customHeight="1">
      <c r="A81" s="52">
        <v>1000</v>
      </c>
      <c r="B81" s="31" t="s">
        <v>88</v>
      </c>
      <c r="C81" s="32">
        <f>SUM(C82:C85)</f>
        <v>0</v>
      </c>
      <c r="D81" s="32">
        <f>SUM(D82:D85)</f>
        <v>0</v>
      </c>
      <c r="E81" s="34" t="e">
        <f t="shared" si="4"/>
        <v>#DIV/0!</v>
      </c>
      <c r="F81" s="34">
        <f t="shared" si="3"/>
        <v>0</v>
      </c>
    </row>
    <row r="82" spans="1:8" ht="0.75" hidden="1" customHeight="1">
      <c r="A82" s="53">
        <v>1001</v>
      </c>
      <c r="B82" s="54" t="s">
        <v>89</v>
      </c>
      <c r="C82" s="37"/>
      <c r="D82" s="37"/>
      <c r="E82" s="38" t="e">
        <f t="shared" si="4"/>
        <v>#DIV/0!</v>
      </c>
      <c r="F82" s="38">
        <f t="shared" si="3"/>
        <v>0</v>
      </c>
    </row>
    <row r="83" spans="1:8" ht="17.25" hidden="1" customHeight="1">
      <c r="A83" s="53">
        <v>1003</v>
      </c>
      <c r="B83" s="54" t="s">
        <v>90</v>
      </c>
      <c r="C83" s="37">
        <v>0</v>
      </c>
      <c r="D83" s="37">
        <v>0</v>
      </c>
      <c r="E83" s="38" t="e">
        <f t="shared" si="4"/>
        <v>#DIV/0!</v>
      </c>
      <c r="F83" s="38">
        <f t="shared" si="3"/>
        <v>0</v>
      </c>
    </row>
    <row r="84" spans="1:8" ht="17.25" hidden="1" customHeight="1">
      <c r="A84" s="53">
        <v>1004</v>
      </c>
      <c r="B84" s="54" t="s">
        <v>91</v>
      </c>
      <c r="C84" s="37"/>
      <c r="D84" s="55"/>
      <c r="E84" s="38" t="e">
        <f t="shared" si="4"/>
        <v>#DIV/0!</v>
      </c>
      <c r="F84" s="38">
        <f t="shared" si="3"/>
        <v>0</v>
      </c>
    </row>
    <row r="85" spans="1:8" ht="17.25" hidden="1" customHeight="1">
      <c r="A85" s="35" t="s">
        <v>92</v>
      </c>
      <c r="B85" s="39" t="s">
        <v>93</v>
      </c>
      <c r="C85" s="37">
        <v>0</v>
      </c>
      <c r="D85" s="37">
        <v>0</v>
      </c>
      <c r="E85" s="38"/>
      <c r="F85" s="38">
        <f t="shared" si="3"/>
        <v>0</v>
      </c>
    </row>
    <row r="86" spans="1:8" ht="17.850000000000001" customHeight="1">
      <c r="A86" s="30" t="s">
        <v>94</v>
      </c>
      <c r="B86" s="31" t="s">
        <v>95</v>
      </c>
      <c r="C86" s="32">
        <f>C87+C88+C89+C90+C91</f>
        <v>4</v>
      </c>
      <c r="D86" s="32">
        <f>D87+D88+D89+D90+D91</f>
        <v>2</v>
      </c>
      <c r="E86" s="38">
        <f t="shared" si="4"/>
        <v>50</v>
      </c>
      <c r="F86" s="22">
        <f>F87+F88+F89+F90+F91</f>
        <v>-2</v>
      </c>
    </row>
    <row r="87" spans="1:8" ht="17.25" customHeight="1">
      <c r="A87" s="35" t="s">
        <v>96</v>
      </c>
      <c r="B87" s="39" t="s">
        <v>97</v>
      </c>
      <c r="C87" s="37">
        <v>4</v>
      </c>
      <c r="D87" s="37">
        <v>2</v>
      </c>
      <c r="E87" s="38">
        <f t="shared" si="4"/>
        <v>50</v>
      </c>
      <c r="F87" s="38">
        <f>SUM(D87-C87)</f>
        <v>-2</v>
      </c>
    </row>
    <row r="88" spans="1:8" ht="15.75" hidden="1" customHeight="1">
      <c r="A88" s="35" t="s">
        <v>98</v>
      </c>
      <c r="B88" s="39" t="s">
        <v>99</v>
      </c>
      <c r="C88" s="37"/>
      <c r="D88" s="37"/>
      <c r="E88" s="38" t="e">
        <f t="shared" si="4"/>
        <v>#DIV/0!</v>
      </c>
      <c r="F88" s="38">
        <f>SUM(D88-C88)</f>
        <v>0</v>
      </c>
    </row>
    <row r="89" spans="1:8" ht="15.75" hidden="1" customHeight="1">
      <c r="A89" s="35" t="s">
        <v>100</v>
      </c>
      <c r="B89" s="39" t="s">
        <v>101</v>
      </c>
      <c r="C89" s="37"/>
      <c r="D89" s="37"/>
      <c r="E89" s="38" t="e">
        <f t="shared" si="4"/>
        <v>#DIV/0!</v>
      </c>
      <c r="F89" s="38"/>
    </row>
    <row r="90" spans="1:8" ht="15.75" hidden="1" customHeight="1">
      <c r="A90" s="35" t="s">
        <v>102</v>
      </c>
      <c r="B90" s="39" t="s">
        <v>103</v>
      </c>
      <c r="C90" s="37"/>
      <c r="D90" s="37"/>
      <c r="E90" s="38" t="e">
        <f t="shared" si="4"/>
        <v>#DIV/0!</v>
      </c>
      <c r="F90" s="38"/>
    </row>
    <row r="91" spans="1:8" ht="15.75" hidden="1" customHeight="1">
      <c r="A91" s="35" t="s">
        <v>104</v>
      </c>
      <c r="B91" s="39" t="s">
        <v>105</v>
      </c>
      <c r="C91" s="37"/>
      <c r="D91" s="37"/>
      <c r="E91" s="38" t="e">
        <f t="shared" si="4"/>
        <v>#DIV/0!</v>
      </c>
      <c r="F91" s="38"/>
    </row>
    <row r="92" spans="1:8" s="6" customFormat="1" ht="15.75" hidden="1" customHeight="1">
      <c r="A92" s="52">
        <v>1400</v>
      </c>
      <c r="B92" s="56" t="s">
        <v>114</v>
      </c>
      <c r="C92" s="48">
        <f>C93+C94+C95</f>
        <v>0</v>
      </c>
      <c r="D92" s="48">
        <f>SUM(D93:D95)</f>
        <v>0</v>
      </c>
      <c r="E92" s="34" t="e">
        <f t="shared" si="4"/>
        <v>#DIV/0!</v>
      </c>
      <c r="F92" s="34">
        <f t="shared" si="3"/>
        <v>0</v>
      </c>
    </row>
    <row r="93" spans="1:8" ht="15.75" hidden="1" customHeight="1">
      <c r="A93" s="53">
        <v>1401</v>
      </c>
      <c r="B93" s="54" t="s">
        <v>115</v>
      </c>
      <c r="C93" s="49"/>
      <c r="D93" s="37"/>
      <c r="E93" s="38" t="e">
        <f t="shared" si="4"/>
        <v>#DIV/0!</v>
      </c>
      <c r="F93" s="38">
        <f t="shared" si="3"/>
        <v>0</v>
      </c>
    </row>
    <row r="94" spans="1:8" ht="18" hidden="1" customHeight="1">
      <c r="A94" s="53">
        <v>1402</v>
      </c>
      <c r="B94" s="54" t="s">
        <v>116</v>
      </c>
      <c r="C94" s="237"/>
      <c r="D94" s="238"/>
      <c r="E94" s="38" t="e">
        <f t="shared" si="4"/>
        <v>#DIV/0!</v>
      </c>
      <c r="F94" s="38">
        <f t="shared" si="3"/>
        <v>0</v>
      </c>
    </row>
    <row r="95" spans="1:8" ht="15.75" hidden="1" customHeight="1">
      <c r="A95" s="53">
        <v>1403</v>
      </c>
      <c r="B95" s="54" t="s">
        <v>117</v>
      </c>
      <c r="C95" s="49">
        <v>0</v>
      </c>
      <c r="D95" s="37">
        <v>0</v>
      </c>
      <c r="E95" s="38" t="e">
        <f t="shared" si="4"/>
        <v>#DIV/0!</v>
      </c>
      <c r="F95" s="38">
        <f t="shared" si="3"/>
        <v>0</v>
      </c>
    </row>
    <row r="96" spans="1:8" s="6" customFormat="1" ht="16.5" customHeight="1">
      <c r="A96" s="52"/>
      <c r="B96" s="57" t="s">
        <v>118</v>
      </c>
      <c r="C96" s="485">
        <f>C54+C62+C64+C70+C75+C79+C81+C86+C92</f>
        <v>5314.80213</v>
      </c>
      <c r="D96" s="33">
        <f>D54+D62+D64+D70+D75+D79+D86</f>
        <v>887.75554999999997</v>
      </c>
      <c r="E96" s="34">
        <f t="shared" si="4"/>
        <v>16.703454395582547</v>
      </c>
      <c r="F96" s="34">
        <f t="shared" si="3"/>
        <v>-4427.0465800000002</v>
      </c>
      <c r="G96" s="367"/>
      <c r="H96" s="367"/>
    </row>
    <row r="97" spans="1:4" ht="20.25" customHeight="1">
      <c r="C97" s="126"/>
      <c r="D97" s="101"/>
    </row>
    <row r="98" spans="1:4" s="65" customFormat="1" ht="13.5" customHeight="1">
      <c r="A98" s="63" t="s">
        <v>119</v>
      </c>
      <c r="B98" s="63"/>
      <c r="C98" s="116"/>
      <c r="D98" s="64"/>
    </row>
    <row r="99" spans="1:4" s="65" customFormat="1" ht="12.75">
      <c r="A99" s="66" t="s">
        <v>120</v>
      </c>
      <c r="B99" s="66"/>
      <c r="C99" s="134" t="s">
        <v>121</v>
      </c>
      <c r="D99" s="134"/>
    </row>
    <row r="100" spans="1:4" ht="5.25" customHeight="1">
      <c r="C100" s="120"/>
    </row>
  </sheetData>
  <customSheetViews>
    <customSheetView guid="{5BFCA170-DEAE-4D2C-98A0-1E68B427AC01}" showPageBreaks="1" hiddenRows="1" topLeftCell="A18">
      <selection activeCell="C43" sqref="C43"/>
      <pageMargins left="0.7" right="0.7" top="0.75" bottom="0.75" header="0.3" footer="0.3"/>
      <pageSetup paperSize="9" scale="60" orientation="portrait" r:id="rId1"/>
    </customSheetView>
    <customSheetView guid="{B30CE22D-C12F-4E12-8BB9-3AAE0A6991CC}" scale="70" showPageBreaks="1" printArea="1" hiddenRows="1" view="pageBreakPreview">
      <selection activeCell="D96" sqref="C96:D96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1A52382B-3765-4E8C-903F-6B8919B7242E}" scale="70" showPageBreaks="1" printArea="1" hiddenRows="1" view="pageBreakPreview" topLeftCell="A18">
      <selection activeCell="D86" sqref="D86"/>
      <pageMargins left="0.7" right="0.7" top="0.75" bottom="0.75" header="0.3" footer="0.3"/>
      <pageSetup paperSize="9" scale="60" orientation="portrait" r:id="rId3"/>
    </customSheetView>
    <customSheetView guid="{A54C432C-6C68-4B53-A75C-446EB3A61B2B}" scale="70" showPageBreaks="1" hiddenRows="1" view="pageBreakPreview" topLeftCell="A41">
      <selection activeCell="D86" sqref="D86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3DCB9AAA-F09C-4EA6-B992-F93E466D374A}" hiddenRows="1" topLeftCell="A18">
      <selection activeCell="C43" sqref="C43"/>
      <pageMargins left="0.7" right="0.7" top="0.75" bottom="0.75" header="0.3" footer="0.3"/>
      <pageSetup paperSize="9" scale="60" orientation="portrait" r:id="rId5"/>
    </customSheetView>
    <customSheetView guid="{1718F1EE-9F48-4DBE-9531-3B70F9C4A5DD}" scale="70" showPageBreaks="1" hiddenRows="1" view="pageBreakPreview" topLeftCell="A41">
      <selection activeCell="C95" sqref="C95:D95"/>
      <pageMargins left="0.7" right="0.7" top="0.75" bottom="0.75" header="0.3" footer="0.3"/>
      <pageSetup paperSize="9" scale="42" orientation="portrait" r:id="rId6"/>
    </customSheetView>
    <customSheetView guid="{42584DC0-1D41-4C93-9B38-C388E7B8DAC4}" scale="70" showPageBreaks="1" hiddenRows="1" view="pageBreakPreview" topLeftCell="A45">
      <selection activeCell="C95" sqref="C95:D95"/>
      <pageMargins left="0.70866141732283472" right="0.70866141732283472" top="0.74803149606299213" bottom="0.74803149606299213" header="0.31496062992125984" footer="0.31496062992125984"/>
      <pageSetup paperSize="9" scale="65" orientation="portrait" r:id="rId7"/>
    </customSheetView>
    <customSheetView guid="{B31C8DB7-3E78-4144-A6B5-8DE36DE63F0E}" hiddenRows="1" topLeftCell="A18">
      <selection activeCell="D45" sqref="D45"/>
      <pageMargins left="0.7" right="0.7" top="0.75" bottom="0.75" header="0.3" footer="0.3"/>
      <pageSetup paperSize="9" scale="60" orientation="portrait" r:id="rId8"/>
    </customSheetView>
    <customSheetView guid="{61528DAC-5C4C-48F4-ADE2-8A724B05A086}" scale="70" showPageBreaks="1" hiddenRows="1" view="pageBreakPreview" topLeftCell="A37">
      <selection activeCell="C96" sqref="C96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60" orientation="portrait" r:id="rId1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H104"/>
  <sheetViews>
    <sheetView topLeftCell="A50" zoomScaleNormal="100" zoomScaleSheetLayoutView="70" workbookViewId="0">
      <selection activeCell="B100" sqref="B100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5.7109375" style="62" customWidth="1"/>
    <col min="5" max="5" width="12.5703125" style="62" customWidth="1"/>
    <col min="6" max="6" width="9.85546875" style="62" customWidth="1"/>
    <col min="7" max="7" width="19.28515625" style="1" bestFit="1" customWidth="1"/>
    <col min="8" max="8" width="9.285156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30" t="s">
        <v>431</v>
      </c>
      <c r="B1" s="530"/>
      <c r="C1" s="530"/>
      <c r="D1" s="530"/>
      <c r="E1" s="530"/>
      <c r="F1" s="530"/>
    </row>
    <row r="2" spans="1:6">
      <c r="A2" s="530"/>
      <c r="B2" s="530"/>
      <c r="C2" s="530"/>
      <c r="D2" s="530"/>
      <c r="E2" s="530"/>
      <c r="F2" s="530"/>
    </row>
    <row r="3" spans="1:6" ht="63">
      <c r="A3" s="2" t="s">
        <v>0</v>
      </c>
      <c r="B3" s="2" t="s">
        <v>1</v>
      </c>
      <c r="C3" s="72" t="s">
        <v>411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C5+C12+C17+C7+C14</f>
        <v>1026.2959999999998</v>
      </c>
      <c r="D4" s="5">
        <f>D5+D12+D14+D17+D20+D7</f>
        <v>275.80802999999997</v>
      </c>
      <c r="E4" s="5">
        <f>SUM(D4/C4*100)</f>
        <v>26.874121111258354</v>
      </c>
      <c r="F4" s="5">
        <f>SUM(D4-C4)</f>
        <v>-750.4879699999999</v>
      </c>
    </row>
    <row r="5" spans="1:6" s="6" customFormat="1">
      <c r="A5" s="68">
        <v>1010000000</v>
      </c>
      <c r="B5" s="67" t="s">
        <v>5</v>
      </c>
      <c r="C5" s="5">
        <f>C6</f>
        <v>86.510999999999996</v>
      </c>
      <c r="D5" s="5">
        <f>D6</f>
        <v>28.277259999999998</v>
      </c>
      <c r="E5" s="5">
        <f t="shared" ref="E5:E51" si="0">SUM(D5/C5*100)</f>
        <v>32.686317346926977</v>
      </c>
      <c r="F5" s="5">
        <f t="shared" ref="F5:F51" si="1">SUM(D5-C5)</f>
        <v>-58.233739999999997</v>
      </c>
    </row>
    <row r="6" spans="1:6">
      <c r="A6" s="7">
        <v>1010200001</v>
      </c>
      <c r="B6" s="8" t="s">
        <v>228</v>
      </c>
      <c r="C6" s="9">
        <v>86.510999999999996</v>
      </c>
      <c r="D6" s="10">
        <v>28.277259999999998</v>
      </c>
      <c r="E6" s="9">
        <f t="shared" ref="E6:E11" si="2">SUM(D6/C6*100)</f>
        <v>32.686317346926977</v>
      </c>
      <c r="F6" s="9">
        <f t="shared" si="1"/>
        <v>-58.233739999999997</v>
      </c>
    </row>
    <row r="7" spans="1:6" ht="31.5">
      <c r="A7" s="3">
        <v>1030000000</v>
      </c>
      <c r="B7" s="13" t="s">
        <v>280</v>
      </c>
      <c r="C7" s="5">
        <f>C8+C10+C9</f>
        <v>316.78499999999997</v>
      </c>
      <c r="D7" s="5">
        <f>D8+D10+D9+D11</f>
        <v>122.36674000000001</v>
      </c>
      <c r="E7" s="9">
        <f t="shared" si="2"/>
        <v>38.627693861767455</v>
      </c>
      <c r="F7" s="9">
        <f t="shared" si="1"/>
        <v>-194.41825999999998</v>
      </c>
    </row>
    <row r="8" spans="1:6">
      <c r="A8" s="7">
        <v>1030223001</v>
      </c>
      <c r="B8" s="8" t="s">
        <v>282</v>
      </c>
      <c r="C8" s="9">
        <v>118.16</v>
      </c>
      <c r="D8" s="10">
        <v>55.06915</v>
      </c>
      <c r="E8" s="9">
        <f t="shared" si="2"/>
        <v>46.60557718348003</v>
      </c>
      <c r="F8" s="9">
        <f t="shared" si="1"/>
        <v>-63.090849999999996</v>
      </c>
    </row>
    <row r="9" spans="1:6">
      <c r="A9" s="7">
        <v>1030224001</v>
      </c>
      <c r="B9" s="8" t="s">
        <v>288</v>
      </c>
      <c r="C9" s="9">
        <v>1.2649999999999999</v>
      </c>
      <c r="D9" s="10">
        <v>0.40196999999999999</v>
      </c>
      <c r="E9" s="9">
        <f t="shared" si="2"/>
        <v>31.776284584980242</v>
      </c>
      <c r="F9" s="9">
        <f t="shared" si="1"/>
        <v>-0.86302999999999996</v>
      </c>
    </row>
    <row r="10" spans="1:6">
      <c r="A10" s="7">
        <v>1030225001</v>
      </c>
      <c r="B10" s="8" t="s">
        <v>281</v>
      </c>
      <c r="C10" s="9">
        <v>197.36</v>
      </c>
      <c r="D10" s="10">
        <v>78.278270000000006</v>
      </c>
      <c r="E10" s="9">
        <f t="shared" si="2"/>
        <v>39.662682407782732</v>
      </c>
      <c r="F10" s="9">
        <f t="shared" si="1"/>
        <v>-119.08173000000001</v>
      </c>
    </row>
    <row r="11" spans="1:6">
      <c r="A11" s="7">
        <v>1030226001</v>
      </c>
      <c r="B11" s="8" t="s">
        <v>290</v>
      </c>
      <c r="C11" s="9">
        <v>0</v>
      </c>
      <c r="D11" s="10">
        <v>-11.38265</v>
      </c>
      <c r="E11" s="9" t="e">
        <f t="shared" si="2"/>
        <v>#DIV/0!</v>
      </c>
      <c r="F11" s="9">
        <f t="shared" si="1"/>
        <v>-11.38265</v>
      </c>
    </row>
    <row r="12" spans="1:6" s="6" customFormat="1">
      <c r="A12" s="68">
        <v>1050000000</v>
      </c>
      <c r="B12" s="67" t="s">
        <v>6</v>
      </c>
      <c r="C12" s="5">
        <f>SUM(C13:C13)</f>
        <v>65</v>
      </c>
      <c r="D12" s="5">
        <f>SUM(D13:D13)</f>
        <v>69.128699999999995</v>
      </c>
      <c r="E12" s="5">
        <f t="shared" si="0"/>
        <v>106.35184615384614</v>
      </c>
      <c r="F12" s="5">
        <f t="shared" si="1"/>
        <v>4.1286999999999949</v>
      </c>
    </row>
    <row r="13" spans="1:6" ht="15.75" customHeight="1">
      <c r="A13" s="7">
        <v>1050300000</v>
      </c>
      <c r="B13" s="11" t="s">
        <v>229</v>
      </c>
      <c r="C13" s="12">
        <v>65</v>
      </c>
      <c r="D13" s="10">
        <v>69.128699999999995</v>
      </c>
      <c r="E13" s="9">
        <f t="shared" si="0"/>
        <v>106.35184615384614</v>
      </c>
      <c r="F13" s="9">
        <f t="shared" si="1"/>
        <v>4.1286999999999949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548</v>
      </c>
      <c r="D14" s="5">
        <f>D15+D16</f>
        <v>54.085329999999999</v>
      </c>
      <c r="E14" s="9">
        <f t="shared" si="0"/>
        <v>9.8695857664233575</v>
      </c>
      <c r="F14" s="9">
        <f t="shared" si="1"/>
        <v>-493.91467</v>
      </c>
    </row>
    <row r="15" spans="1:6" s="6" customFormat="1" ht="15.75" customHeight="1">
      <c r="A15" s="7">
        <v>1060100000</v>
      </c>
      <c r="B15" s="11" t="s">
        <v>8</v>
      </c>
      <c r="C15" s="276">
        <v>88</v>
      </c>
      <c r="D15" s="10">
        <v>3.79379</v>
      </c>
      <c r="E15" s="9">
        <f>SUM(D15/C15*100)</f>
        <v>4.3111249999999997</v>
      </c>
      <c r="F15" s="9">
        <f>SUM(D15-C14)</f>
        <v>-544.20621000000006</v>
      </c>
    </row>
    <row r="16" spans="1:6" ht="15.75" customHeight="1">
      <c r="A16" s="7">
        <v>1060600000</v>
      </c>
      <c r="B16" s="11" t="s">
        <v>7</v>
      </c>
      <c r="C16" s="9">
        <v>460</v>
      </c>
      <c r="D16" s="10">
        <v>50.291539999999998</v>
      </c>
      <c r="E16" s="9">
        <f t="shared" si="0"/>
        <v>10.932943478260869</v>
      </c>
      <c r="F16" s="9">
        <f t="shared" si="1"/>
        <v>-409.70846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1.95</v>
      </c>
      <c r="E17" s="5">
        <f t="shared" si="0"/>
        <v>19.5</v>
      </c>
      <c r="F17" s="5">
        <f t="shared" si="1"/>
        <v>-8.0500000000000007</v>
      </c>
    </row>
    <row r="18" spans="1:6" ht="18.75" customHeight="1">
      <c r="A18" s="7">
        <v>1080400001</v>
      </c>
      <c r="B18" s="8" t="s">
        <v>227</v>
      </c>
      <c r="C18" s="9">
        <v>10</v>
      </c>
      <c r="D18" s="10">
        <v>1.95</v>
      </c>
      <c r="E18" s="9">
        <f t="shared" si="0"/>
        <v>19.5</v>
      </c>
      <c r="F18" s="9">
        <f t="shared" si="1"/>
        <v>-8.0500000000000007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0.75" customHeight="1">
      <c r="A20" s="68">
        <v>1090000000</v>
      </c>
      <c r="B20" s="69" t="s">
        <v>230</v>
      </c>
      <c r="C20" s="5">
        <f>C21+C22+C23+C24</f>
        <v>0</v>
      </c>
      <c r="D20" s="5">
        <f>D22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6.5" customHeight="1">
      <c r="A22" s="7">
        <v>1090400000</v>
      </c>
      <c r="B22" s="8" t="s">
        <v>232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0.75" hidden="1" customHeight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 customHeight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C26+C29+C31+C37+C34</f>
        <v>55</v>
      </c>
      <c r="D25" s="5">
        <f>D26+D29+D31+D37-D34</f>
        <v>51.489100000000001</v>
      </c>
      <c r="E25" s="5">
        <f t="shared" si="0"/>
        <v>93.616545454545445</v>
      </c>
      <c r="F25" s="5">
        <f t="shared" si="1"/>
        <v>-3.5108999999999995</v>
      </c>
    </row>
    <row r="26" spans="1:6" s="6" customFormat="1" ht="15.75" customHeight="1">
      <c r="A26" s="68">
        <v>1110000000</v>
      </c>
      <c r="B26" s="69" t="s">
        <v>128</v>
      </c>
      <c r="C26" s="5">
        <f>C27+C28</f>
        <v>55</v>
      </c>
      <c r="D26" s="5">
        <f>D27+D28</f>
        <v>43.258000000000003</v>
      </c>
      <c r="E26" s="5">
        <f t="shared" si="0"/>
        <v>78.650909090909096</v>
      </c>
      <c r="F26" s="5">
        <f t="shared" si="1"/>
        <v>-11.741999999999997</v>
      </c>
    </row>
    <row r="27" spans="1:6" ht="15.75" customHeight="1">
      <c r="A27" s="16">
        <v>1110502510</v>
      </c>
      <c r="B27" s="17" t="s">
        <v>225</v>
      </c>
      <c r="C27" s="12">
        <v>55</v>
      </c>
      <c r="D27" s="10">
        <v>43.258000000000003</v>
      </c>
      <c r="E27" s="9">
        <f t="shared" si="0"/>
        <v>78.650909090909096</v>
      </c>
      <c r="F27" s="9">
        <f t="shared" si="1"/>
        <v>-11.741999999999997</v>
      </c>
    </row>
    <row r="28" spans="1:6" ht="17.25" customHeight="1">
      <c r="A28" s="7">
        <v>1110503505</v>
      </c>
      <c r="B28" s="11" t="s">
        <v>224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33.75" customHeight="1">
      <c r="A29" s="68">
        <v>1130000000</v>
      </c>
      <c r="B29" s="69" t="s">
        <v>130</v>
      </c>
      <c r="C29" s="5">
        <f>C30</f>
        <v>0</v>
      </c>
      <c r="D29" s="5">
        <f>D30</f>
        <v>8.2310999999999996</v>
      </c>
      <c r="E29" s="5" t="e">
        <f t="shared" si="0"/>
        <v>#DIV/0!</v>
      </c>
      <c r="F29" s="5">
        <f t="shared" si="1"/>
        <v>8.2310999999999996</v>
      </c>
    </row>
    <row r="30" spans="1:6" ht="17.25" customHeight="1">
      <c r="A30" s="7">
        <v>1130206005</v>
      </c>
      <c r="B30" s="8" t="s">
        <v>223</v>
      </c>
      <c r="C30" s="9">
        <v>0</v>
      </c>
      <c r="D30" s="10">
        <v>8.2310999999999996</v>
      </c>
      <c r="E30" s="9" t="e">
        <f t="shared" si="0"/>
        <v>#DIV/0!</v>
      </c>
      <c r="F30" s="9">
        <f t="shared" si="1"/>
        <v>8.2310999999999996</v>
      </c>
    </row>
    <row r="31" spans="1:6" ht="22.5" customHeight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7.25" customHeight="1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8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customHeight="1">
      <c r="A34" s="3">
        <v>1160000000</v>
      </c>
      <c r="B34" s="13" t="s">
        <v>251</v>
      </c>
      <c r="C34" s="14">
        <f>C35</f>
        <v>0</v>
      </c>
      <c r="D34" s="14">
        <f>D35+D36</f>
        <v>0</v>
      </c>
      <c r="E34" s="14" t="e">
        <f>E35</f>
        <v>#DIV/0!</v>
      </c>
      <c r="F34" s="14">
        <f>F35</f>
        <v>0</v>
      </c>
    </row>
    <row r="35" spans="1:7" ht="47.25">
      <c r="A35" s="7">
        <v>1163305010</v>
      </c>
      <c r="B35" s="8" t="s">
        <v>267</v>
      </c>
      <c r="C35" s="9">
        <v>0</v>
      </c>
      <c r="D35" s="10">
        <v>0</v>
      </c>
      <c r="E35" s="10" t="e">
        <f>E37</f>
        <v>#DIV/0!</v>
      </c>
      <c r="F35" s="10">
        <f>F37</f>
        <v>0</v>
      </c>
    </row>
    <row r="36" spans="1:7" ht="47.25">
      <c r="A36" s="7">
        <v>1169005010</v>
      </c>
      <c r="B36" s="8" t="s">
        <v>342</v>
      </c>
      <c r="C36" s="9">
        <v>0</v>
      </c>
      <c r="D36" s="10">
        <v>0</v>
      </c>
      <c r="E36" s="10" t="e">
        <f>E38</f>
        <v>#DIV/0!</v>
      </c>
      <c r="F36" s="10">
        <f>F38</f>
        <v>0</v>
      </c>
    </row>
    <row r="37" spans="1:7">
      <c r="A37" s="3">
        <v>1170000000</v>
      </c>
      <c r="B37" s="13" t="s">
        <v>134</v>
      </c>
      <c r="C37" s="5">
        <f>C38+C39</f>
        <v>0</v>
      </c>
      <c r="D37" s="5">
        <f>D38+D39</f>
        <v>0</v>
      </c>
      <c r="E37" s="9" t="e">
        <f t="shared" si="0"/>
        <v>#DIV/0!</v>
      </c>
      <c r="F37" s="5">
        <f t="shared" si="1"/>
        <v>0</v>
      </c>
    </row>
    <row r="38" spans="1:7">
      <c r="A38" s="7">
        <v>1170105005</v>
      </c>
      <c r="B38" s="8" t="s">
        <v>17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>
      <c r="A39" s="7">
        <v>1170505005</v>
      </c>
      <c r="B39" s="11" t="s">
        <v>220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7.25" customHeight="1">
      <c r="A40" s="3">
        <v>1000000000</v>
      </c>
      <c r="B40" s="4" t="s">
        <v>18</v>
      </c>
      <c r="C40" s="127">
        <f>SUM(C4,C25)</f>
        <v>1081.2959999999998</v>
      </c>
      <c r="D40" s="127">
        <f>D4+D25</f>
        <v>327.29712999999998</v>
      </c>
      <c r="E40" s="5">
        <f t="shared" si="0"/>
        <v>30.268967054349599</v>
      </c>
      <c r="F40" s="5">
        <f t="shared" si="1"/>
        <v>-753.9988699999999</v>
      </c>
    </row>
    <row r="41" spans="1:7" s="6" customFormat="1">
      <c r="A41" s="3">
        <v>2000000000</v>
      </c>
      <c r="B41" s="4" t="s">
        <v>19</v>
      </c>
      <c r="C41" s="5">
        <f>C42+C44+C45+C46+C47+C48+C43+C50</f>
        <v>4902.6190999999999</v>
      </c>
      <c r="D41" s="5">
        <f>D42+D44+D45+D46+D47+D48+D43+D50</f>
        <v>1227.0489999999998</v>
      </c>
      <c r="E41" s="5">
        <f t="shared" si="0"/>
        <v>25.028438370829171</v>
      </c>
      <c r="F41" s="5">
        <f t="shared" si="1"/>
        <v>-3675.5700999999999</v>
      </c>
      <c r="G41" s="19"/>
    </row>
    <row r="42" spans="1:7" ht="16.5" customHeight="1">
      <c r="A42" s="16">
        <v>2021000000</v>
      </c>
      <c r="B42" s="17" t="s">
        <v>20</v>
      </c>
      <c r="C42" s="12">
        <v>1969.9</v>
      </c>
      <c r="D42" s="12">
        <v>656.63199999999995</v>
      </c>
      <c r="E42" s="9">
        <f t="shared" si="0"/>
        <v>33.333265648002431</v>
      </c>
      <c r="F42" s="9">
        <f t="shared" si="1"/>
        <v>-1313.268</v>
      </c>
    </row>
    <row r="43" spans="1:7" ht="17.25" customHeight="1">
      <c r="A43" s="16">
        <v>2021500200</v>
      </c>
      <c r="B43" s="17" t="s">
        <v>231</v>
      </c>
      <c r="C43" s="12">
        <v>650</v>
      </c>
      <c r="D43" s="20">
        <v>0</v>
      </c>
      <c r="E43" s="9">
        <f t="shared" si="0"/>
        <v>0</v>
      </c>
      <c r="F43" s="9">
        <f t="shared" si="1"/>
        <v>-650</v>
      </c>
    </row>
    <row r="44" spans="1:7">
      <c r="A44" s="16">
        <v>2022000000</v>
      </c>
      <c r="B44" s="17" t="s">
        <v>21</v>
      </c>
      <c r="C44" s="12">
        <v>1825.30438</v>
      </c>
      <c r="D44" s="10">
        <v>211.2</v>
      </c>
      <c r="E44" s="9">
        <f>SUM(D44/C44*100)</f>
        <v>11.570672941682197</v>
      </c>
      <c r="F44" s="9">
        <f t="shared" si="1"/>
        <v>-1614.10438</v>
      </c>
    </row>
    <row r="45" spans="1:7" ht="15" customHeight="1">
      <c r="A45" s="16">
        <v>2023000000</v>
      </c>
      <c r="B45" s="17" t="s">
        <v>22</v>
      </c>
      <c r="C45" s="12">
        <v>92.710999999999999</v>
      </c>
      <c r="D45" s="249">
        <v>29.776</v>
      </c>
      <c r="E45" s="9">
        <f t="shared" si="0"/>
        <v>32.117008769185965</v>
      </c>
      <c r="F45" s="9">
        <f t="shared" si="1"/>
        <v>-62.935000000000002</v>
      </c>
    </row>
    <row r="46" spans="1:7">
      <c r="A46" s="16">
        <v>2020400000</v>
      </c>
      <c r="B46" s="17" t="s">
        <v>23</v>
      </c>
      <c r="C46" s="12">
        <v>35.26285</v>
      </c>
      <c r="D46" s="250">
        <v>0</v>
      </c>
      <c r="E46" s="9">
        <f t="shared" si="0"/>
        <v>0</v>
      </c>
      <c r="F46" s="9">
        <f t="shared" si="1"/>
        <v>-35.26285</v>
      </c>
    </row>
    <row r="47" spans="1:7" ht="23.25" hidden="1" customHeight="1">
      <c r="A47" s="16">
        <v>2020900000</v>
      </c>
      <c r="B47" s="18" t="s">
        <v>24</v>
      </c>
      <c r="C47" s="12"/>
      <c r="D47" s="250"/>
      <c r="E47" s="9" t="e">
        <f t="shared" si="0"/>
        <v>#DIV/0!</v>
      </c>
      <c r="F47" s="9">
        <f t="shared" si="1"/>
        <v>0</v>
      </c>
    </row>
    <row r="48" spans="1:7" ht="23.25" hidden="1" customHeight="1">
      <c r="A48" s="7">
        <v>2190500005</v>
      </c>
      <c r="B48" s="11" t="s">
        <v>25</v>
      </c>
      <c r="C48" s="14"/>
      <c r="D48" s="14"/>
      <c r="E48" s="5"/>
      <c r="F48" s="5">
        <f>SUM(D48-C48)</f>
        <v>0</v>
      </c>
    </row>
    <row r="49" spans="1:8" s="6" customFormat="1" ht="27.75" hidden="1" customHeight="1">
      <c r="A49" s="3">
        <v>3000000000</v>
      </c>
      <c r="B49" s="13" t="s">
        <v>26</v>
      </c>
      <c r="C49" s="275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19.5" customHeight="1">
      <c r="A50" s="7">
        <v>2070500010</v>
      </c>
      <c r="B50" s="8" t="s">
        <v>352</v>
      </c>
      <c r="C50" s="12">
        <v>329.44087000000002</v>
      </c>
      <c r="D50" s="10">
        <v>329.44099999999997</v>
      </c>
      <c r="E50" s="9">
        <f t="shared" si="0"/>
        <v>100.00003946079912</v>
      </c>
      <c r="F50" s="9">
        <f t="shared" si="1"/>
        <v>1.2999999995599865E-4</v>
      </c>
    </row>
    <row r="51" spans="1:8" s="6" customFormat="1" ht="19.5" customHeight="1">
      <c r="A51" s="3"/>
      <c r="B51" s="4" t="s">
        <v>27</v>
      </c>
      <c r="C51" s="93">
        <f>C40+C41</f>
        <v>5983.9151000000002</v>
      </c>
      <c r="D51" s="442">
        <f>D40+D41</f>
        <v>1554.3461299999997</v>
      </c>
      <c r="E51" s="93">
        <f t="shared" si="0"/>
        <v>25.97540412964749</v>
      </c>
      <c r="F51" s="93">
        <f t="shared" si="1"/>
        <v>-4429.5689700000003</v>
      </c>
      <c r="G51" s="291">
        <f>5983.9151-C51</f>
        <v>0</v>
      </c>
      <c r="H51" s="291">
        <f>1166.88463-D51</f>
        <v>-387.46149999999966</v>
      </c>
    </row>
    <row r="52" spans="1:8" s="6" customFormat="1">
      <c r="A52" s="3"/>
      <c r="B52" s="21" t="s">
        <v>320</v>
      </c>
      <c r="C52" s="93">
        <f>C51-C98</f>
        <v>-170.08352000000014</v>
      </c>
      <c r="D52" s="93">
        <f>D51-D98</f>
        <v>357.71918999999957</v>
      </c>
      <c r="E52" s="22"/>
      <c r="F52" s="22"/>
    </row>
    <row r="53" spans="1:8">
      <c r="A53" s="23"/>
      <c r="B53" s="24"/>
      <c r="C53" s="248"/>
      <c r="D53" s="248"/>
      <c r="E53" s="26"/>
      <c r="F53" s="27"/>
    </row>
    <row r="54" spans="1:8" ht="46.5" customHeight="1">
      <c r="A54" s="28" t="s">
        <v>0</v>
      </c>
      <c r="B54" s="28" t="s">
        <v>28</v>
      </c>
      <c r="C54" s="241" t="s">
        <v>411</v>
      </c>
      <c r="D54" s="242" t="s">
        <v>419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29.25" customHeight="1">
      <c r="A56" s="30" t="s">
        <v>29</v>
      </c>
      <c r="B56" s="31" t="s">
        <v>30</v>
      </c>
      <c r="C56" s="244">
        <f>C57+C58+C59+C60+C61+C63+C62</f>
        <v>1288.2380000000001</v>
      </c>
      <c r="D56" s="33">
        <f>D57+D58+D59+D60+D61+D63+D62</f>
        <v>445.25004000000001</v>
      </c>
      <c r="E56" s="34">
        <f>SUM(D56/C56*100)</f>
        <v>34.562715895665242</v>
      </c>
      <c r="F56" s="34">
        <f>SUM(D56-C56)</f>
        <v>-842.98796000000004</v>
      </c>
    </row>
    <row r="57" spans="1:8" s="6" customFormat="1" ht="31.5" hidden="1">
      <c r="A57" s="35" t="s">
        <v>31</v>
      </c>
      <c r="B57" s="36" t="s">
        <v>32</v>
      </c>
      <c r="C57" s="37"/>
      <c r="D57" s="136"/>
      <c r="E57" s="38"/>
      <c r="F57" s="38"/>
    </row>
    <row r="58" spans="1:8" ht="18.75" customHeight="1">
      <c r="A58" s="35" t="s">
        <v>33</v>
      </c>
      <c r="B58" s="39" t="s">
        <v>34</v>
      </c>
      <c r="C58" s="37">
        <v>1280</v>
      </c>
      <c r="D58" s="37">
        <v>442.01204000000001</v>
      </c>
      <c r="E58" s="38">
        <f t="shared" ref="E58:E98" si="3">SUM(D58/C58*100)</f>
        <v>34.532190625000005</v>
      </c>
      <c r="F58" s="38">
        <f t="shared" ref="F58:F98" si="4">SUM(D58-C58)</f>
        <v>-837.98795999999993</v>
      </c>
    </row>
    <row r="59" spans="1:8" ht="16.5" hidden="1" customHeight="1">
      <c r="A59" s="35" t="s">
        <v>35</v>
      </c>
      <c r="B59" s="39" t="s">
        <v>36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37</v>
      </c>
      <c r="B60" s="39" t="s">
        <v>38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15" customHeight="1">
      <c r="A61" s="35" t="s">
        <v>39</v>
      </c>
      <c r="B61" s="39" t="s">
        <v>40</v>
      </c>
      <c r="C61" s="3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41</v>
      </c>
      <c r="B62" s="39" t="s">
        <v>42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8" ht="18" customHeight="1">
      <c r="A63" s="35" t="s">
        <v>43</v>
      </c>
      <c r="B63" s="39" t="s">
        <v>44</v>
      </c>
      <c r="C63" s="37">
        <v>3.238</v>
      </c>
      <c r="D63" s="37">
        <v>3.238</v>
      </c>
      <c r="E63" s="38">
        <f t="shared" si="3"/>
        <v>100</v>
      </c>
      <c r="F63" s="38">
        <f t="shared" si="4"/>
        <v>0</v>
      </c>
    </row>
    <row r="64" spans="1:8" s="6" customFormat="1">
      <c r="A64" s="41" t="s">
        <v>45</v>
      </c>
      <c r="B64" s="42" t="s">
        <v>46</v>
      </c>
      <c r="C64" s="32">
        <f>C65</f>
        <v>89.945999999999998</v>
      </c>
      <c r="D64" s="32">
        <f>D65</f>
        <v>29.725560000000002</v>
      </c>
      <c r="E64" s="34">
        <f t="shared" si="3"/>
        <v>33.048228937362417</v>
      </c>
      <c r="F64" s="34">
        <f t="shared" si="4"/>
        <v>-60.220439999999996</v>
      </c>
    </row>
    <row r="65" spans="1:7">
      <c r="A65" s="43" t="s">
        <v>47</v>
      </c>
      <c r="B65" s="44" t="s">
        <v>48</v>
      </c>
      <c r="C65" s="37">
        <v>89.945999999999998</v>
      </c>
      <c r="D65" s="37">
        <v>29.725560000000002</v>
      </c>
      <c r="E65" s="38">
        <f t="shared" si="3"/>
        <v>33.048228937362417</v>
      </c>
      <c r="F65" s="38">
        <f t="shared" si="4"/>
        <v>-60.220439999999996</v>
      </c>
    </row>
    <row r="66" spans="1:7" s="6" customFormat="1" ht="18.75" customHeight="1">
      <c r="A66" s="30" t="s">
        <v>49</v>
      </c>
      <c r="B66" s="31" t="s">
        <v>50</v>
      </c>
      <c r="C66" s="32">
        <f>C69+C70+C71</f>
        <v>6</v>
      </c>
      <c r="D66" s="32">
        <f>D69+D70</f>
        <v>0.6</v>
      </c>
      <c r="E66" s="34">
        <f t="shared" si="3"/>
        <v>10</v>
      </c>
      <c r="F66" s="34">
        <f t="shared" si="4"/>
        <v>-5.4</v>
      </c>
    </row>
    <row r="67" spans="1:7" hidden="1">
      <c r="A67" s="35" t="s">
        <v>51</v>
      </c>
      <c r="B67" s="39" t="s">
        <v>52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53</v>
      </c>
      <c r="B68" s="39" t="s">
        <v>54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6.5" customHeight="1">
      <c r="A69" s="46" t="s">
        <v>55</v>
      </c>
      <c r="B69" s="47" t="s">
        <v>56</v>
      </c>
      <c r="C69" s="97">
        <v>1.6</v>
      </c>
      <c r="D69" s="37">
        <v>0</v>
      </c>
      <c r="E69" s="38">
        <f t="shared" si="3"/>
        <v>0</v>
      </c>
      <c r="F69" s="38">
        <f t="shared" si="4"/>
        <v>-1.6</v>
      </c>
    </row>
    <row r="70" spans="1:7" ht="15.75" customHeight="1">
      <c r="A70" s="46" t="s">
        <v>218</v>
      </c>
      <c r="B70" s="47" t="s">
        <v>219</v>
      </c>
      <c r="C70" s="37">
        <v>2.4</v>
      </c>
      <c r="D70" s="37">
        <v>0.6</v>
      </c>
      <c r="E70" s="38">
        <f t="shared" si="3"/>
        <v>25</v>
      </c>
      <c r="F70" s="38">
        <f t="shared" si="4"/>
        <v>-1.7999999999999998</v>
      </c>
    </row>
    <row r="71" spans="1:7" ht="15.75" customHeight="1">
      <c r="A71" s="46" t="s">
        <v>357</v>
      </c>
      <c r="B71" s="47" t="s">
        <v>414</v>
      </c>
      <c r="C71" s="37">
        <v>2</v>
      </c>
      <c r="D71" s="37">
        <v>0</v>
      </c>
      <c r="E71" s="38">
        <f>SUM(D71/C71*100)</f>
        <v>0</v>
      </c>
      <c r="F71" s="38">
        <f>SUM(D71-C71)</f>
        <v>-2</v>
      </c>
    </row>
    <row r="72" spans="1:7" s="6" customFormat="1" ht="16.5" customHeight="1">
      <c r="A72" s="30" t="s">
        <v>57</v>
      </c>
      <c r="B72" s="31" t="s">
        <v>58</v>
      </c>
      <c r="C72" s="48">
        <f>SUM(C73:C76)</f>
        <v>2540.0608400000001</v>
      </c>
      <c r="D72" s="48">
        <f>SUM(D73:D76)</f>
        <v>328.25734</v>
      </c>
      <c r="E72" s="34">
        <f t="shared" si="3"/>
        <v>12.92320777639326</v>
      </c>
      <c r="F72" s="34">
        <f t="shared" si="4"/>
        <v>-2211.8035</v>
      </c>
    </row>
    <row r="73" spans="1:7" ht="15.75" customHeight="1">
      <c r="A73" s="35" t="s">
        <v>59</v>
      </c>
      <c r="B73" s="39" t="s">
        <v>60</v>
      </c>
      <c r="C73" s="49">
        <v>6.7024999999999997</v>
      </c>
      <c r="D73" s="37">
        <v>0</v>
      </c>
      <c r="E73" s="38">
        <f t="shared" si="3"/>
        <v>0</v>
      </c>
      <c r="F73" s="38">
        <f t="shared" si="4"/>
        <v>-6.7024999999999997</v>
      </c>
    </row>
    <row r="74" spans="1:7" s="6" customFormat="1" ht="19.5" customHeight="1">
      <c r="A74" s="35" t="s">
        <v>61</v>
      </c>
      <c r="B74" s="39" t="s">
        <v>62</v>
      </c>
      <c r="C74" s="49">
        <v>90</v>
      </c>
      <c r="D74" s="37">
        <v>52.390340000000002</v>
      </c>
      <c r="E74" s="38">
        <f t="shared" si="3"/>
        <v>58.211488888888894</v>
      </c>
      <c r="F74" s="38">
        <f t="shared" si="4"/>
        <v>-37.609659999999998</v>
      </c>
      <c r="G74" s="50"/>
    </row>
    <row r="75" spans="1:7">
      <c r="A75" s="35" t="s">
        <v>63</v>
      </c>
      <c r="B75" s="39" t="s">
        <v>64</v>
      </c>
      <c r="C75" s="49">
        <v>2388.3583400000002</v>
      </c>
      <c r="D75" s="37">
        <v>240</v>
      </c>
      <c r="E75" s="38">
        <f t="shared" si="3"/>
        <v>10.04874335565575</v>
      </c>
      <c r="F75" s="38">
        <f t="shared" si="4"/>
        <v>-2148.3583400000002</v>
      </c>
    </row>
    <row r="76" spans="1:7" ht="16.5" customHeight="1">
      <c r="A76" s="35" t="s">
        <v>65</v>
      </c>
      <c r="B76" s="39" t="s">
        <v>66</v>
      </c>
      <c r="C76" s="49">
        <v>55</v>
      </c>
      <c r="D76" s="37">
        <v>35.866999999999997</v>
      </c>
      <c r="E76" s="38">
        <f t="shared" si="3"/>
        <v>65.212727272727264</v>
      </c>
      <c r="F76" s="38">
        <f t="shared" si="4"/>
        <v>-19.133000000000003</v>
      </c>
    </row>
    <row r="77" spans="1:7" s="6" customFormat="1" ht="19.5" customHeight="1">
      <c r="A77" s="30" t="s">
        <v>67</v>
      </c>
      <c r="B77" s="31" t="s">
        <v>68</v>
      </c>
      <c r="C77" s="32">
        <f>SUM(C78:C80)</f>
        <v>612.35378000000003</v>
      </c>
      <c r="D77" s="32">
        <f>SUM(D78:D80)</f>
        <v>72.593999999999994</v>
      </c>
      <c r="E77" s="34">
        <f t="shared" si="3"/>
        <v>11.854911714597401</v>
      </c>
      <c r="F77" s="34">
        <f t="shared" si="4"/>
        <v>-539.75978000000009</v>
      </c>
    </row>
    <row r="78" spans="1:7" ht="18" customHeight="1">
      <c r="A78" s="35" t="s">
        <v>69</v>
      </c>
      <c r="B78" s="51" t="s">
        <v>70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8" customHeight="1">
      <c r="A79" s="35" t="s">
        <v>71</v>
      </c>
      <c r="B79" s="51" t="s">
        <v>72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>
      <c r="A80" s="35" t="s">
        <v>73</v>
      </c>
      <c r="B80" s="39" t="s">
        <v>74</v>
      </c>
      <c r="C80" s="37">
        <v>612.35378000000003</v>
      </c>
      <c r="D80" s="37">
        <v>72.593999999999994</v>
      </c>
      <c r="E80" s="38">
        <f t="shared" si="3"/>
        <v>11.854911714597401</v>
      </c>
      <c r="F80" s="38">
        <f t="shared" si="4"/>
        <v>-539.75978000000009</v>
      </c>
    </row>
    <row r="81" spans="1:7" s="6" customFormat="1">
      <c r="A81" s="30" t="s">
        <v>85</v>
      </c>
      <c r="B81" s="31" t="s">
        <v>86</v>
      </c>
      <c r="C81" s="32">
        <f>C82</f>
        <v>1615.4</v>
      </c>
      <c r="D81" s="32">
        <f>SUM(D82)</f>
        <v>319.2</v>
      </c>
      <c r="E81" s="34">
        <f t="shared" si="3"/>
        <v>19.75981181131608</v>
      </c>
      <c r="F81" s="34">
        <f t="shared" si="4"/>
        <v>-1296.2</v>
      </c>
    </row>
    <row r="82" spans="1:7" ht="17.25" customHeight="1">
      <c r="A82" s="35" t="s">
        <v>87</v>
      </c>
      <c r="B82" s="39" t="s">
        <v>233</v>
      </c>
      <c r="C82" s="37">
        <v>1615.4</v>
      </c>
      <c r="D82" s="37">
        <v>319.2</v>
      </c>
      <c r="E82" s="38">
        <f t="shared" si="3"/>
        <v>19.75981181131608</v>
      </c>
      <c r="F82" s="38">
        <f t="shared" si="4"/>
        <v>-1296.2</v>
      </c>
    </row>
    <row r="83" spans="1:7" s="6" customFormat="1" ht="21.75" hidden="1" customHeight="1">
      <c r="A83" s="52">
        <v>1000</v>
      </c>
      <c r="B83" s="31" t="s">
        <v>88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7" ht="18" hidden="1" customHeight="1">
      <c r="A84" s="53">
        <v>1001</v>
      </c>
      <c r="B84" s="54" t="s">
        <v>89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7" ht="17.25" hidden="1" customHeight="1">
      <c r="A85" s="53">
        <v>1003</v>
      </c>
      <c r="B85" s="54" t="s">
        <v>90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7" ht="23.25" hidden="1" customHeight="1">
      <c r="A86" s="53">
        <v>1004</v>
      </c>
      <c r="B86" s="54" t="s">
        <v>91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7" ht="17.25" hidden="1" customHeight="1">
      <c r="A87" s="35" t="s">
        <v>92</v>
      </c>
      <c r="B87" s="39" t="s">
        <v>93</v>
      </c>
      <c r="C87" s="37">
        <v>0</v>
      </c>
      <c r="D87" s="37">
        <v>0</v>
      </c>
      <c r="E87" s="38"/>
      <c r="F87" s="38">
        <f t="shared" si="4"/>
        <v>0</v>
      </c>
    </row>
    <row r="88" spans="1:7">
      <c r="A88" s="30" t="s">
        <v>94</v>
      </c>
      <c r="B88" s="31" t="s">
        <v>95</v>
      </c>
      <c r="C88" s="32">
        <f>C89+C90+C91+C92+C93</f>
        <v>2</v>
      </c>
      <c r="D88" s="32">
        <f>D89</f>
        <v>1</v>
      </c>
      <c r="E88" s="38">
        <f t="shared" si="3"/>
        <v>50</v>
      </c>
      <c r="F88" s="22">
        <f>F89+F90+F91+F92+F93</f>
        <v>-1</v>
      </c>
    </row>
    <row r="89" spans="1:7" ht="19.5" customHeight="1">
      <c r="A89" s="35" t="s">
        <v>96</v>
      </c>
      <c r="B89" s="39" t="s">
        <v>97</v>
      </c>
      <c r="C89" s="37">
        <v>2</v>
      </c>
      <c r="D89" s="37">
        <v>1</v>
      </c>
      <c r="E89" s="38">
        <f t="shared" si="3"/>
        <v>50</v>
      </c>
      <c r="F89" s="38">
        <f>SUM(D89-C89)</f>
        <v>-1</v>
      </c>
      <c r="G89" s="354"/>
    </row>
    <row r="90" spans="1:7" ht="15.75" hidden="1" customHeight="1">
      <c r="A90" s="35" t="s">
        <v>98</v>
      </c>
      <c r="B90" s="39" t="s">
        <v>99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7" ht="15.75" hidden="1" customHeight="1">
      <c r="A91" s="35" t="s">
        <v>100</v>
      </c>
      <c r="B91" s="39" t="s">
        <v>101</v>
      </c>
      <c r="C91" s="37"/>
      <c r="D91" s="37" t="s">
        <v>338</v>
      </c>
      <c r="E91" s="38" t="e">
        <f t="shared" si="3"/>
        <v>#VALUE!</v>
      </c>
      <c r="F91" s="38"/>
    </row>
    <row r="92" spans="1:7" ht="15.75" hidden="1" customHeight="1">
      <c r="A92" s="35" t="s">
        <v>102</v>
      </c>
      <c r="B92" s="39" t="s">
        <v>103</v>
      </c>
      <c r="C92" s="37"/>
      <c r="D92" s="37"/>
      <c r="E92" s="38" t="e">
        <f t="shared" si="3"/>
        <v>#DIV/0!</v>
      </c>
      <c r="F92" s="38"/>
    </row>
    <row r="93" spans="1:7" ht="15.75" hidden="1" customHeight="1">
      <c r="A93" s="35" t="s">
        <v>104</v>
      </c>
      <c r="B93" s="39" t="s">
        <v>105</v>
      </c>
      <c r="C93" s="37"/>
      <c r="D93" s="37"/>
      <c r="E93" s="38" t="e">
        <f t="shared" si="3"/>
        <v>#DIV/0!</v>
      </c>
      <c r="F93" s="38"/>
    </row>
    <row r="94" spans="1:7" s="6" customFormat="1" ht="15.75" hidden="1" customHeight="1">
      <c r="A94" s="52">
        <v>1400</v>
      </c>
      <c r="B94" s="56" t="s">
        <v>114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7" ht="15.75" hidden="1" customHeight="1">
      <c r="A95" s="53">
        <v>1401</v>
      </c>
      <c r="B95" s="54" t="s">
        <v>115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7" ht="15.75" hidden="1" customHeight="1">
      <c r="A96" s="53">
        <v>1402</v>
      </c>
      <c r="B96" s="54" t="s">
        <v>116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t="15.75" hidden="1" customHeight="1">
      <c r="A97" s="53">
        <v>1403</v>
      </c>
      <c r="B97" s="54" t="s">
        <v>117</v>
      </c>
      <c r="C97" s="49">
        <v>0</v>
      </c>
      <c r="D97" s="37">
        <v>0</v>
      </c>
      <c r="E97" s="38" t="e">
        <f t="shared" si="3"/>
        <v>#DIV/0!</v>
      </c>
      <c r="F97" s="38">
        <f t="shared" si="4"/>
        <v>0</v>
      </c>
    </row>
    <row r="98" spans="1:8" s="6" customFormat="1" ht="15.75" customHeight="1">
      <c r="A98" s="52"/>
      <c r="B98" s="57" t="s">
        <v>118</v>
      </c>
      <c r="C98" s="485">
        <f>C56+C64+C66+C72+C77+C81+C83+C88+C94</f>
        <v>6153.9986200000003</v>
      </c>
      <c r="D98" s="445">
        <f>D56+D64+D66+D72+D77+D81+D83+D88+D94</f>
        <v>1196.6269400000001</v>
      </c>
      <c r="E98" s="34">
        <f t="shared" si="3"/>
        <v>19.444706017824881</v>
      </c>
      <c r="F98" s="34">
        <f t="shared" si="4"/>
        <v>-4957.3716800000002</v>
      </c>
      <c r="G98" s="291">
        <f>6153.99862-C98</f>
        <v>0</v>
      </c>
      <c r="H98" s="291">
        <f>850.38803-D98</f>
        <v>-346.23891000000015</v>
      </c>
    </row>
    <row r="99" spans="1:8">
      <c r="C99" s="126"/>
      <c r="D99" s="101"/>
    </row>
    <row r="100" spans="1:8" s="65" customFormat="1" ht="16.5" customHeight="1">
      <c r="A100" s="63" t="s">
        <v>119</v>
      </c>
      <c r="B100" s="63"/>
      <c r="C100" s="247"/>
      <c r="D100" s="247"/>
      <c r="E100" s="366"/>
    </row>
    <row r="101" spans="1:8" s="65" customFormat="1" ht="20.25" customHeight="1">
      <c r="A101" s="66" t="s">
        <v>120</v>
      </c>
      <c r="B101" s="66"/>
      <c r="C101" s="65" t="s">
        <v>121</v>
      </c>
    </row>
    <row r="102" spans="1:8" ht="13.5" customHeight="1">
      <c r="C102" s="120"/>
    </row>
    <row r="104" spans="1:8" ht="5.25" customHeight="1"/>
  </sheetData>
  <customSheetViews>
    <customSheetView guid="{5BFCA170-DEAE-4D2C-98A0-1E68B427AC01}" showPageBreaks="1" hiddenRows="1" topLeftCell="A50">
      <selection activeCell="B100" sqref="B100"/>
      <pageMargins left="0.7" right="0.7" top="0.75" bottom="0.75" header="0.3" footer="0.3"/>
      <pageSetup paperSize="9" scale="52" orientation="portrait" r:id="rId1"/>
    </customSheetView>
    <customSheetView guid="{B30CE22D-C12F-4E12-8BB9-3AAE0A6991CC}" scale="70" showPageBreaks="1" printArea="1" hiddenRows="1" view="pageBreakPreview">
      <selection activeCell="D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1A52382B-3765-4E8C-903F-6B8919B7242E}" scale="70" showPageBreaks="1" printArea="1" hiddenRows="1" view="pageBreakPreview" topLeftCell="A22">
      <selection activeCell="C51" sqref="C51:D52"/>
      <pageMargins left="0.7" right="0.7" top="0.75" bottom="0.75" header="0.3" footer="0.3"/>
      <pageSetup paperSize="9" scale="52" orientation="portrait" r:id="rId3"/>
    </customSheetView>
    <customSheetView guid="{A54C432C-6C68-4B53-A75C-446EB3A61B2B}" scale="70" showPageBreaks="1" hiddenRows="1" view="pageBreakPreview" topLeftCell="A16">
      <selection activeCell="G52" sqref="G52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2" orientation="portrait" r:id="rId5"/>
    </customSheetView>
    <customSheetView guid="{1718F1EE-9F48-4DBE-9531-3B70F9C4A5DD}" scale="70" showPageBreaks="1" hiddenRows="1" view="pageBreakPreview" topLeftCell="A50">
      <selection activeCell="C97" sqref="C97:D97"/>
      <pageMargins left="0.7" right="0.7" top="0.75" bottom="0.75" header="0.3" footer="0.3"/>
      <pageSetup paperSize="9" scale="39" orientation="portrait" r:id="rId6"/>
    </customSheetView>
    <customSheetView guid="{42584DC0-1D41-4C93-9B38-C388E7B8DAC4}" scale="70" showPageBreaks="1" hiddenRows="1" view="pageBreakPreview">
      <selection activeCell="G1" sqref="G1:G1048576"/>
      <pageMargins left="0.70866141732283472" right="0.70866141732283472" top="0.74803149606299213" bottom="0.74803149606299213" header="0.31496062992125984" footer="0.31496062992125984"/>
      <pageSetup paperSize="9" scale="65" orientation="portrait" r:id="rId7"/>
    </customSheetView>
    <customSheetView guid="{B31C8DB7-3E78-4144-A6B5-8DE36DE63F0E}" hiddenRows="1" topLeftCell="A50">
      <selection activeCell="B100" sqref="B100"/>
      <pageMargins left="0.7" right="0.7" top="0.75" bottom="0.75" header="0.3" footer="0.3"/>
      <pageSetup paperSize="9" scale="52" orientation="portrait" r:id="rId8"/>
    </customSheetView>
    <customSheetView guid="{61528DAC-5C4C-48F4-ADE2-8A724B05A086}" scale="70" showPageBreaks="1" hiddenRows="1" view="pageBreakPreview" topLeftCell="A40">
      <selection activeCell="C74" sqref="C74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2" orientation="portrait" r:id="rId1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L104"/>
  <sheetViews>
    <sheetView topLeftCell="A37" zoomScaleNormal="100" zoomScaleSheetLayoutView="70" workbookViewId="0">
      <selection activeCell="B100" sqref="B100"/>
    </sheetView>
  </sheetViews>
  <sheetFormatPr defaultRowHeight="15.75"/>
  <cols>
    <col min="1" max="1" width="14.7109375" style="58" customWidth="1"/>
    <col min="2" max="2" width="57.5703125" style="59" customWidth="1"/>
    <col min="3" max="3" width="15" style="62" customWidth="1"/>
    <col min="4" max="4" width="17.42578125" style="62" customWidth="1"/>
    <col min="5" max="5" width="10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1" t="s">
        <v>429</v>
      </c>
      <c r="B1" s="531"/>
      <c r="C1" s="531"/>
      <c r="D1" s="531"/>
      <c r="E1" s="531"/>
      <c r="F1" s="531"/>
    </row>
    <row r="2" spans="1:6">
      <c r="A2" s="530"/>
      <c r="B2" s="530"/>
      <c r="C2" s="530"/>
      <c r="D2" s="530"/>
      <c r="E2" s="530"/>
      <c r="F2" s="530"/>
    </row>
    <row r="3" spans="1:6" ht="63">
      <c r="A3" s="2" t="s">
        <v>0</v>
      </c>
      <c r="B3" s="2" t="s">
        <v>1</v>
      </c>
      <c r="C3" s="72" t="s">
        <v>411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724.452</v>
      </c>
      <c r="D4" s="5">
        <f>D5+D12+D14+D17+D7</f>
        <v>203.71970000000002</v>
      </c>
      <c r="E4" s="5">
        <f>SUM(D4/C4*100)</f>
        <v>28.120524203121811</v>
      </c>
      <c r="F4" s="5">
        <f>SUM(D4-C4)</f>
        <v>-520.73230000000001</v>
      </c>
    </row>
    <row r="5" spans="1:6" s="6" customFormat="1">
      <c r="A5" s="68">
        <v>1010000000</v>
      </c>
      <c r="B5" s="67" t="s">
        <v>5</v>
      </c>
      <c r="C5" s="5">
        <f>C6</f>
        <v>37.046999999999997</v>
      </c>
      <c r="D5" s="5">
        <f>D6</f>
        <v>12.276439999999999</v>
      </c>
      <c r="E5" s="5">
        <f t="shared" ref="E5:E51" si="0">SUM(D5/C5*100)</f>
        <v>33.137474019488756</v>
      </c>
      <c r="F5" s="5">
        <f t="shared" ref="F5:F51" si="1">SUM(D5-C5)</f>
        <v>-24.770559999999996</v>
      </c>
    </row>
    <row r="6" spans="1:6">
      <c r="A6" s="7">
        <v>1010200001</v>
      </c>
      <c r="B6" s="8" t="s">
        <v>228</v>
      </c>
      <c r="C6" s="9">
        <v>37.046999999999997</v>
      </c>
      <c r="D6" s="10">
        <v>12.276439999999999</v>
      </c>
      <c r="E6" s="9">
        <f t="shared" ref="E6:E11" si="2">SUM(D6/C6*100)</f>
        <v>33.137474019488756</v>
      </c>
      <c r="F6" s="9">
        <f t="shared" si="1"/>
        <v>-24.770559999999996</v>
      </c>
    </row>
    <row r="7" spans="1:6" ht="31.5">
      <c r="A7" s="3">
        <v>1030000000</v>
      </c>
      <c r="B7" s="13" t="s">
        <v>280</v>
      </c>
      <c r="C7" s="5">
        <f>C8+C10+C9</f>
        <v>325.40500000000003</v>
      </c>
      <c r="D7" s="5">
        <f>D8+D10+D9+D11</f>
        <v>125.69648000000002</v>
      </c>
      <c r="E7" s="5">
        <f t="shared" si="2"/>
        <v>38.627703938169361</v>
      </c>
      <c r="F7" s="5">
        <f t="shared" si="1"/>
        <v>-199.70852000000002</v>
      </c>
    </row>
    <row r="8" spans="1:6">
      <c r="A8" s="7">
        <v>1030223001</v>
      </c>
      <c r="B8" s="8" t="s">
        <v>282</v>
      </c>
      <c r="C8" s="9">
        <v>121.37</v>
      </c>
      <c r="D8" s="10">
        <v>56.56765</v>
      </c>
      <c r="E8" s="9">
        <f t="shared" si="2"/>
        <v>46.607604844689796</v>
      </c>
      <c r="F8" s="9">
        <f t="shared" si="1"/>
        <v>-64.802350000000004</v>
      </c>
    </row>
    <row r="9" spans="1:6">
      <c r="A9" s="7">
        <v>1030224001</v>
      </c>
      <c r="B9" s="8" t="s">
        <v>288</v>
      </c>
      <c r="C9" s="9">
        <v>1.3049999999999999</v>
      </c>
      <c r="D9" s="10">
        <v>0.41291</v>
      </c>
      <c r="E9" s="9">
        <f t="shared" si="2"/>
        <v>31.640613026819924</v>
      </c>
      <c r="F9" s="9">
        <f t="shared" si="1"/>
        <v>-0.89208999999999994</v>
      </c>
    </row>
    <row r="10" spans="1:6">
      <c r="A10" s="7">
        <v>1030225001</v>
      </c>
      <c r="B10" s="8" t="s">
        <v>281</v>
      </c>
      <c r="C10" s="9">
        <v>202.73</v>
      </c>
      <c r="D10" s="10">
        <v>80.408299999999997</v>
      </c>
      <c r="E10" s="9">
        <f t="shared" si="2"/>
        <v>39.662753415873333</v>
      </c>
      <c r="F10" s="9">
        <f t="shared" si="1"/>
        <v>-122.32169999999999</v>
      </c>
    </row>
    <row r="11" spans="1:6">
      <c r="A11" s="7">
        <v>1030226001</v>
      </c>
      <c r="B11" s="8" t="s">
        <v>290</v>
      </c>
      <c r="C11" s="9">
        <v>0</v>
      </c>
      <c r="D11" s="10">
        <v>-11.69238</v>
      </c>
      <c r="E11" s="9" t="e">
        <f t="shared" si="2"/>
        <v>#DIV/0!</v>
      </c>
      <c r="F11" s="9">
        <f t="shared" si="1"/>
        <v>-11.69238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41.775889999999997</v>
      </c>
      <c r="E12" s="5">
        <f t="shared" si="0"/>
        <v>417.75889999999993</v>
      </c>
      <c r="F12" s="5">
        <f t="shared" si="1"/>
        <v>31.775889999999997</v>
      </c>
    </row>
    <row r="13" spans="1:6" ht="15.75" customHeight="1">
      <c r="A13" s="7">
        <v>1050300000</v>
      </c>
      <c r="B13" s="11" t="s">
        <v>229</v>
      </c>
      <c r="C13" s="12">
        <v>10</v>
      </c>
      <c r="D13" s="10">
        <v>41.775889999999997</v>
      </c>
      <c r="E13" s="9">
        <f t="shared" si="0"/>
        <v>417.75889999999993</v>
      </c>
      <c r="F13" s="9">
        <f t="shared" si="1"/>
        <v>31.775889999999997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347</v>
      </c>
      <c r="D14" s="5">
        <f>D15+D16</f>
        <v>22.42089</v>
      </c>
      <c r="E14" s="5">
        <f t="shared" si="0"/>
        <v>6.461351585014409</v>
      </c>
      <c r="F14" s="5">
        <f t="shared" si="1"/>
        <v>-324.57911000000001</v>
      </c>
    </row>
    <row r="15" spans="1:6" s="6" customFormat="1" ht="15.75" customHeight="1">
      <c r="A15" s="7">
        <v>1060100000</v>
      </c>
      <c r="B15" s="11" t="s">
        <v>8</v>
      </c>
      <c r="C15" s="9">
        <v>42</v>
      </c>
      <c r="D15" s="10">
        <v>1.6997899999999999</v>
      </c>
      <c r="E15" s="9">
        <f t="shared" si="0"/>
        <v>4.0471190476190477</v>
      </c>
      <c r="F15" s="9">
        <f>SUM(D15-C15)</f>
        <v>-40.30021</v>
      </c>
    </row>
    <row r="16" spans="1:6" ht="15.75" customHeight="1">
      <c r="A16" s="7">
        <v>1060600000</v>
      </c>
      <c r="B16" s="11" t="s">
        <v>7</v>
      </c>
      <c r="C16" s="9">
        <v>305</v>
      </c>
      <c r="D16" s="10">
        <v>20.7211</v>
      </c>
      <c r="E16" s="9">
        <f t="shared" si="0"/>
        <v>6.7938032786885243</v>
      </c>
      <c r="F16" s="9">
        <f t="shared" si="1"/>
        <v>-284.27890000000002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1.55</v>
      </c>
      <c r="E17" s="5">
        <f t="shared" si="0"/>
        <v>31</v>
      </c>
      <c r="F17" s="5">
        <f t="shared" si="1"/>
        <v>-3.45</v>
      </c>
    </row>
    <row r="18" spans="1:6" ht="16.5" customHeight="1">
      <c r="A18" s="7">
        <v>1080400001</v>
      </c>
      <c r="B18" s="8" t="s">
        <v>227</v>
      </c>
      <c r="C18" s="9">
        <v>5</v>
      </c>
      <c r="D18" s="10">
        <v>1.55</v>
      </c>
      <c r="E18" s="9">
        <f t="shared" si="0"/>
        <v>31</v>
      </c>
      <c r="F18" s="9">
        <f t="shared" si="1"/>
        <v>-3.45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6" hidden="1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2.25" hidden="1" customHeight="1">
      <c r="A21" s="7">
        <v>1090100000</v>
      </c>
      <c r="B21" s="8" t="s">
        <v>124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30" hidden="1" customHeight="1">
      <c r="A22" s="7">
        <v>1090400000</v>
      </c>
      <c r="B22" s="8" t="s">
        <v>232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30.75" hidden="1" customHeight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0.25" hidden="1" customHeight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C26+C29+C31+C37+C34</f>
        <v>109</v>
      </c>
      <c r="D25" s="5">
        <f>D26+D29+D31+D37+D34</f>
        <v>65.447320000000005</v>
      </c>
      <c r="E25" s="5">
        <f t="shared" si="0"/>
        <v>60.043412844036702</v>
      </c>
      <c r="F25" s="5">
        <f t="shared" si="1"/>
        <v>-43.552679999999995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79</v>
      </c>
      <c r="D26" s="5">
        <f>D27+D28</f>
        <v>60.668199999999999</v>
      </c>
      <c r="E26" s="5">
        <f t="shared" si="0"/>
        <v>76.795189873417726</v>
      </c>
      <c r="F26" s="5">
        <f t="shared" si="1"/>
        <v>-18.331800000000001</v>
      </c>
    </row>
    <row r="27" spans="1:6">
      <c r="A27" s="16">
        <v>1110502510</v>
      </c>
      <c r="B27" s="17" t="s">
        <v>225</v>
      </c>
      <c r="C27" s="12">
        <v>62</v>
      </c>
      <c r="D27" s="10">
        <v>51.997799999999998</v>
      </c>
      <c r="E27" s="9">
        <f t="shared" si="0"/>
        <v>83.867419354838702</v>
      </c>
      <c r="F27" s="9">
        <f t="shared" si="1"/>
        <v>-10.002200000000002</v>
      </c>
    </row>
    <row r="28" spans="1:6" ht="18.75" customHeight="1">
      <c r="A28" s="7">
        <v>1110503505</v>
      </c>
      <c r="B28" s="11" t="s">
        <v>224</v>
      </c>
      <c r="C28" s="12">
        <v>17</v>
      </c>
      <c r="D28" s="10">
        <v>8.6704000000000008</v>
      </c>
      <c r="E28" s="9">
        <f t="shared" si="0"/>
        <v>51.002352941176476</v>
      </c>
      <c r="F28" s="9">
        <f t="shared" si="1"/>
        <v>-8.3295999999999992</v>
      </c>
    </row>
    <row r="29" spans="1:6" s="15" customFormat="1" ht="37.5" customHeight="1">
      <c r="A29" s="68">
        <v>1130000000</v>
      </c>
      <c r="B29" s="69" t="s">
        <v>130</v>
      </c>
      <c r="C29" s="5">
        <f>C30</f>
        <v>30</v>
      </c>
      <c r="D29" s="5">
        <f>D30</f>
        <v>4.7791199999999998</v>
      </c>
      <c r="E29" s="5">
        <f t="shared" si="0"/>
        <v>15.930400000000001</v>
      </c>
      <c r="F29" s="5">
        <f t="shared" si="1"/>
        <v>-25.220880000000001</v>
      </c>
    </row>
    <row r="30" spans="1:6">
      <c r="A30" s="7">
        <v>1130206005</v>
      </c>
      <c r="B30" s="8" t="s">
        <v>223</v>
      </c>
      <c r="C30" s="9">
        <v>30</v>
      </c>
      <c r="D30" s="10">
        <v>4.7791199999999998</v>
      </c>
      <c r="E30" s="9">
        <f t="shared" si="0"/>
        <v>15.930400000000001</v>
      </c>
      <c r="F30" s="9">
        <f t="shared" si="1"/>
        <v>-25.220880000000001</v>
      </c>
    </row>
    <row r="31" spans="1:6" ht="27" customHeight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1160000000</v>
      </c>
      <c r="B34" s="13" t="s">
        <v>251</v>
      </c>
      <c r="C34" s="14">
        <f>C35+C36</f>
        <v>0</v>
      </c>
      <c r="D34" s="14">
        <f>D35+D36</f>
        <v>0</v>
      </c>
      <c r="E34" s="5" t="e">
        <f t="shared" si="0"/>
        <v>#DIV/0!</v>
      </c>
      <c r="F34" s="5">
        <f t="shared" si="1"/>
        <v>0</v>
      </c>
    </row>
    <row r="35" spans="1:7" ht="47.25">
      <c r="A35" s="7">
        <v>1163305010</v>
      </c>
      <c r="B35" s="8" t="s">
        <v>267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47.25">
      <c r="A36" s="7">
        <v>1169005010</v>
      </c>
      <c r="B36" s="8" t="s">
        <v>343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 ht="21" customHeight="1">
      <c r="A37" s="3">
        <v>1170000000</v>
      </c>
      <c r="B37" s="13" t="s">
        <v>134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7.25" customHeight="1">
      <c r="A38" s="7">
        <v>1170105005</v>
      </c>
      <c r="B38" s="8" t="s">
        <v>17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8" customHeight="1">
      <c r="A39" s="7">
        <v>1170505005</v>
      </c>
      <c r="B39" s="11" t="s">
        <v>220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>
      <c r="A40" s="3">
        <v>1000000000</v>
      </c>
      <c r="B40" s="4" t="s">
        <v>18</v>
      </c>
      <c r="C40" s="127">
        <f>SUM(C4,C25)</f>
        <v>833.452</v>
      </c>
      <c r="D40" s="127">
        <f>D4+D25</f>
        <v>269.16702000000004</v>
      </c>
      <c r="E40" s="5">
        <f t="shared" si="0"/>
        <v>32.295443528841503</v>
      </c>
      <c r="F40" s="5">
        <f t="shared" si="1"/>
        <v>-564.2849799999999</v>
      </c>
    </row>
    <row r="41" spans="1:7" s="6" customFormat="1">
      <c r="A41" s="3">
        <v>2000000000</v>
      </c>
      <c r="B41" s="4" t="s">
        <v>19</v>
      </c>
      <c r="C41" s="5">
        <f>C42+C43+C44+C45+C46+C47+C50</f>
        <v>3061.1811199999997</v>
      </c>
      <c r="D41" s="5">
        <f>D42+D43+D44+D45+D46+D47+D50</f>
        <v>797.32799999999986</v>
      </c>
      <c r="E41" s="5">
        <f t="shared" si="0"/>
        <v>26.046417011744801</v>
      </c>
      <c r="F41" s="5">
        <f t="shared" si="1"/>
        <v>-2263.8531199999998</v>
      </c>
      <c r="G41" s="19"/>
    </row>
    <row r="42" spans="1:7" ht="16.5" customHeight="1">
      <c r="A42" s="16">
        <v>2021000000</v>
      </c>
      <c r="B42" s="17" t="s">
        <v>20</v>
      </c>
      <c r="C42" s="12">
        <v>1347.9</v>
      </c>
      <c r="D42" s="12">
        <v>449.3</v>
      </c>
      <c r="E42" s="9">
        <f t="shared" si="0"/>
        <v>33.333333333333329</v>
      </c>
      <c r="F42" s="9">
        <f t="shared" si="1"/>
        <v>-898.60000000000014</v>
      </c>
    </row>
    <row r="43" spans="1:7" ht="15.75" customHeight="1">
      <c r="A43" s="16">
        <v>2021500200</v>
      </c>
      <c r="B43" s="17" t="s">
        <v>231</v>
      </c>
      <c r="C43" s="12">
        <v>290</v>
      </c>
      <c r="D43" s="20">
        <v>145</v>
      </c>
      <c r="E43" s="9">
        <f t="shared" si="0"/>
        <v>50</v>
      </c>
      <c r="F43" s="9">
        <f t="shared" si="1"/>
        <v>-145</v>
      </c>
    </row>
    <row r="44" spans="1:7">
      <c r="A44" s="16">
        <v>2022000000</v>
      </c>
      <c r="B44" s="17" t="s">
        <v>21</v>
      </c>
      <c r="C44" s="12">
        <v>1213.53934</v>
      </c>
      <c r="D44" s="10">
        <v>173.25200000000001</v>
      </c>
      <c r="E44" s="9">
        <f t="shared" si="0"/>
        <v>14.276587028484796</v>
      </c>
      <c r="F44" s="9">
        <f t="shared" si="1"/>
        <v>-1040.2873400000001</v>
      </c>
    </row>
    <row r="45" spans="1:7" ht="15" customHeight="1">
      <c r="A45" s="16">
        <v>2023000000</v>
      </c>
      <c r="B45" s="17" t="s">
        <v>22</v>
      </c>
      <c r="C45" s="12">
        <v>91.480999999999995</v>
      </c>
      <c r="D45" s="249">
        <v>29.776</v>
      </c>
      <c r="E45" s="9">
        <f t="shared" si="0"/>
        <v>32.54883527727069</v>
      </c>
      <c r="F45" s="9">
        <f t="shared" si="1"/>
        <v>-61.704999999999998</v>
      </c>
    </row>
    <row r="46" spans="1:7" ht="0.75" customHeight="1">
      <c r="A46" s="16">
        <v>2020400000</v>
      </c>
      <c r="B46" s="17" t="s">
        <v>23</v>
      </c>
      <c r="C46" s="12">
        <v>0</v>
      </c>
      <c r="D46" s="250">
        <v>0</v>
      </c>
      <c r="E46" s="9" t="e">
        <f t="shared" si="0"/>
        <v>#DIV/0!</v>
      </c>
      <c r="F46" s="9">
        <f t="shared" si="1"/>
        <v>0</v>
      </c>
    </row>
    <row r="47" spans="1:7" ht="17.25" hidden="1" customHeight="1">
      <c r="A47" s="16">
        <v>2020900000</v>
      </c>
      <c r="B47" s="18" t="s">
        <v>24</v>
      </c>
      <c r="C47" s="12"/>
      <c r="D47" s="250"/>
      <c r="E47" s="9" t="e">
        <f t="shared" si="0"/>
        <v>#DIV/0!</v>
      </c>
      <c r="F47" s="9">
        <f t="shared" si="1"/>
        <v>0</v>
      </c>
    </row>
    <row r="48" spans="1:7" ht="17.25" hidden="1" customHeight="1">
      <c r="A48" s="16">
        <v>2080500010</v>
      </c>
      <c r="B48" s="18" t="s">
        <v>255</v>
      </c>
      <c r="C48" s="12"/>
      <c r="D48" s="250"/>
      <c r="E48" s="9"/>
      <c r="F48" s="9"/>
    </row>
    <row r="49" spans="1:8" s="6" customFormat="1" ht="17.25" hidden="1" customHeight="1">
      <c r="A49" s="3">
        <v>3000000000</v>
      </c>
      <c r="B49" s="13" t="s">
        <v>26</v>
      </c>
      <c r="C49" s="275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17.25" customHeight="1">
      <c r="A50" s="7">
        <v>2070500010</v>
      </c>
      <c r="B50" s="8" t="s">
        <v>352</v>
      </c>
      <c r="C50" s="12">
        <v>118.26078</v>
      </c>
      <c r="D50" s="10">
        <v>0</v>
      </c>
      <c r="E50" s="9">
        <f t="shared" si="0"/>
        <v>0</v>
      </c>
      <c r="F50" s="9">
        <f t="shared" si="1"/>
        <v>-118.26078</v>
      </c>
    </row>
    <row r="51" spans="1:8" s="6" customFormat="1" ht="17.25" customHeight="1">
      <c r="A51" s="3"/>
      <c r="B51" s="4" t="s">
        <v>27</v>
      </c>
      <c r="C51" s="372">
        <f>C40+C41</f>
        <v>3894.6331199999995</v>
      </c>
      <c r="D51" s="373">
        <f>D40+D41</f>
        <v>1066.4950199999998</v>
      </c>
      <c r="E51" s="93">
        <f t="shared" si="0"/>
        <v>27.383709508432464</v>
      </c>
      <c r="F51" s="93">
        <f t="shared" si="1"/>
        <v>-2828.1380999999997</v>
      </c>
      <c r="G51" s="94"/>
      <c r="H51" s="367"/>
    </row>
    <row r="52" spans="1:8" s="6" customFormat="1" ht="16.5" customHeight="1">
      <c r="A52" s="3"/>
      <c r="B52" s="21" t="s">
        <v>321</v>
      </c>
      <c r="C52" s="372">
        <f>C51-C98</f>
        <v>-170.14937000000054</v>
      </c>
      <c r="D52" s="372">
        <f>D51-D98</f>
        <v>186.45654999999988</v>
      </c>
      <c r="E52" s="279"/>
      <c r="F52" s="279"/>
    </row>
    <row r="53" spans="1:8">
      <c r="A53" s="23"/>
      <c r="B53" s="24"/>
      <c r="C53" s="323"/>
      <c r="D53" s="323"/>
      <c r="E53" s="26"/>
      <c r="F53" s="27"/>
    </row>
    <row r="54" spans="1:8" ht="32.25" customHeight="1">
      <c r="A54" s="28" t="s">
        <v>0</v>
      </c>
      <c r="B54" s="28" t="s">
        <v>28</v>
      </c>
      <c r="C54" s="246" t="s">
        <v>411</v>
      </c>
      <c r="D54" s="73" t="s">
        <v>419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>
      <c r="A56" s="30" t="s">
        <v>29</v>
      </c>
      <c r="B56" s="31" t="s">
        <v>30</v>
      </c>
      <c r="C56" s="33">
        <f>C57+C58+C59+C60+C61+C63+C62</f>
        <v>1086.1780000000001</v>
      </c>
      <c r="D56" s="33">
        <f>D57+D58+D59+D60+D61+D63+D62</f>
        <v>314.50788</v>
      </c>
      <c r="E56" s="34">
        <f>SUM(D56/C56*100)</f>
        <v>28.955464021550792</v>
      </c>
      <c r="F56" s="34">
        <f>SUM(D56-C56)</f>
        <v>-771.67012000000011</v>
      </c>
    </row>
    <row r="57" spans="1:8" s="6" customFormat="1" ht="15.75" hidden="1" customHeight="1">
      <c r="A57" s="35" t="s">
        <v>31</v>
      </c>
      <c r="B57" s="36" t="s">
        <v>32</v>
      </c>
      <c r="C57" s="280"/>
      <c r="D57" s="280"/>
      <c r="E57" s="38"/>
      <c r="F57" s="38"/>
    </row>
    <row r="58" spans="1:8" ht="17.25" customHeight="1">
      <c r="A58" s="35" t="s">
        <v>33</v>
      </c>
      <c r="B58" s="39" t="s">
        <v>34</v>
      </c>
      <c r="C58" s="280">
        <v>1078.4780000000001</v>
      </c>
      <c r="D58" s="280">
        <v>311.92988000000003</v>
      </c>
      <c r="E58" s="38">
        <f t="shared" ref="E58:E98" si="3">SUM(D58/C58*100)</f>
        <v>28.923156522432542</v>
      </c>
      <c r="F58" s="38">
        <f t="shared" ref="F58:F98" si="4">SUM(D58-C58)</f>
        <v>-766.54812000000004</v>
      </c>
    </row>
    <row r="59" spans="1:8" ht="17.25" hidden="1" customHeight="1">
      <c r="A59" s="35" t="s">
        <v>35</v>
      </c>
      <c r="B59" s="39" t="s">
        <v>36</v>
      </c>
      <c r="C59" s="280"/>
      <c r="D59" s="280"/>
      <c r="E59" s="38"/>
      <c r="F59" s="38">
        <f t="shared" si="4"/>
        <v>0</v>
      </c>
    </row>
    <row r="60" spans="1:8" ht="15.75" hidden="1" customHeight="1">
      <c r="A60" s="35" t="s">
        <v>37</v>
      </c>
      <c r="B60" s="39" t="s">
        <v>38</v>
      </c>
      <c r="C60" s="280"/>
      <c r="D60" s="280"/>
      <c r="E60" s="38" t="e">
        <f t="shared" si="3"/>
        <v>#DIV/0!</v>
      </c>
      <c r="F60" s="38">
        <f t="shared" si="4"/>
        <v>0</v>
      </c>
    </row>
    <row r="61" spans="1:8" ht="15" customHeight="1">
      <c r="A61" s="35" t="s">
        <v>39</v>
      </c>
      <c r="B61" s="39" t="s">
        <v>40</v>
      </c>
      <c r="C61" s="280">
        <v>0</v>
      </c>
      <c r="D61" s="280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41</v>
      </c>
      <c r="B62" s="39" t="s">
        <v>42</v>
      </c>
      <c r="C62" s="281">
        <v>5</v>
      </c>
      <c r="D62" s="281">
        <v>0</v>
      </c>
      <c r="E62" s="38">
        <f t="shared" si="3"/>
        <v>0</v>
      </c>
      <c r="F62" s="38">
        <f t="shared" si="4"/>
        <v>-5</v>
      </c>
    </row>
    <row r="63" spans="1:8" ht="19.5" customHeight="1">
      <c r="A63" s="35" t="s">
        <v>43</v>
      </c>
      <c r="B63" s="39" t="s">
        <v>44</v>
      </c>
      <c r="C63" s="280">
        <v>2.7</v>
      </c>
      <c r="D63" s="280">
        <v>2.5779999999999998</v>
      </c>
      <c r="E63" s="38">
        <f t="shared" si="3"/>
        <v>95.481481481481467</v>
      </c>
      <c r="F63" s="38">
        <f t="shared" si="4"/>
        <v>-0.12200000000000033</v>
      </c>
    </row>
    <row r="64" spans="1:8" s="6" customFormat="1">
      <c r="A64" s="41" t="s">
        <v>45</v>
      </c>
      <c r="B64" s="42" t="s">
        <v>46</v>
      </c>
      <c r="C64" s="33">
        <f>C65</f>
        <v>89.944999999999993</v>
      </c>
      <c r="D64" s="33">
        <f>D65</f>
        <v>29.962039999999998</v>
      </c>
      <c r="E64" s="34">
        <f t="shared" si="3"/>
        <v>33.311512591027856</v>
      </c>
      <c r="F64" s="34">
        <f t="shared" si="4"/>
        <v>-59.982959999999991</v>
      </c>
    </row>
    <row r="65" spans="1:9">
      <c r="A65" s="43" t="s">
        <v>47</v>
      </c>
      <c r="B65" s="44" t="s">
        <v>48</v>
      </c>
      <c r="C65" s="280">
        <v>89.944999999999993</v>
      </c>
      <c r="D65" s="280">
        <v>29.962039999999998</v>
      </c>
      <c r="E65" s="38">
        <f t="shared" si="3"/>
        <v>33.311512591027856</v>
      </c>
      <c r="F65" s="38">
        <f t="shared" si="4"/>
        <v>-59.982959999999991</v>
      </c>
    </row>
    <row r="66" spans="1:9" s="6" customFormat="1" ht="18" customHeight="1">
      <c r="A66" s="30" t="s">
        <v>49</v>
      </c>
      <c r="B66" s="31" t="s">
        <v>50</v>
      </c>
      <c r="C66" s="33">
        <f>C69+C70+C71</f>
        <v>8</v>
      </c>
      <c r="D66" s="33">
        <f>D69+D70</f>
        <v>0</v>
      </c>
      <c r="E66" s="34">
        <f t="shared" si="3"/>
        <v>0</v>
      </c>
      <c r="F66" s="34">
        <f t="shared" si="4"/>
        <v>-8</v>
      </c>
    </row>
    <row r="67" spans="1:9" ht="1.5" hidden="1" customHeight="1">
      <c r="A67" s="35" t="s">
        <v>51</v>
      </c>
      <c r="B67" s="39" t="s">
        <v>52</v>
      </c>
      <c r="C67" s="280">
        <v>0</v>
      </c>
      <c r="D67" s="33">
        <v>0</v>
      </c>
      <c r="E67" s="34" t="e">
        <f t="shared" si="3"/>
        <v>#DIV/0!</v>
      </c>
      <c r="F67" s="34">
        <f t="shared" si="4"/>
        <v>0</v>
      </c>
    </row>
    <row r="68" spans="1:9" ht="20.25" hidden="1" customHeight="1">
      <c r="A68" s="45" t="s">
        <v>53</v>
      </c>
      <c r="B68" s="39" t="s">
        <v>54</v>
      </c>
      <c r="C68" s="280">
        <v>0</v>
      </c>
      <c r="D68" s="33">
        <v>0</v>
      </c>
      <c r="E68" s="34" t="e">
        <f t="shared" si="3"/>
        <v>#DIV/0!</v>
      </c>
      <c r="F68" s="34">
        <f t="shared" si="4"/>
        <v>0</v>
      </c>
    </row>
    <row r="69" spans="1:9" ht="17.25" customHeight="1">
      <c r="A69" s="46" t="s">
        <v>55</v>
      </c>
      <c r="B69" s="47" t="s">
        <v>56</v>
      </c>
      <c r="C69" s="282">
        <v>1</v>
      </c>
      <c r="D69" s="33">
        <v>0</v>
      </c>
      <c r="E69" s="34">
        <f t="shared" si="3"/>
        <v>0</v>
      </c>
      <c r="F69" s="34">
        <f t="shared" si="4"/>
        <v>-1</v>
      </c>
    </row>
    <row r="70" spans="1:9">
      <c r="A70" s="46" t="s">
        <v>218</v>
      </c>
      <c r="B70" s="47" t="s">
        <v>219</v>
      </c>
      <c r="C70" s="280">
        <v>5</v>
      </c>
      <c r="D70" s="280">
        <v>0</v>
      </c>
      <c r="E70" s="34">
        <f t="shared" si="3"/>
        <v>0</v>
      </c>
      <c r="F70" s="34">
        <f t="shared" si="4"/>
        <v>-5</v>
      </c>
    </row>
    <row r="71" spans="1:9">
      <c r="A71" s="46" t="s">
        <v>357</v>
      </c>
      <c r="B71" s="47" t="s">
        <v>414</v>
      </c>
      <c r="C71" s="280">
        <v>2</v>
      </c>
      <c r="D71" s="280"/>
      <c r="E71" s="34"/>
      <c r="F71" s="34"/>
    </row>
    <row r="72" spans="1:9" s="6" customFormat="1" ht="17.25" customHeight="1">
      <c r="A72" s="30" t="s">
        <v>57</v>
      </c>
      <c r="B72" s="31" t="s">
        <v>58</v>
      </c>
      <c r="C72" s="33">
        <f>SUM(C73:C76)</f>
        <v>1767.7594900000001</v>
      </c>
      <c r="D72" s="33">
        <f>SUM(D73:D76)</f>
        <v>214.97809999999998</v>
      </c>
      <c r="E72" s="34">
        <f t="shared" si="3"/>
        <v>12.16104912552329</v>
      </c>
      <c r="F72" s="34">
        <f t="shared" si="4"/>
        <v>-1552.7813900000001</v>
      </c>
      <c r="I72" s="108"/>
    </row>
    <row r="73" spans="1:9" ht="15.75" customHeight="1">
      <c r="A73" s="35" t="s">
        <v>59</v>
      </c>
      <c r="B73" s="39" t="s">
        <v>60</v>
      </c>
      <c r="C73" s="280">
        <v>4.0214999999999996</v>
      </c>
      <c r="D73" s="280">
        <v>0</v>
      </c>
      <c r="E73" s="38">
        <f t="shared" si="3"/>
        <v>0</v>
      </c>
      <c r="F73" s="38">
        <f t="shared" si="4"/>
        <v>-4.0214999999999996</v>
      </c>
    </row>
    <row r="74" spans="1:9" s="6" customFormat="1" ht="19.5" customHeight="1">
      <c r="A74" s="35" t="s">
        <v>61</v>
      </c>
      <c r="B74" s="39" t="s">
        <v>62</v>
      </c>
      <c r="C74" s="280">
        <v>30</v>
      </c>
      <c r="D74" s="280">
        <v>0</v>
      </c>
      <c r="E74" s="38">
        <f t="shared" si="3"/>
        <v>0</v>
      </c>
      <c r="F74" s="38">
        <f t="shared" si="4"/>
        <v>-30</v>
      </c>
      <c r="G74" s="50"/>
    </row>
    <row r="75" spans="1:9">
      <c r="A75" s="35" t="s">
        <v>63</v>
      </c>
      <c r="B75" s="39" t="s">
        <v>64</v>
      </c>
      <c r="C75" s="280">
        <v>1695.5829900000001</v>
      </c>
      <c r="D75" s="280">
        <v>196.87809999999999</v>
      </c>
      <c r="E75" s="38">
        <f t="shared" si="3"/>
        <v>11.611233490847887</v>
      </c>
      <c r="F75" s="38">
        <f t="shared" si="4"/>
        <v>-1498.7048900000002</v>
      </c>
    </row>
    <row r="76" spans="1:9">
      <c r="A76" s="35" t="s">
        <v>65</v>
      </c>
      <c r="B76" s="39" t="s">
        <v>66</v>
      </c>
      <c r="C76" s="280">
        <v>38.155000000000001</v>
      </c>
      <c r="D76" s="280">
        <v>18.100000000000001</v>
      </c>
      <c r="E76" s="38">
        <f t="shared" si="3"/>
        <v>47.438081509631772</v>
      </c>
      <c r="F76" s="38">
        <f t="shared" si="4"/>
        <v>-20.055</v>
      </c>
    </row>
    <row r="77" spans="1:9" s="6" customFormat="1" ht="18" customHeight="1">
      <c r="A77" s="30" t="s">
        <v>67</v>
      </c>
      <c r="B77" s="31" t="s">
        <v>68</v>
      </c>
      <c r="C77" s="33">
        <f>SUM(C78:C80)</f>
        <v>310.5</v>
      </c>
      <c r="D77" s="33">
        <f>SUM(D78:D80)</f>
        <v>50.390450000000001</v>
      </c>
      <c r="E77" s="34">
        <f t="shared" si="3"/>
        <v>16.228808373590983</v>
      </c>
      <c r="F77" s="34">
        <f t="shared" si="4"/>
        <v>-260.10955000000001</v>
      </c>
    </row>
    <row r="78" spans="1:9" ht="15" hidden="1" customHeight="1">
      <c r="A78" s="35" t="s">
        <v>69</v>
      </c>
      <c r="B78" s="51" t="s">
        <v>70</v>
      </c>
      <c r="C78" s="280"/>
      <c r="D78" s="280"/>
      <c r="E78" s="38" t="e">
        <f t="shared" si="3"/>
        <v>#DIV/0!</v>
      </c>
      <c r="F78" s="38">
        <f t="shared" si="4"/>
        <v>0</v>
      </c>
    </row>
    <row r="79" spans="1:9" ht="18" hidden="1" customHeight="1">
      <c r="A79" s="35" t="s">
        <v>71</v>
      </c>
      <c r="B79" s="51" t="s">
        <v>72</v>
      </c>
      <c r="C79" s="280"/>
      <c r="D79" s="280"/>
      <c r="E79" s="38" t="e">
        <f t="shared" si="3"/>
        <v>#DIV/0!</v>
      </c>
      <c r="F79" s="38">
        <f t="shared" si="4"/>
        <v>0</v>
      </c>
    </row>
    <row r="80" spans="1:9">
      <c r="A80" s="35" t="s">
        <v>73</v>
      </c>
      <c r="B80" s="39" t="s">
        <v>74</v>
      </c>
      <c r="C80" s="280">
        <v>310.5</v>
      </c>
      <c r="D80" s="280">
        <v>50.390450000000001</v>
      </c>
      <c r="E80" s="38">
        <f t="shared" si="3"/>
        <v>16.228808373590983</v>
      </c>
      <c r="F80" s="38">
        <f t="shared" si="4"/>
        <v>-260.10955000000001</v>
      </c>
    </row>
    <row r="81" spans="1:12" s="6" customFormat="1">
      <c r="A81" s="30" t="s">
        <v>85</v>
      </c>
      <c r="B81" s="31" t="s">
        <v>86</v>
      </c>
      <c r="C81" s="33">
        <f>C82</f>
        <v>801.4</v>
      </c>
      <c r="D81" s="33">
        <f>SUM(D82)</f>
        <v>270.2</v>
      </c>
      <c r="E81" s="34">
        <f t="shared" si="3"/>
        <v>33.71599700524083</v>
      </c>
      <c r="F81" s="34">
        <f t="shared" si="4"/>
        <v>-531.20000000000005</v>
      </c>
    </row>
    <row r="82" spans="1:12" ht="15.75" customHeight="1">
      <c r="A82" s="35" t="s">
        <v>87</v>
      </c>
      <c r="B82" s="39" t="s">
        <v>233</v>
      </c>
      <c r="C82" s="280">
        <v>801.4</v>
      </c>
      <c r="D82" s="280">
        <v>270.2</v>
      </c>
      <c r="E82" s="38">
        <f t="shared" si="3"/>
        <v>33.71599700524083</v>
      </c>
      <c r="F82" s="38">
        <f t="shared" si="4"/>
        <v>-531.20000000000005</v>
      </c>
      <c r="L82" s="107"/>
    </row>
    <row r="83" spans="1:12" s="6" customFormat="1" hidden="1">
      <c r="A83" s="52">
        <v>1000</v>
      </c>
      <c r="B83" s="31" t="s">
        <v>88</v>
      </c>
      <c r="C83" s="33">
        <f>SUM(C84:C87)</f>
        <v>0</v>
      </c>
      <c r="D83" s="33">
        <f>SUM(D84:D87)</f>
        <v>0</v>
      </c>
      <c r="E83" s="34" t="e">
        <f>SUM(D83/C83*100)</f>
        <v>#DIV/0!</v>
      </c>
      <c r="F83" s="34">
        <f t="shared" si="4"/>
        <v>0</v>
      </c>
    </row>
    <row r="84" spans="1:12" hidden="1">
      <c r="A84" s="53">
        <v>1001</v>
      </c>
      <c r="B84" s="54" t="s">
        <v>89</v>
      </c>
      <c r="C84" s="280"/>
      <c r="D84" s="280"/>
      <c r="E84" s="350" t="e">
        <f>SUM(D84/C84*100)</f>
        <v>#DIV/0!</v>
      </c>
      <c r="F84" s="350">
        <f>SUM(D84-C84)</f>
        <v>0</v>
      </c>
    </row>
    <row r="85" spans="1:12" hidden="1">
      <c r="A85" s="53">
        <v>1003</v>
      </c>
      <c r="B85" s="54" t="s">
        <v>90</v>
      </c>
      <c r="C85" s="280"/>
      <c r="D85" s="280"/>
      <c r="E85" s="350" t="e">
        <f>SUM(D85/C85*100)</f>
        <v>#DIV/0!</v>
      </c>
      <c r="F85" s="350">
        <f>SUM(D85-C85)</f>
        <v>0</v>
      </c>
    </row>
    <row r="86" spans="1:12" hidden="1">
      <c r="A86" s="53">
        <v>1004</v>
      </c>
      <c r="B86" s="54" t="s">
        <v>91</v>
      </c>
      <c r="C86" s="280"/>
      <c r="D86" s="283"/>
      <c r="E86" s="350" t="e">
        <f>SUM(D86/C86*100)</f>
        <v>#DIV/0!</v>
      </c>
      <c r="F86" s="350">
        <f>SUM(D86-C86)</f>
        <v>0</v>
      </c>
    </row>
    <row r="87" spans="1:12" ht="15" hidden="1" customHeight="1">
      <c r="A87" s="35" t="s">
        <v>92</v>
      </c>
      <c r="B87" s="39" t="s">
        <v>93</v>
      </c>
      <c r="C87" s="280">
        <v>0</v>
      </c>
      <c r="D87" s="280">
        <v>0</v>
      </c>
      <c r="E87" s="350" t="e">
        <f>SUM(D87/C87*100)</f>
        <v>#DIV/0!</v>
      </c>
      <c r="F87" s="350">
        <f>SUM(D87-C87)</f>
        <v>0</v>
      </c>
    </row>
    <row r="88" spans="1:12" ht="19.5" customHeight="1">
      <c r="A88" s="30" t="s">
        <v>94</v>
      </c>
      <c r="B88" s="31" t="s">
        <v>95</v>
      </c>
      <c r="C88" s="33">
        <f>C89+C90+C91+C92+C93</f>
        <v>1</v>
      </c>
      <c r="D88" s="33">
        <f>D89+D90+D91+D92+D93</f>
        <v>0</v>
      </c>
      <c r="E88" s="38">
        <f t="shared" si="3"/>
        <v>0</v>
      </c>
      <c r="F88" s="22">
        <f>F89+F90+F91+F92+F93</f>
        <v>-1</v>
      </c>
    </row>
    <row r="89" spans="1:12" ht="15.75" customHeight="1">
      <c r="A89" s="35" t="s">
        <v>96</v>
      </c>
      <c r="B89" s="39" t="s">
        <v>97</v>
      </c>
      <c r="C89" s="280">
        <v>1</v>
      </c>
      <c r="D89" s="280">
        <v>0</v>
      </c>
      <c r="E89" s="38">
        <f t="shared" si="3"/>
        <v>0</v>
      </c>
      <c r="F89" s="38">
        <f>SUM(D89-C89)</f>
        <v>-1</v>
      </c>
    </row>
    <row r="90" spans="1:12" ht="0.75" hidden="1" customHeight="1">
      <c r="A90" s="35" t="s">
        <v>98</v>
      </c>
      <c r="B90" s="39" t="s">
        <v>99</v>
      </c>
      <c r="C90" s="280"/>
      <c r="D90" s="280">
        <v>0</v>
      </c>
      <c r="E90" s="38" t="e">
        <f t="shared" si="3"/>
        <v>#DIV/0!</v>
      </c>
      <c r="F90" s="38">
        <f>SUM(D90-C90)</f>
        <v>0</v>
      </c>
    </row>
    <row r="91" spans="1:12" ht="15.75" hidden="1" customHeight="1">
      <c r="A91" s="35" t="s">
        <v>100</v>
      </c>
      <c r="B91" s="39" t="s">
        <v>101</v>
      </c>
      <c r="C91" s="280"/>
      <c r="D91" s="280"/>
      <c r="E91" s="38" t="e">
        <f t="shared" si="3"/>
        <v>#DIV/0!</v>
      </c>
      <c r="F91" s="38"/>
    </row>
    <row r="92" spans="1:12" ht="3" hidden="1" customHeight="1">
      <c r="A92" s="35" t="s">
        <v>102</v>
      </c>
      <c r="B92" s="39" t="s">
        <v>103</v>
      </c>
      <c r="C92" s="280"/>
      <c r="D92" s="280"/>
      <c r="E92" s="38" t="e">
        <f t="shared" si="3"/>
        <v>#DIV/0!</v>
      </c>
      <c r="F92" s="38"/>
    </row>
    <row r="93" spans="1:12" ht="15" hidden="1" customHeight="1">
      <c r="A93" s="35" t="s">
        <v>104</v>
      </c>
      <c r="B93" s="39" t="s">
        <v>105</v>
      </c>
      <c r="C93" s="280"/>
      <c r="D93" s="280"/>
      <c r="E93" s="38" t="e">
        <f t="shared" si="3"/>
        <v>#DIV/0!</v>
      </c>
      <c r="F93" s="38"/>
    </row>
    <row r="94" spans="1:12" s="6" customFormat="1" ht="12" hidden="1" customHeight="1">
      <c r="A94" s="52">
        <v>1400</v>
      </c>
      <c r="B94" s="56" t="s">
        <v>114</v>
      </c>
      <c r="C94" s="33">
        <f>C95+C96+C97</f>
        <v>0</v>
      </c>
      <c r="D94" s="33">
        <f>SUM(D95:D97)</f>
        <v>0</v>
      </c>
      <c r="E94" s="34" t="e">
        <f t="shared" si="3"/>
        <v>#DIV/0!</v>
      </c>
      <c r="F94" s="34">
        <f t="shared" si="4"/>
        <v>0</v>
      </c>
    </row>
    <row r="95" spans="1:12" ht="15.75" hidden="1" customHeight="1">
      <c r="A95" s="53">
        <v>1401</v>
      </c>
      <c r="B95" s="54" t="s">
        <v>115</v>
      </c>
      <c r="C95" s="280"/>
      <c r="D95" s="280"/>
      <c r="E95" s="38" t="e">
        <f t="shared" si="3"/>
        <v>#DIV/0!</v>
      </c>
      <c r="F95" s="38">
        <f t="shared" si="4"/>
        <v>0</v>
      </c>
    </row>
    <row r="96" spans="1:12" hidden="1">
      <c r="A96" s="53">
        <v>1402</v>
      </c>
      <c r="B96" s="54" t="s">
        <v>116</v>
      </c>
      <c r="C96" s="280"/>
      <c r="D96" s="280"/>
      <c r="E96" s="38" t="e">
        <f t="shared" si="3"/>
        <v>#DIV/0!</v>
      </c>
      <c r="F96" s="38">
        <f t="shared" si="4"/>
        <v>0</v>
      </c>
    </row>
    <row r="97" spans="1:8" ht="23.25" hidden="1" customHeight="1">
      <c r="A97" s="53">
        <v>1403</v>
      </c>
      <c r="B97" s="54" t="s">
        <v>117</v>
      </c>
      <c r="C97" s="280"/>
      <c r="D97" s="280"/>
      <c r="E97" s="38" t="e">
        <f t="shared" si="3"/>
        <v>#DIV/0!</v>
      </c>
      <c r="F97" s="38">
        <f t="shared" si="4"/>
        <v>0</v>
      </c>
    </row>
    <row r="98" spans="1:8" s="6" customFormat="1" ht="16.5" customHeight="1">
      <c r="A98" s="52"/>
      <c r="B98" s="57" t="s">
        <v>118</v>
      </c>
      <c r="C98" s="374">
        <f>C56+C64+C66+C72+C77+C81+C88+C83</f>
        <v>4064.7824900000001</v>
      </c>
      <c r="D98" s="374">
        <f>D56+D64+D66+D72+D77+D81+D88+D83</f>
        <v>880.03846999999996</v>
      </c>
      <c r="E98" s="34">
        <f t="shared" si="3"/>
        <v>21.650321318915147</v>
      </c>
      <c r="F98" s="34">
        <f t="shared" si="4"/>
        <v>-3184.7440200000001</v>
      </c>
      <c r="G98" s="151">
        <f>4064.78249-C98</f>
        <v>0</v>
      </c>
      <c r="H98" s="444">
        <f>566.80169-D98</f>
        <v>-313.23677999999995</v>
      </c>
    </row>
    <row r="99" spans="1:8" ht="20.25" customHeight="1">
      <c r="C99" s="126"/>
      <c r="D99" s="101"/>
    </row>
    <row r="100" spans="1:8" s="65" customFormat="1" ht="13.5" customHeight="1">
      <c r="A100" s="63" t="s">
        <v>119</v>
      </c>
      <c r="B100" s="63"/>
      <c r="C100" s="116"/>
      <c r="D100" s="64"/>
      <c r="E100" s="64"/>
    </row>
    <row r="101" spans="1:8" s="65" customFormat="1" ht="12.75">
      <c r="A101" s="66" t="s">
        <v>120</v>
      </c>
      <c r="B101" s="66"/>
      <c r="C101" s="134" t="s">
        <v>121</v>
      </c>
      <c r="D101" s="134"/>
    </row>
    <row r="102" spans="1:8">
      <c r="C102" s="120"/>
    </row>
    <row r="104" spans="1:8" ht="5.25" customHeight="1"/>
  </sheetData>
  <customSheetViews>
    <customSheetView guid="{5BFCA170-DEAE-4D2C-98A0-1E68B427AC01}" showPageBreaks="1" hiddenRows="1" topLeftCell="A37">
      <selection activeCell="B100" sqref="B100"/>
      <pageMargins left="0.7" right="0.7" top="0.75" bottom="0.75" header="0.3" footer="0.3"/>
      <pageSetup paperSize="9" scale="54" orientation="portrait" r:id="rId1"/>
    </customSheetView>
    <customSheetView guid="{B30CE22D-C12F-4E12-8BB9-3AAE0A6991CC}" scale="70" showPageBreaks="1" printArea="1" hiddenRows="1" view="pageBreakPreview" topLeftCell="A37">
      <selection activeCell="C89" sqref="C89"/>
      <pageMargins left="0.70866141732283472" right="0.70866141732283472" top="0.74803149606299213" bottom="0.74803149606299213" header="0.31496062992125984" footer="0.31496062992125984"/>
      <pageSetup paperSize="9" scale="53" orientation="portrait" r:id="rId2"/>
    </customSheetView>
    <customSheetView guid="{1A52382B-3765-4E8C-903F-6B8919B7242E}" scale="70" showPageBreaks="1" printArea="1" hiddenRows="1" view="pageBreakPreview" topLeftCell="A16">
      <selection activeCell="H99" sqref="H99"/>
      <pageMargins left="0.7" right="0.7" top="0.75" bottom="0.75" header="0.3" footer="0.3"/>
      <pageSetup paperSize="9" scale="54" orientation="portrait" r:id="rId3"/>
    </customSheetView>
    <customSheetView guid="{A54C432C-6C68-4B53-A75C-446EB3A61B2B}" scale="70" showPageBreaks="1" hiddenRows="1" view="pageBreakPreview" topLeftCell="A50">
      <selection activeCell="D86" sqref="D86"/>
      <pageMargins left="0.70866141732283472" right="0.70866141732283472" top="0.74803149606299213" bottom="0.74803149606299213" header="0.31496062992125984" footer="0.31496062992125984"/>
      <pageSetup paperSize="9" scale="58" orientation="portrait" r:id="rId4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4" orientation="portrait" r:id="rId5"/>
    </customSheetView>
    <customSheetView guid="{1718F1EE-9F48-4DBE-9531-3B70F9C4A5DD}" scale="70" showPageBreaks="1" hiddenRows="1" view="pageBreakPreview" topLeftCell="A16">
      <selection activeCell="D4" sqref="C4:D50"/>
      <pageMargins left="0.7" right="0.7" top="0.75" bottom="0.75" header="0.3" footer="0.3"/>
      <pageSetup paperSize="9" scale="39" orientation="portrait" r:id="rId6"/>
    </customSheetView>
    <customSheetView guid="{42584DC0-1D41-4C93-9B38-C388E7B8DAC4}" scale="70" showPageBreaks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55" orientation="portrait" r:id="rId7"/>
    </customSheetView>
    <customSheetView guid="{B31C8DB7-3E78-4144-A6B5-8DE36DE63F0E}" hiddenRows="1" topLeftCell="A37">
      <selection activeCell="B100" sqref="B100"/>
      <pageMargins left="0.7" right="0.7" top="0.75" bottom="0.75" header="0.3" footer="0.3"/>
      <pageSetup paperSize="9" scale="54" orientation="portrait" r:id="rId8"/>
    </customSheetView>
    <customSheetView guid="{61528DAC-5C4C-48F4-ADE2-8A724B05A086}" scale="70" showPageBreaks="1" hiddenRows="1" view="pageBreakPreview" topLeftCell="A27">
      <selection activeCell="A71" sqref="A71:XFD71"/>
      <pageMargins left="0.70866141732283472" right="0.70866141732283472" top="0.74803149606299213" bottom="0.74803149606299213" header="0.31496062992125984" footer="0.31496062992125984"/>
      <pageSetup paperSize="9" scale="53" orientation="portrait" r:id="rId9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4" orientation="portrait" r:id="rId1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H103"/>
  <sheetViews>
    <sheetView topLeftCell="A25" zoomScaleNormal="100" zoomScaleSheetLayoutView="70" workbookViewId="0">
      <selection activeCell="D41" sqref="D41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7.42578125" style="62" customWidth="1"/>
    <col min="5" max="5" width="10.42578125" style="62" customWidth="1"/>
    <col min="6" max="6" width="9.42578125" style="62" customWidth="1"/>
    <col min="7" max="7" width="17.710937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0" t="s">
        <v>428</v>
      </c>
      <c r="B1" s="530"/>
      <c r="C1" s="530"/>
      <c r="D1" s="530"/>
      <c r="E1" s="530"/>
      <c r="F1" s="530"/>
    </row>
    <row r="2" spans="1:6">
      <c r="A2" s="530"/>
      <c r="B2" s="530"/>
      <c r="C2" s="530"/>
      <c r="D2" s="530"/>
      <c r="E2" s="530"/>
      <c r="F2" s="530"/>
    </row>
    <row r="3" spans="1:6" ht="63">
      <c r="A3" s="2" t="s">
        <v>0</v>
      </c>
      <c r="B3" s="2" t="s">
        <v>1</v>
      </c>
      <c r="C3" s="72" t="s">
        <v>411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2613.5920000000001</v>
      </c>
      <c r="D4" s="5">
        <f>D5+D12+D14+D17+D7</f>
        <v>623.26117999999997</v>
      </c>
      <c r="E4" s="5">
        <f>SUM(D4/C4*100)</f>
        <v>23.846919488581232</v>
      </c>
      <c r="F4" s="5">
        <f>SUM(D4-C4)</f>
        <v>-1990.3308200000001</v>
      </c>
    </row>
    <row r="5" spans="1:6" s="6" customFormat="1">
      <c r="A5" s="68">
        <v>1010000000</v>
      </c>
      <c r="B5" s="67" t="s">
        <v>5</v>
      </c>
      <c r="C5" s="5">
        <f>C6</f>
        <v>132.63200000000001</v>
      </c>
      <c r="D5" s="5">
        <f>D6</f>
        <v>39.612940000000002</v>
      </c>
      <c r="E5" s="5">
        <f t="shared" ref="E5:E50" si="0">SUM(D5/C5*100)</f>
        <v>29.866804391097173</v>
      </c>
      <c r="F5" s="5">
        <f t="shared" ref="F5:F50" si="1">SUM(D5-C5)</f>
        <v>-93.019059999999996</v>
      </c>
    </row>
    <row r="6" spans="1:6">
      <c r="A6" s="7">
        <v>1010200001</v>
      </c>
      <c r="B6" s="8" t="s">
        <v>228</v>
      </c>
      <c r="C6" s="9">
        <v>132.63200000000001</v>
      </c>
      <c r="D6" s="10">
        <v>39.612940000000002</v>
      </c>
      <c r="E6" s="9">
        <f t="shared" ref="E6:E11" si="2">SUM(D6/C6*100)</f>
        <v>29.866804391097173</v>
      </c>
      <c r="F6" s="9">
        <f t="shared" si="1"/>
        <v>-93.019059999999996</v>
      </c>
    </row>
    <row r="7" spans="1:6" ht="31.5">
      <c r="A7" s="3">
        <v>1030000000</v>
      </c>
      <c r="B7" s="13" t="s">
        <v>280</v>
      </c>
      <c r="C7" s="5">
        <f>C8+C10+C9</f>
        <v>499.96000000000004</v>
      </c>
      <c r="D7" s="5">
        <f>D8+D10+D9+D11</f>
        <v>193.12305999999998</v>
      </c>
      <c r="E7" s="5">
        <f t="shared" si="2"/>
        <v>38.62770221617729</v>
      </c>
      <c r="F7" s="5">
        <f t="shared" si="1"/>
        <v>-306.83694000000003</v>
      </c>
    </row>
    <row r="8" spans="1:6">
      <c r="A8" s="7">
        <v>1030223001</v>
      </c>
      <c r="B8" s="8" t="s">
        <v>282</v>
      </c>
      <c r="C8" s="9">
        <v>186.49</v>
      </c>
      <c r="D8" s="10">
        <v>86.911869999999993</v>
      </c>
      <c r="E8" s="9">
        <f t="shared" si="2"/>
        <v>46.604037750013397</v>
      </c>
      <c r="F8" s="9">
        <f t="shared" si="1"/>
        <v>-99.578130000000016</v>
      </c>
    </row>
    <row r="9" spans="1:6">
      <c r="A9" s="7">
        <v>1030224001</v>
      </c>
      <c r="B9" s="8" t="s">
        <v>288</v>
      </c>
      <c r="C9" s="9">
        <v>2</v>
      </c>
      <c r="D9" s="10">
        <v>0.63441999999999998</v>
      </c>
      <c r="E9" s="9">
        <f t="shared" si="2"/>
        <v>31.721</v>
      </c>
      <c r="F9" s="9">
        <f t="shared" si="1"/>
        <v>-1.36558</v>
      </c>
    </row>
    <row r="10" spans="1:6">
      <c r="A10" s="7">
        <v>1030225001</v>
      </c>
      <c r="B10" s="8" t="s">
        <v>281</v>
      </c>
      <c r="C10" s="9">
        <v>311.47000000000003</v>
      </c>
      <c r="D10" s="10">
        <v>123.54124</v>
      </c>
      <c r="E10" s="9">
        <f t="shared" si="2"/>
        <v>39.663929110347702</v>
      </c>
      <c r="F10" s="9">
        <f t="shared" si="1"/>
        <v>-187.92876000000001</v>
      </c>
    </row>
    <row r="11" spans="1:6">
      <c r="A11" s="7">
        <v>1030226001</v>
      </c>
      <c r="B11" s="8" t="s">
        <v>290</v>
      </c>
      <c r="C11" s="9">
        <v>0</v>
      </c>
      <c r="D11" s="10">
        <v>-17.964469999999999</v>
      </c>
      <c r="E11" s="9" t="e">
        <f t="shared" si="2"/>
        <v>#DIV/0!</v>
      </c>
      <c r="F11" s="9">
        <f t="shared" si="1"/>
        <v>-17.964469999999999</v>
      </c>
    </row>
    <row r="12" spans="1:6" s="6" customFormat="1">
      <c r="A12" s="68">
        <v>1050000000</v>
      </c>
      <c r="B12" s="67" t="s">
        <v>6</v>
      </c>
      <c r="C12" s="5">
        <f>SUM(C13:C13)</f>
        <v>40</v>
      </c>
      <c r="D12" s="5">
        <f>SUM(D13:D13)</f>
        <v>13.89498</v>
      </c>
      <c r="E12" s="5">
        <f t="shared" si="0"/>
        <v>34.737450000000003</v>
      </c>
      <c r="F12" s="5">
        <f t="shared" si="1"/>
        <v>-26.10502</v>
      </c>
    </row>
    <row r="13" spans="1:6" ht="15.75" customHeight="1">
      <c r="A13" s="7">
        <v>1050300000</v>
      </c>
      <c r="B13" s="11" t="s">
        <v>229</v>
      </c>
      <c r="C13" s="12">
        <v>40</v>
      </c>
      <c r="D13" s="10">
        <v>13.89498</v>
      </c>
      <c r="E13" s="9">
        <f t="shared" si="0"/>
        <v>34.737450000000003</v>
      </c>
      <c r="F13" s="9">
        <f t="shared" si="1"/>
        <v>-26.10502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1929</v>
      </c>
      <c r="D14" s="5">
        <f>D15+D16</f>
        <v>371.43020000000001</v>
      </c>
      <c r="E14" s="5">
        <f t="shared" si="0"/>
        <v>19.255064800414722</v>
      </c>
      <c r="F14" s="5">
        <f t="shared" si="1"/>
        <v>-1557.5698</v>
      </c>
    </row>
    <row r="15" spans="1:6" s="6" customFormat="1" ht="15.75" customHeight="1">
      <c r="A15" s="7">
        <v>1060100000</v>
      </c>
      <c r="B15" s="11" t="s">
        <v>8</v>
      </c>
      <c r="C15" s="9">
        <v>229</v>
      </c>
      <c r="D15" s="10">
        <v>7.1509600000000004</v>
      </c>
      <c r="E15" s="9">
        <f t="shared" si="0"/>
        <v>3.122689956331878</v>
      </c>
      <c r="F15" s="9">
        <f>SUM(D15-C15)</f>
        <v>-221.84904</v>
      </c>
    </row>
    <row r="16" spans="1:6" ht="15.75" customHeight="1">
      <c r="A16" s="7">
        <v>1060600000</v>
      </c>
      <c r="B16" s="11" t="s">
        <v>7</v>
      </c>
      <c r="C16" s="9">
        <v>1700</v>
      </c>
      <c r="D16" s="10">
        <v>364.27924000000002</v>
      </c>
      <c r="E16" s="9">
        <f t="shared" si="0"/>
        <v>21.428190588235296</v>
      </c>
      <c r="F16" s="9">
        <f t="shared" si="1"/>
        <v>-1335.7207599999999</v>
      </c>
    </row>
    <row r="17" spans="1:6" s="6" customFormat="1">
      <c r="A17" s="3">
        <v>1080000000</v>
      </c>
      <c r="B17" s="4" t="s">
        <v>10</v>
      </c>
      <c r="C17" s="5">
        <f>C18</f>
        <v>12</v>
      </c>
      <c r="D17" s="5">
        <f>D18</f>
        <v>5.2</v>
      </c>
      <c r="E17" s="5">
        <f t="shared" si="0"/>
        <v>43.333333333333336</v>
      </c>
      <c r="F17" s="5">
        <f t="shared" si="1"/>
        <v>-6.8</v>
      </c>
    </row>
    <row r="18" spans="1:6" ht="15" customHeight="1">
      <c r="A18" s="7">
        <v>1080400001</v>
      </c>
      <c r="B18" s="8" t="s">
        <v>227</v>
      </c>
      <c r="C18" s="9">
        <v>12</v>
      </c>
      <c r="D18" s="10">
        <v>5.2</v>
      </c>
      <c r="E18" s="9">
        <f t="shared" si="0"/>
        <v>43.333333333333336</v>
      </c>
      <c r="F18" s="9">
        <f t="shared" si="1"/>
        <v>-6.8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232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275.10000000000002</v>
      </c>
      <c r="D25" s="5">
        <f>D26+D29+D31+D36+D34</f>
        <v>152.56204</v>
      </c>
      <c r="E25" s="5">
        <f t="shared" si="0"/>
        <v>55.456939294801884</v>
      </c>
      <c r="F25" s="5">
        <f t="shared" si="1"/>
        <v>-122.53796000000003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275.10000000000002</v>
      </c>
      <c r="D26" s="5">
        <f>D27+D28</f>
        <v>112.4143</v>
      </c>
      <c r="E26" s="5">
        <f t="shared" si="0"/>
        <v>40.863067975281716</v>
      </c>
      <c r="F26" s="5">
        <f t="shared" si="1"/>
        <v>-162.68570000000003</v>
      </c>
    </row>
    <row r="27" spans="1:6">
      <c r="A27" s="16">
        <v>1110502510</v>
      </c>
      <c r="B27" s="17" t="s">
        <v>225</v>
      </c>
      <c r="C27" s="12">
        <v>224.4</v>
      </c>
      <c r="D27" s="10">
        <v>82.555300000000003</v>
      </c>
      <c r="E27" s="9">
        <f t="shared" si="0"/>
        <v>36.789349376114082</v>
      </c>
      <c r="F27" s="9">
        <f t="shared" si="1"/>
        <v>-141.84469999999999</v>
      </c>
    </row>
    <row r="28" spans="1:6">
      <c r="A28" s="7">
        <v>1110503510</v>
      </c>
      <c r="B28" s="11" t="s">
        <v>224</v>
      </c>
      <c r="C28" s="12">
        <v>50.7</v>
      </c>
      <c r="D28" s="10">
        <v>29.859000000000002</v>
      </c>
      <c r="E28" s="9">
        <f t="shared" si="0"/>
        <v>58.893491124260358</v>
      </c>
      <c r="F28" s="9">
        <f t="shared" si="1"/>
        <v>-20.841000000000001</v>
      </c>
    </row>
    <row r="29" spans="1:6" s="15" customFormat="1" ht="19.5" customHeight="1">
      <c r="A29" s="68">
        <v>1130000000</v>
      </c>
      <c r="B29" s="69" t="s">
        <v>130</v>
      </c>
      <c r="C29" s="5">
        <f>C30</f>
        <v>0</v>
      </c>
      <c r="D29" s="5">
        <f>D30</f>
        <v>40.147739999999999</v>
      </c>
      <c r="E29" s="5" t="e">
        <f t="shared" si="0"/>
        <v>#DIV/0!</v>
      </c>
      <c r="F29" s="5">
        <f t="shared" si="1"/>
        <v>40.147739999999999</v>
      </c>
    </row>
    <row r="30" spans="1:6" ht="21" customHeight="1">
      <c r="A30" s="7">
        <v>1130206510</v>
      </c>
      <c r="B30" s="8" t="s">
        <v>14</v>
      </c>
      <c r="C30" s="9">
        <v>0</v>
      </c>
      <c r="D30" s="10">
        <v>40.147739999999999</v>
      </c>
      <c r="E30" s="9" t="e">
        <f t="shared" si="0"/>
        <v>#DIV/0!</v>
      </c>
      <c r="F30" s="9">
        <f t="shared" si="1"/>
        <v>40.147739999999999</v>
      </c>
    </row>
    <row r="31" spans="1:6" ht="25.5" customHeight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5.5" hidden="1" customHeight="1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27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251</v>
      </c>
      <c r="C34" s="9">
        <v>0</v>
      </c>
      <c r="D34" s="14">
        <f>D35</f>
        <v>0</v>
      </c>
      <c r="E34" s="9" t="e">
        <f t="shared" si="0"/>
        <v>#DIV/0!</v>
      </c>
      <c r="F34" s="9">
        <f t="shared" si="1"/>
        <v>0</v>
      </c>
    </row>
    <row r="35" spans="1:7" ht="47.25">
      <c r="A35" s="7">
        <v>1163305010</v>
      </c>
      <c r="B35" s="8" t="s">
        <v>267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15" customHeight="1">
      <c r="A36" s="3">
        <v>1170000000</v>
      </c>
      <c r="B36" s="13" t="s">
        <v>134</v>
      </c>
      <c r="C36" s="5">
        <f>C37+C38</f>
        <v>0</v>
      </c>
      <c r="D36" s="5">
        <f>D37+D38</f>
        <v>0</v>
      </c>
      <c r="E36" s="9" t="e">
        <f t="shared" si="0"/>
        <v>#DIV/0!</v>
      </c>
      <c r="F36" s="5">
        <f t="shared" si="1"/>
        <v>0</v>
      </c>
    </row>
    <row r="37" spans="1:7" ht="18" customHeight="1">
      <c r="A37" s="7">
        <v>1170105005</v>
      </c>
      <c r="B37" s="8" t="s">
        <v>17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5" customHeight="1">
      <c r="A38" s="7">
        <v>1170505005</v>
      </c>
      <c r="B38" s="11" t="s">
        <v>220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7.25" customHeight="1">
      <c r="A39" s="3">
        <v>1000000000</v>
      </c>
      <c r="B39" s="4" t="s">
        <v>18</v>
      </c>
      <c r="C39" s="127">
        <f>SUM(C4,C25)</f>
        <v>2888.692</v>
      </c>
      <c r="D39" s="127">
        <f>SUM(D4,D25)</f>
        <v>775.82321999999999</v>
      </c>
      <c r="E39" s="5">
        <f t="shared" si="0"/>
        <v>26.85724957870206</v>
      </c>
      <c r="F39" s="5">
        <f t="shared" si="1"/>
        <v>-2112.8687799999998</v>
      </c>
    </row>
    <row r="40" spans="1:7" s="6" customFormat="1">
      <c r="A40" s="3">
        <v>2000000000</v>
      </c>
      <c r="B40" s="4" t="s">
        <v>19</v>
      </c>
      <c r="C40" s="5">
        <f>C41+C43+C44+C45+C46+C47+C48+C42</f>
        <v>2885.3386199999995</v>
      </c>
      <c r="D40" s="5">
        <f>SUM(D41:D48)</f>
        <v>559.76199999999994</v>
      </c>
      <c r="E40" s="5">
        <f t="shared" si="0"/>
        <v>19.400218612815713</v>
      </c>
      <c r="F40" s="5">
        <f t="shared" si="1"/>
        <v>-2325.5766199999998</v>
      </c>
      <c r="G40" s="19"/>
    </row>
    <row r="41" spans="1:7" ht="15" customHeight="1">
      <c r="A41" s="16">
        <v>2021000000</v>
      </c>
      <c r="B41" s="17" t="s">
        <v>20</v>
      </c>
      <c r="C41" s="12">
        <v>767.8</v>
      </c>
      <c r="D41" s="412">
        <v>255.93199999999999</v>
      </c>
      <c r="E41" s="9">
        <f t="shared" si="0"/>
        <v>33.333159676999216</v>
      </c>
      <c r="F41" s="9">
        <f t="shared" si="1"/>
        <v>-511.86799999999994</v>
      </c>
    </row>
    <row r="42" spans="1:7" ht="15" customHeight="1">
      <c r="A42" s="16">
        <v>2021500200</v>
      </c>
      <c r="B42" s="17" t="s">
        <v>231</v>
      </c>
      <c r="C42" s="12">
        <v>170</v>
      </c>
      <c r="D42" s="20">
        <v>0</v>
      </c>
      <c r="E42" s="9">
        <f>SUM(D42/C42*100)</f>
        <v>0</v>
      </c>
      <c r="F42" s="9">
        <f>SUM(D42-C42)</f>
        <v>-170</v>
      </c>
    </row>
    <row r="43" spans="1:7">
      <c r="A43" s="16">
        <v>2022000000</v>
      </c>
      <c r="B43" s="17" t="s">
        <v>21</v>
      </c>
      <c r="C43" s="12">
        <v>1855.8026199999999</v>
      </c>
      <c r="D43" s="10">
        <v>274.05399999999997</v>
      </c>
      <c r="E43" s="9">
        <f t="shared" si="0"/>
        <v>14.767410986842986</v>
      </c>
      <c r="F43" s="9">
        <f t="shared" si="1"/>
        <v>-1581.7486199999998</v>
      </c>
    </row>
    <row r="44" spans="1:7" ht="18.75" customHeight="1">
      <c r="A44" s="16">
        <v>2023000000</v>
      </c>
      <c r="B44" s="17" t="s">
        <v>22</v>
      </c>
      <c r="C44" s="12">
        <v>91.736000000000004</v>
      </c>
      <c r="D44" s="249">
        <v>29.776</v>
      </c>
      <c r="E44" s="9">
        <f t="shared" si="0"/>
        <v>32.458358768640444</v>
      </c>
      <c r="F44" s="9">
        <f t="shared" si="1"/>
        <v>-61.960000000000008</v>
      </c>
    </row>
    <row r="45" spans="1:7" ht="17.25" customHeight="1">
      <c r="A45" s="16">
        <v>2020400000</v>
      </c>
      <c r="B45" s="17" t="s">
        <v>23</v>
      </c>
      <c r="C45" s="12">
        <v>0</v>
      </c>
      <c r="D45" s="250">
        <v>0</v>
      </c>
      <c r="E45" s="9" t="e">
        <f t="shared" si="0"/>
        <v>#DIV/0!</v>
      </c>
      <c r="F45" s="9">
        <f t="shared" si="1"/>
        <v>0</v>
      </c>
    </row>
    <row r="46" spans="1:7" ht="16.5" customHeight="1">
      <c r="A46" s="16">
        <v>2020900000</v>
      </c>
      <c r="B46" s="18" t="s">
        <v>24</v>
      </c>
      <c r="C46" s="12"/>
      <c r="D46" s="250"/>
      <c r="E46" s="9" t="e">
        <f t="shared" si="0"/>
        <v>#DIV/0!</v>
      </c>
      <c r="F46" s="9">
        <f t="shared" si="1"/>
        <v>0</v>
      </c>
    </row>
    <row r="47" spans="1:7" ht="24" customHeight="1">
      <c r="A47" s="7">
        <v>2190500005</v>
      </c>
      <c r="B47" s="11" t="s">
        <v>25</v>
      </c>
      <c r="C47" s="10">
        <v>0</v>
      </c>
      <c r="D47" s="414">
        <v>0</v>
      </c>
      <c r="E47" s="5" t="e">
        <f t="shared" si="0"/>
        <v>#DIV/0!</v>
      </c>
      <c r="F47" s="5">
        <f>SUM(D47-C47)</f>
        <v>0</v>
      </c>
    </row>
    <row r="48" spans="1:7" ht="18" customHeight="1">
      <c r="A48" s="7">
        <v>2070502010</v>
      </c>
      <c r="B48" s="11" t="s">
        <v>302</v>
      </c>
      <c r="C48" s="10">
        <v>0</v>
      </c>
      <c r="D48" s="10">
        <v>0</v>
      </c>
      <c r="E48" s="9" t="e">
        <f>SUM(D48/C48*100)</f>
        <v>#DIV/0!</v>
      </c>
      <c r="F48" s="9">
        <f>SUM(D48-C48)</f>
        <v>0</v>
      </c>
    </row>
    <row r="49" spans="1:8" s="6" customFormat="1" hidden="1">
      <c r="A49" s="351">
        <v>2190000010</v>
      </c>
      <c r="B49" s="352" t="s">
        <v>25</v>
      </c>
      <c r="C49" s="12">
        <v>0</v>
      </c>
      <c r="D49" s="10">
        <v>0</v>
      </c>
      <c r="E49" s="9" t="e">
        <f t="shared" si="0"/>
        <v>#DIV/0!</v>
      </c>
      <c r="F49" s="9">
        <f t="shared" si="1"/>
        <v>0</v>
      </c>
    </row>
    <row r="50" spans="1:8" s="6" customFormat="1" ht="19.5" customHeight="1">
      <c r="A50" s="3"/>
      <c r="B50" s="4" t="s">
        <v>27</v>
      </c>
      <c r="C50" s="368">
        <f>C39+C40</f>
        <v>5774.0306199999995</v>
      </c>
      <c r="D50" s="369">
        <f>D39+D40</f>
        <v>1335.5852199999999</v>
      </c>
      <c r="E50" s="5">
        <f t="shared" si="0"/>
        <v>23.130899503265884</v>
      </c>
      <c r="F50" s="5">
        <f t="shared" si="1"/>
        <v>-4438.4453999999996</v>
      </c>
      <c r="G50" s="94">
        <f>5774.03062-C50</f>
        <v>0</v>
      </c>
      <c r="H50" s="443"/>
    </row>
    <row r="51" spans="1:8" s="6" customFormat="1">
      <c r="A51" s="3"/>
      <c r="B51" s="21" t="s">
        <v>320</v>
      </c>
      <c r="C51" s="93">
        <f>C50-C97</f>
        <v>-182.90052000000014</v>
      </c>
      <c r="D51" s="93">
        <f>D50-D97</f>
        <v>32.465370000000121</v>
      </c>
      <c r="E51" s="22"/>
      <c r="F51" s="22"/>
    </row>
    <row r="52" spans="1:8">
      <c r="A52" s="23"/>
      <c r="B52" s="24"/>
      <c r="C52" s="348"/>
      <c r="D52" s="348" t="s">
        <v>336</v>
      </c>
      <c r="E52" s="26"/>
      <c r="F52" s="92"/>
    </row>
    <row r="53" spans="1:8" ht="50.25" customHeight="1">
      <c r="A53" s="28" t="s">
        <v>0</v>
      </c>
      <c r="B53" s="28" t="s">
        <v>28</v>
      </c>
      <c r="C53" s="241" t="s">
        <v>411</v>
      </c>
      <c r="D53" s="242" t="s">
        <v>419</v>
      </c>
      <c r="E53" s="72" t="s">
        <v>2</v>
      </c>
      <c r="F53" s="74" t="s">
        <v>3</v>
      </c>
    </row>
    <row r="54" spans="1:8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8" s="6" customFormat="1" ht="30.75" customHeight="1">
      <c r="A55" s="30" t="s">
        <v>29</v>
      </c>
      <c r="B55" s="31" t="s">
        <v>30</v>
      </c>
      <c r="C55" s="244">
        <f>C56+C57+C58+C59+C60+C62+C61</f>
        <v>1434.2819999999999</v>
      </c>
      <c r="D55" s="32">
        <f>D56+D57+D58+D59+D60+D62+D61</f>
        <v>449.18475000000001</v>
      </c>
      <c r="E55" s="34">
        <f>SUM(D55/C55*100)</f>
        <v>31.317742954314426</v>
      </c>
      <c r="F55" s="34">
        <f>SUM(D55-C55)</f>
        <v>-985.09724999999992</v>
      </c>
    </row>
    <row r="56" spans="1:8" s="6" customFormat="1" ht="31.5" hidden="1">
      <c r="A56" s="35" t="s">
        <v>31</v>
      </c>
      <c r="B56" s="36" t="s">
        <v>32</v>
      </c>
      <c r="C56" s="37"/>
      <c r="D56" s="37"/>
      <c r="E56" s="34" t="e">
        <f>SUM(D56/C56*100)</f>
        <v>#DIV/0!</v>
      </c>
      <c r="F56" s="38"/>
    </row>
    <row r="57" spans="1:8" ht="15" customHeight="1">
      <c r="A57" s="35" t="s">
        <v>33</v>
      </c>
      <c r="B57" s="39" t="s">
        <v>34</v>
      </c>
      <c r="C57" s="37">
        <v>1425.6</v>
      </c>
      <c r="D57" s="37">
        <v>445.50274999999999</v>
      </c>
      <c r="E57" s="34">
        <f>SUM(D57/C57*100)</f>
        <v>31.25019290123457</v>
      </c>
      <c r="F57" s="38">
        <f t="shared" ref="F57:F97" si="3">SUM(D57-C57)</f>
        <v>-980.09724999999992</v>
      </c>
    </row>
    <row r="58" spans="1:8" ht="16.5" hidden="1" customHeight="1">
      <c r="A58" s="35" t="s">
        <v>35</v>
      </c>
      <c r="B58" s="39" t="s">
        <v>36</v>
      </c>
      <c r="C58" s="37"/>
      <c r="D58" s="37"/>
      <c r="E58" s="34" t="e">
        <f>SUM(D58/C58*100)</f>
        <v>#DIV/0!</v>
      </c>
      <c r="F58" s="38">
        <f t="shared" si="3"/>
        <v>0</v>
      </c>
    </row>
    <row r="59" spans="1:8" ht="31.5" hidden="1" customHeight="1">
      <c r="A59" s="35" t="s">
        <v>37</v>
      </c>
      <c r="B59" s="39" t="s">
        <v>38</v>
      </c>
      <c r="C59" s="37"/>
      <c r="D59" s="37"/>
      <c r="E59" s="34" t="e">
        <f>SUM(D59/C59*100)</f>
        <v>#DIV/0!</v>
      </c>
      <c r="F59" s="38">
        <f t="shared" si="3"/>
        <v>0</v>
      </c>
    </row>
    <row r="60" spans="1:8">
      <c r="A60" s="35" t="s">
        <v>39</v>
      </c>
      <c r="B60" s="39" t="s">
        <v>40</v>
      </c>
      <c r="C60" s="37">
        <v>0</v>
      </c>
      <c r="D60" s="37">
        <v>0</v>
      </c>
      <c r="E60" s="38" t="e">
        <f t="shared" ref="E60:E97" si="4">SUM(D60/C60*100)</f>
        <v>#DIV/0!</v>
      </c>
      <c r="F60" s="38">
        <f t="shared" si="3"/>
        <v>0</v>
      </c>
    </row>
    <row r="61" spans="1:8">
      <c r="A61" s="35" t="s">
        <v>41</v>
      </c>
      <c r="B61" s="39" t="s">
        <v>42</v>
      </c>
      <c r="C61" s="40">
        <v>5</v>
      </c>
      <c r="D61" s="40">
        <v>0</v>
      </c>
      <c r="E61" s="38">
        <f t="shared" si="4"/>
        <v>0</v>
      </c>
      <c r="F61" s="38">
        <f t="shared" si="3"/>
        <v>-5</v>
      </c>
    </row>
    <row r="62" spans="1:8" ht="19.5" customHeight="1">
      <c r="A62" s="35" t="s">
        <v>43</v>
      </c>
      <c r="B62" s="39" t="s">
        <v>44</v>
      </c>
      <c r="C62" s="37">
        <v>3.6819999999999999</v>
      </c>
      <c r="D62" s="37">
        <v>3.6819999999999999</v>
      </c>
      <c r="E62" s="38">
        <f t="shared" si="4"/>
        <v>100</v>
      </c>
      <c r="F62" s="38">
        <f t="shared" si="3"/>
        <v>0</v>
      </c>
    </row>
    <row r="63" spans="1:8" s="6" customFormat="1">
      <c r="A63" s="41" t="s">
        <v>45</v>
      </c>
      <c r="B63" s="42" t="s">
        <v>46</v>
      </c>
      <c r="C63" s="32">
        <f>C64</f>
        <v>89.945999999999998</v>
      </c>
      <c r="D63" s="32">
        <f>D64</f>
        <v>29.509599999999999</v>
      </c>
      <c r="E63" s="34">
        <f t="shared" si="4"/>
        <v>32.808129322037665</v>
      </c>
      <c r="F63" s="34">
        <f t="shared" si="3"/>
        <v>-60.436399999999999</v>
      </c>
    </row>
    <row r="64" spans="1:8">
      <c r="A64" s="43" t="s">
        <v>47</v>
      </c>
      <c r="B64" s="44" t="s">
        <v>48</v>
      </c>
      <c r="C64" s="37">
        <v>89.945999999999998</v>
      </c>
      <c r="D64" s="37">
        <v>29.509599999999999</v>
      </c>
      <c r="E64" s="38">
        <f t="shared" si="4"/>
        <v>32.808129322037665</v>
      </c>
      <c r="F64" s="38">
        <f t="shared" si="3"/>
        <v>-60.436399999999999</v>
      </c>
    </row>
    <row r="65" spans="1:7" s="6" customFormat="1" ht="21" customHeight="1">
      <c r="A65" s="30" t="s">
        <v>49</v>
      </c>
      <c r="B65" s="31" t="s">
        <v>50</v>
      </c>
      <c r="C65" s="32">
        <f>C68+C69+C70</f>
        <v>19.715</v>
      </c>
      <c r="D65" s="32">
        <f>D68+D69</f>
        <v>3.6</v>
      </c>
      <c r="E65" s="34">
        <f t="shared" si="4"/>
        <v>18.260207963479587</v>
      </c>
      <c r="F65" s="34">
        <f t="shared" si="3"/>
        <v>-16.114999999999998</v>
      </c>
    </row>
    <row r="66" spans="1:7" hidden="1">
      <c r="A66" s="35" t="s">
        <v>51</v>
      </c>
      <c r="B66" s="39" t="s">
        <v>52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idden="1">
      <c r="A67" s="45" t="s">
        <v>53</v>
      </c>
      <c r="B67" s="39" t="s">
        <v>54</v>
      </c>
      <c r="C67" s="37"/>
      <c r="D67" s="37"/>
      <c r="E67" s="34" t="e">
        <f t="shared" si="4"/>
        <v>#DIV/0!</v>
      </c>
      <c r="F67" s="34">
        <f t="shared" si="3"/>
        <v>0</v>
      </c>
    </row>
    <row r="68" spans="1:7" ht="15" customHeight="1">
      <c r="A68" s="46" t="s">
        <v>55</v>
      </c>
      <c r="B68" s="47" t="s">
        <v>56</v>
      </c>
      <c r="C68" s="37">
        <v>0</v>
      </c>
      <c r="D68" s="37">
        <v>0</v>
      </c>
      <c r="E68" s="34" t="e">
        <f t="shared" si="4"/>
        <v>#DIV/0!</v>
      </c>
      <c r="F68" s="34">
        <f t="shared" si="3"/>
        <v>0</v>
      </c>
    </row>
    <row r="69" spans="1:7">
      <c r="A69" s="46" t="s">
        <v>218</v>
      </c>
      <c r="B69" s="47" t="s">
        <v>219</v>
      </c>
      <c r="C69" s="37">
        <v>17.715</v>
      </c>
      <c r="D69" s="37">
        <v>3.6</v>
      </c>
      <c r="E69" s="34">
        <f t="shared" si="4"/>
        <v>20.321761219305674</v>
      </c>
      <c r="F69" s="34">
        <f t="shared" si="3"/>
        <v>-14.115</v>
      </c>
    </row>
    <row r="70" spans="1:7">
      <c r="A70" s="46" t="s">
        <v>357</v>
      </c>
      <c r="B70" s="47" t="s">
        <v>414</v>
      </c>
      <c r="C70" s="37">
        <v>2</v>
      </c>
      <c r="D70" s="37"/>
      <c r="E70" s="34"/>
      <c r="F70" s="34"/>
    </row>
    <row r="71" spans="1:7" s="6" customFormat="1" ht="17.25" customHeight="1">
      <c r="A71" s="30" t="s">
        <v>57</v>
      </c>
      <c r="B71" s="31" t="s">
        <v>58</v>
      </c>
      <c r="C71" s="48">
        <f>SUM(C72:C75)</f>
        <v>2999.12104</v>
      </c>
      <c r="D71" s="48">
        <f>SUM(D72:D75)</f>
        <v>425.73274000000004</v>
      </c>
      <c r="E71" s="34">
        <f t="shared" si="4"/>
        <v>14.195250352416588</v>
      </c>
      <c r="F71" s="34">
        <f t="shared" si="3"/>
        <v>-2573.3883000000001</v>
      </c>
    </row>
    <row r="72" spans="1:7">
      <c r="A72" s="35" t="s">
        <v>59</v>
      </c>
      <c r="B72" s="39" t="s">
        <v>60</v>
      </c>
      <c r="C72" s="49">
        <v>4.0214999999999996</v>
      </c>
      <c r="D72" s="37">
        <v>0</v>
      </c>
      <c r="E72" s="38">
        <f t="shared" si="4"/>
        <v>0</v>
      </c>
      <c r="F72" s="38">
        <f t="shared" si="3"/>
        <v>-4.0214999999999996</v>
      </c>
    </row>
    <row r="73" spans="1:7" s="6" customFormat="1">
      <c r="A73" s="35" t="s">
        <v>61</v>
      </c>
      <c r="B73" s="39" t="s">
        <v>62</v>
      </c>
      <c r="C73" s="49">
        <v>989.68582000000004</v>
      </c>
      <c r="D73" s="37">
        <v>65.005740000000003</v>
      </c>
      <c r="E73" s="38">
        <f t="shared" si="4"/>
        <v>6.5683208434773777</v>
      </c>
      <c r="F73" s="38">
        <f t="shared" si="3"/>
        <v>-924.68008000000009</v>
      </c>
      <c r="G73" s="50"/>
    </row>
    <row r="74" spans="1:7">
      <c r="A74" s="35" t="s">
        <v>63</v>
      </c>
      <c r="B74" s="39" t="s">
        <v>64</v>
      </c>
      <c r="C74" s="49">
        <v>1975.41372</v>
      </c>
      <c r="D74" s="37">
        <v>342.42500000000001</v>
      </c>
      <c r="E74" s="38">
        <f t="shared" si="4"/>
        <v>17.334343511596142</v>
      </c>
      <c r="F74" s="38">
        <f t="shared" si="3"/>
        <v>-1632.9887200000001</v>
      </c>
    </row>
    <row r="75" spans="1:7">
      <c r="A75" s="35" t="s">
        <v>65</v>
      </c>
      <c r="B75" s="39" t="s">
        <v>66</v>
      </c>
      <c r="C75" s="49">
        <v>30</v>
      </c>
      <c r="D75" s="37">
        <v>18.302</v>
      </c>
      <c r="E75" s="38">
        <f t="shared" si="4"/>
        <v>61.006666666666668</v>
      </c>
      <c r="F75" s="38">
        <f t="shared" si="3"/>
        <v>-11.698</v>
      </c>
    </row>
    <row r="76" spans="1:7" s="6" customFormat="1" ht="16.5" customHeight="1">
      <c r="A76" s="30" t="s">
        <v>67</v>
      </c>
      <c r="B76" s="31" t="s">
        <v>68</v>
      </c>
      <c r="C76" s="32">
        <f>SUM(C77:C79)</f>
        <v>370.6671</v>
      </c>
      <c r="D76" s="32">
        <f>SUM(D77:D79)</f>
        <v>45.409759999999999</v>
      </c>
      <c r="E76" s="34">
        <f t="shared" si="4"/>
        <v>12.250820210372055</v>
      </c>
      <c r="F76" s="34">
        <f t="shared" si="3"/>
        <v>-325.25734</v>
      </c>
    </row>
    <row r="77" spans="1:7" ht="0.75" customHeight="1">
      <c r="A77" s="35" t="s">
        <v>69</v>
      </c>
      <c r="B77" s="51" t="s">
        <v>70</v>
      </c>
      <c r="C77" s="37">
        <v>0</v>
      </c>
      <c r="D77" s="37">
        <v>0</v>
      </c>
      <c r="E77" s="38" t="e">
        <f t="shared" si="4"/>
        <v>#DIV/0!</v>
      </c>
      <c r="F77" s="38">
        <f t="shared" si="3"/>
        <v>0</v>
      </c>
    </row>
    <row r="78" spans="1:7" ht="17.25" customHeight="1">
      <c r="A78" s="35" t="s">
        <v>71</v>
      </c>
      <c r="B78" s="51" t="s">
        <v>72</v>
      </c>
      <c r="C78" s="37">
        <v>0</v>
      </c>
      <c r="D78" s="37">
        <v>0</v>
      </c>
      <c r="E78" s="38" t="e">
        <f t="shared" si="4"/>
        <v>#DIV/0!</v>
      </c>
      <c r="F78" s="38">
        <f t="shared" si="3"/>
        <v>0</v>
      </c>
    </row>
    <row r="79" spans="1:7">
      <c r="A79" s="35" t="s">
        <v>73</v>
      </c>
      <c r="B79" s="39" t="s">
        <v>74</v>
      </c>
      <c r="C79" s="37">
        <v>370.6671</v>
      </c>
      <c r="D79" s="37">
        <v>45.409759999999999</v>
      </c>
      <c r="E79" s="38">
        <f t="shared" si="4"/>
        <v>12.250820210372055</v>
      </c>
      <c r="F79" s="38">
        <f t="shared" si="3"/>
        <v>-325.25734</v>
      </c>
    </row>
    <row r="80" spans="1:7" s="6" customFormat="1">
      <c r="A80" s="30" t="s">
        <v>85</v>
      </c>
      <c r="B80" s="31" t="s">
        <v>86</v>
      </c>
      <c r="C80" s="32">
        <f>C81</f>
        <v>1028.2</v>
      </c>
      <c r="D80" s="32">
        <f>SUM(D81)</f>
        <v>341.39</v>
      </c>
      <c r="E80" s="34">
        <f t="shared" si="4"/>
        <v>33.202684302664849</v>
      </c>
      <c r="F80" s="34">
        <f t="shared" si="3"/>
        <v>-686.81000000000006</v>
      </c>
    </row>
    <row r="81" spans="1:6" ht="15.75" customHeight="1">
      <c r="A81" s="35" t="s">
        <v>87</v>
      </c>
      <c r="B81" s="39" t="s">
        <v>233</v>
      </c>
      <c r="C81" s="37">
        <v>1028.2</v>
      </c>
      <c r="D81" s="37">
        <v>341.39</v>
      </c>
      <c r="E81" s="38">
        <f t="shared" si="4"/>
        <v>33.202684302664849</v>
      </c>
      <c r="F81" s="38">
        <f t="shared" si="3"/>
        <v>-686.81000000000006</v>
      </c>
    </row>
    <row r="82" spans="1:6" s="6" customFormat="1" ht="0.75" hidden="1" customHeight="1">
      <c r="A82" s="52">
        <v>1000</v>
      </c>
      <c r="B82" s="31" t="s">
        <v>88</v>
      </c>
      <c r="C82" s="32">
        <f>SUM(C83:C86)</f>
        <v>0</v>
      </c>
      <c r="D82" s="32">
        <f>SUM(D83:D86)</f>
        <v>0</v>
      </c>
      <c r="E82" s="34" t="e">
        <f t="shared" si="4"/>
        <v>#DIV/0!</v>
      </c>
      <c r="F82" s="34">
        <f t="shared" si="3"/>
        <v>0</v>
      </c>
    </row>
    <row r="83" spans="1:6" ht="0.75" hidden="1" customHeight="1">
      <c r="A83" s="53">
        <v>1001</v>
      </c>
      <c r="B83" s="54" t="s">
        <v>89</v>
      </c>
      <c r="C83" s="37"/>
      <c r="D83" s="37"/>
      <c r="E83" s="38" t="e">
        <f t="shared" si="4"/>
        <v>#DIV/0!</v>
      </c>
      <c r="F83" s="38">
        <f t="shared" si="3"/>
        <v>0</v>
      </c>
    </row>
    <row r="84" spans="1:6" hidden="1">
      <c r="A84" s="53">
        <v>1003</v>
      </c>
      <c r="B84" s="54" t="s">
        <v>90</v>
      </c>
      <c r="C84" s="37">
        <v>0</v>
      </c>
      <c r="D84" s="37">
        <v>0</v>
      </c>
      <c r="E84" s="38" t="e">
        <f t="shared" si="4"/>
        <v>#DIV/0!</v>
      </c>
      <c r="F84" s="38">
        <f t="shared" si="3"/>
        <v>0</v>
      </c>
    </row>
    <row r="85" spans="1:6" hidden="1">
      <c r="A85" s="53">
        <v>1004</v>
      </c>
      <c r="B85" s="54" t="s">
        <v>91</v>
      </c>
      <c r="C85" s="37"/>
      <c r="D85" s="55"/>
      <c r="E85" s="38" t="e">
        <f t="shared" si="4"/>
        <v>#DIV/0!</v>
      </c>
      <c r="F85" s="38">
        <f t="shared" si="3"/>
        <v>0</v>
      </c>
    </row>
    <row r="86" spans="1:6" hidden="1">
      <c r="A86" s="35" t="s">
        <v>92</v>
      </c>
      <c r="B86" s="39" t="s">
        <v>93</v>
      </c>
      <c r="C86" s="37">
        <v>0</v>
      </c>
      <c r="D86" s="37">
        <v>0</v>
      </c>
      <c r="E86" s="38"/>
      <c r="F86" s="38">
        <f t="shared" si="3"/>
        <v>0</v>
      </c>
    </row>
    <row r="87" spans="1:6">
      <c r="A87" s="30" t="s">
        <v>94</v>
      </c>
      <c r="B87" s="31" t="s">
        <v>95</v>
      </c>
      <c r="C87" s="32">
        <f>C88+C89+C90+C91+C92</f>
        <v>15</v>
      </c>
      <c r="D87" s="32">
        <f>D88+D89+D90+D91+D92</f>
        <v>8.2929999999999993</v>
      </c>
      <c r="E87" s="38">
        <f t="shared" si="4"/>
        <v>55.286666666666662</v>
      </c>
      <c r="F87" s="22">
        <f>F88+F89+F90+F91+F92</f>
        <v>-6.7070000000000007</v>
      </c>
    </row>
    <row r="88" spans="1:6" ht="17.25" customHeight="1">
      <c r="A88" s="35" t="s">
        <v>96</v>
      </c>
      <c r="B88" s="39" t="s">
        <v>97</v>
      </c>
      <c r="C88" s="37">
        <v>15</v>
      </c>
      <c r="D88" s="37">
        <v>8.2929999999999993</v>
      </c>
      <c r="E88" s="38">
        <f t="shared" si="4"/>
        <v>55.286666666666662</v>
      </c>
      <c r="F88" s="38">
        <f>SUM(D88-C88)</f>
        <v>-6.7070000000000007</v>
      </c>
    </row>
    <row r="89" spans="1:6" ht="15.75" hidden="1" customHeight="1">
      <c r="A89" s="35" t="s">
        <v>98</v>
      </c>
      <c r="B89" s="39" t="s">
        <v>99</v>
      </c>
      <c r="C89" s="37"/>
      <c r="D89" s="37"/>
      <c r="E89" s="38" t="e">
        <f t="shared" si="4"/>
        <v>#DIV/0!</v>
      </c>
      <c r="F89" s="38">
        <f>SUM(D89-C89)</f>
        <v>0</v>
      </c>
    </row>
    <row r="90" spans="1:6" ht="15.75" hidden="1" customHeight="1">
      <c r="A90" s="35" t="s">
        <v>100</v>
      </c>
      <c r="B90" s="39" t="s">
        <v>101</v>
      </c>
      <c r="C90" s="37"/>
      <c r="D90" s="37"/>
      <c r="E90" s="38" t="e">
        <f t="shared" si="4"/>
        <v>#DIV/0!</v>
      </c>
      <c r="F90" s="38"/>
    </row>
    <row r="91" spans="1:6" ht="15.75" hidden="1" customHeight="1">
      <c r="A91" s="35" t="s">
        <v>102</v>
      </c>
      <c r="B91" s="39" t="s">
        <v>103</v>
      </c>
      <c r="C91" s="37"/>
      <c r="D91" s="37"/>
      <c r="E91" s="38" t="e">
        <f t="shared" si="4"/>
        <v>#DIV/0!</v>
      </c>
      <c r="F91" s="38"/>
    </row>
    <row r="92" spans="1:6" ht="15.75" hidden="1" customHeight="1">
      <c r="A92" s="35" t="s">
        <v>104</v>
      </c>
      <c r="B92" s="39" t="s">
        <v>105</v>
      </c>
      <c r="C92" s="37"/>
      <c r="D92" s="37"/>
      <c r="E92" s="38" t="e">
        <f t="shared" si="4"/>
        <v>#DIV/0!</v>
      </c>
      <c r="F92" s="38"/>
    </row>
    <row r="93" spans="1:6" s="6" customFormat="1" ht="15.75" hidden="1" customHeight="1">
      <c r="A93" s="52">
        <v>1400</v>
      </c>
      <c r="B93" s="56" t="s">
        <v>114</v>
      </c>
      <c r="C93" s="48">
        <f>C94+C95+C96</f>
        <v>0</v>
      </c>
      <c r="D93" s="48">
        <f>SUM(D94:D96)</f>
        <v>0</v>
      </c>
      <c r="E93" s="34" t="e">
        <f t="shared" si="4"/>
        <v>#DIV/0!</v>
      </c>
      <c r="F93" s="34">
        <f t="shared" si="3"/>
        <v>0</v>
      </c>
    </row>
    <row r="94" spans="1:6" ht="15.75" hidden="1" customHeight="1">
      <c r="A94" s="53">
        <v>1401</v>
      </c>
      <c r="B94" s="54" t="s">
        <v>115</v>
      </c>
      <c r="C94" s="49"/>
      <c r="D94" s="37"/>
      <c r="E94" s="38" t="e">
        <f t="shared" si="4"/>
        <v>#DIV/0!</v>
      </c>
      <c r="F94" s="38">
        <f t="shared" si="3"/>
        <v>0</v>
      </c>
    </row>
    <row r="95" spans="1:6" ht="15.75" hidden="1" customHeight="1">
      <c r="A95" s="53">
        <v>1402</v>
      </c>
      <c r="B95" s="54" t="s">
        <v>116</v>
      </c>
      <c r="C95" s="49"/>
      <c r="D95" s="37"/>
      <c r="E95" s="38" t="e">
        <f t="shared" si="4"/>
        <v>#DIV/0!</v>
      </c>
      <c r="F95" s="38">
        <f t="shared" si="3"/>
        <v>0</v>
      </c>
    </row>
    <row r="96" spans="1:6" ht="15.75" hidden="1" customHeight="1">
      <c r="A96" s="53">
        <v>1403</v>
      </c>
      <c r="B96" s="54" t="s">
        <v>117</v>
      </c>
      <c r="C96" s="49">
        <v>0</v>
      </c>
      <c r="D96" s="37">
        <v>0</v>
      </c>
      <c r="E96" s="38" t="e">
        <f t="shared" si="4"/>
        <v>#DIV/0!</v>
      </c>
      <c r="F96" s="38">
        <f t="shared" si="3"/>
        <v>0</v>
      </c>
    </row>
    <row r="97" spans="1:8" s="6" customFormat="1" ht="15.75" customHeight="1">
      <c r="A97" s="52"/>
      <c r="B97" s="57" t="s">
        <v>118</v>
      </c>
      <c r="C97" s="371">
        <f>C55+C63+C71+C76+C80+C82+C87+C65+C93</f>
        <v>5956.9311399999997</v>
      </c>
      <c r="D97" s="371">
        <f>D55+D63+D71+D76+D80+D82+D87+D65+D93</f>
        <v>1303.1198499999998</v>
      </c>
      <c r="E97" s="34">
        <f t="shared" si="4"/>
        <v>21.87569101226844</v>
      </c>
      <c r="F97" s="34">
        <f t="shared" si="3"/>
        <v>-4653.8112899999996</v>
      </c>
      <c r="G97" s="291">
        <f>5956.93114-C97</f>
        <v>0</v>
      </c>
      <c r="H97" s="291">
        <f>D97-1303.11985</f>
        <v>0</v>
      </c>
    </row>
    <row r="98" spans="1:8">
      <c r="C98" s="126"/>
      <c r="D98" s="101"/>
    </row>
    <row r="99" spans="1:8" s="65" customFormat="1" ht="16.5" customHeight="1">
      <c r="A99" s="63" t="s">
        <v>119</v>
      </c>
      <c r="B99" s="63"/>
      <c r="C99" s="247"/>
      <c r="D99" s="247"/>
      <c r="E99" s="64"/>
    </row>
    <row r="100" spans="1:8" s="65" customFormat="1" ht="20.25" customHeight="1">
      <c r="A100" s="66" t="s">
        <v>120</v>
      </c>
      <c r="B100" s="66"/>
      <c r="C100" s="65" t="s">
        <v>121</v>
      </c>
    </row>
    <row r="101" spans="1:8" ht="13.5" customHeight="1">
      <c r="C101" s="120"/>
    </row>
    <row r="103" spans="1:8" ht="5.25" customHeight="1"/>
  </sheetData>
  <customSheetViews>
    <customSheetView guid="{5BFCA170-DEAE-4D2C-98A0-1E68B427AC01}" showPageBreaks="1" printArea="1" hiddenRows="1" topLeftCell="A25">
      <selection activeCell="D41" sqref="D41"/>
      <pageMargins left="0.7" right="0.7" top="0.75" bottom="0.75" header="0.3" footer="0.3"/>
      <pageSetup paperSize="9" scale="57" orientation="portrait" r:id="rId1"/>
    </customSheetView>
    <customSheetView guid="{B30CE22D-C12F-4E12-8BB9-3AAE0A6991CC}" scale="70" showPageBreaks="1" printArea="1" hiddenRows="1" view="pageBreakPreview" topLeftCell="A31">
      <selection activeCell="D75" sqref="D75"/>
      <pageMargins left="0.70866141732283472" right="0.70866141732283472" top="0.74803149606299213" bottom="0.74803149606299213" header="0.31496062992125984" footer="0.31496062992125984"/>
      <pageSetup paperSize="9" scale="57" orientation="portrait" r:id="rId2"/>
    </customSheetView>
    <customSheetView guid="{1A52382B-3765-4E8C-903F-6B8919B7242E}" scale="70" showPageBreaks="1" printArea="1" hiddenRows="1" view="pageBreakPreview" topLeftCell="A25">
      <selection activeCell="C74" sqref="C74"/>
      <pageMargins left="0.7" right="0.7" top="0.75" bottom="0.75" header="0.3" footer="0.3"/>
      <pageSetup paperSize="9" scale="55" orientation="portrait" r:id="rId3"/>
    </customSheetView>
    <customSheetView guid="{A54C432C-6C68-4B53-A75C-446EB3A61B2B}" scale="70" showPageBreaks="1" printArea="1" hiddenRows="1" view="pageBreakPreview" topLeftCell="A15">
      <selection activeCell="D32" sqref="D32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7" orientation="portrait" r:id="rId5"/>
    </customSheetView>
    <customSheetView guid="{1718F1EE-9F48-4DBE-9531-3B70F9C4A5DD}" scale="70" showPageBreaks="1" printArea="1" hiddenRows="1" view="pageBreakPreview" topLeftCell="A9">
      <selection activeCell="B93" sqref="B93"/>
      <pageMargins left="0.7" right="0.7" top="0.75" bottom="0.75" header="0.3" footer="0.3"/>
      <pageSetup paperSize="9" scale="43" orientation="portrait" r:id="rId6"/>
    </customSheetView>
    <customSheetView guid="{42584DC0-1D41-4C93-9B38-C388E7B8DAC4}" scale="70" showPageBreaks="1" printArea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B31C8DB7-3E78-4144-A6B5-8DE36DE63F0E}" showPageBreaks="1" printArea="1" hiddenRows="1" topLeftCell="A25">
      <selection activeCell="D41" sqref="D41"/>
      <pageMargins left="0.7" right="0.7" top="0.75" bottom="0.75" header="0.3" footer="0.3"/>
      <pageSetup paperSize="9" scale="57" orientation="portrait" r:id="rId8"/>
    </customSheetView>
    <customSheetView guid="{61528DAC-5C4C-48F4-ADE2-8A724B05A086}" scale="70" showPageBreaks="1" printArea="1" hiddenRows="1" view="pageBreakPreview" topLeftCell="A16">
      <selection activeCell="A70" sqref="A70:XFD70"/>
      <pageMargins left="0.70866141732283472" right="0.70866141732283472" top="0.74803149606299213" bottom="0.74803149606299213" header="0.31496062992125984" footer="0.31496062992125984"/>
      <pageSetup paperSize="9" scale="57" orientation="portrait" r:id="rId9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7" orientation="portrait" r:id="rId1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H103"/>
  <sheetViews>
    <sheetView topLeftCell="A32" zoomScaleNormal="100" zoomScaleSheetLayoutView="70" workbookViewId="0">
      <selection activeCell="J56" sqref="J56"/>
    </sheetView>
  </sheetViews>
  <sheetFormatPr defaultRowHeight="15.75"/>
  <cols>
    <col min="1" max="1" width="14.7109375" style="58" customWidth="1"/>
    <col min="2" max="2" width="57.5703125" style="59" customWidth="1"/>
    <col min="3" max="3" width="17.42578125" style="62" customWidth="1"/>
    <col min="4" max="4" width="15.28515625" style="62" customWidth="1"/>
    <col min="5" max="5" width="13" style="62" customWidth="1"/>
    <col min="6" max="6" width="9" style="62" customWidth="1"/>
    <col min="7" max="7" width="15.5703125" style="1" bestFit="1" customWidth="1"/>
    <col min="8" max="8" width="11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30" t="s">
        <v>427</v>
      </c>
      <c r="B1" s="530"/>
      <c r="C1" s="530"/>
      <c r="D1" s="530"/>
      <c r="E1" s="530"/>
      <c r="F1" s="530"/>
    </row>
    <row r="2" spans="1:6">
      <c r="A2" s="530"/>
      <c r="B2" s="530"/>
      <c r="C2" s="530"/>
      <c r="D2" s="530"/>
      <c r="E2" s="530"/>
      <c r="F2" s="530"/>
    </row>
    <row r="3" spans="1:6" ht="63">
      <c r="A3" s="2" t="s">
        <v>0</v>
      </c>
      <c r="B3" s="2" t="s">
        <v>1</v>
      </c>
      <c r="C3" s="72" t="s">
        <v>411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1272.8040000000001</v>
      </c>
      <c r="D4" s="5">
        <f>D5+D12+D14+D17+D7</f>
        <v>315.64492000000001</v>
      </c>
      <c r="E4" s="5">
        <f>SUM(D4/C4*100)</f>
        <v>24.799177249600096</v>
      </c>
      <c r="F4" s="5">
        <f>SUM(D4-C4)</f>
        <v>-957.15908000000013</v>
      </c>
    </row>
    <row r="5" spans="1:6" s="6" customFormat="1">
      <c r="A5" s="68">
        <v>1010000000</v>
      </c>
      <c r="B5" s="67" t="s">
        <v>5</v>
      </c>
      <c r="C5" s="5">
        <f>C6</f>
        <v>132.44399999999999</v>
      </c>
      <c r="D5" s="5">
        <f>D6</f>
        <v>27.945640000000001</v>
      </c>
      <c r="E5" s="5">
        <f t="shared" ref="E5:E52" si="0">SUM(D5/C5*100)</f>
        <v>21.099966778412011</v>
      </c>
      <c r="F5" s="5">
        <f t="shared" ref="F5:F52" si="1">SUM(D5-C5)</f>
        <v>-104.49835999999999</v>
      </c>
    </row>
    <row r="6" spans="1:6">
      <c r="A6" s="7">
        <v>1010200001</v>
      </c>
      <c r="B6" s="8" t="s">
        <v>228</v>
      </c>
      <c r="C6" s="9">
        <v>132.44399999999999</v>
      </c>
      <c r="D6" s="10">
        <v>27.945640000000001</v>
      </c>
      <c r="E6" s="9">
        <f t="shared" ref="E6:E11" si="2">SUM(D6/C6*100)</f>
        <v>21.099966778412011</v>
      </c>
      <c r="F6" s="9">
        <f t="shared" si="1"/>
        <v>-104.49835999999999</v>
      </c>
    </row>
    <row r="7" spans="1:6" ht="31.5">
      <c r="A7" s="3">
        <v>1030000000</v>
      </c>
      <c r="B7" s="13" t="s">
        <v>280</v>
      </c>
      <c r="C7" s="5">
        <f>C8+C10+C9</f>
        <v>672.36</v>
      </c>
      <c r="D7" s="340">
        <f>D8+D10+D9+D11</f>
        <v>259.71719000000002</v>
      </c>
      <c r="E7" s="5">
        <f t="shared" si="2"/>
        <v>38.627697959426499</v>
      </c>
      <c r="F7" s="5">
        <f t="shared" si="1"/>
        <v>-412.64281</v>
      </c>
    </row>
    <row r="8" spans="1:6">
      <c r="A8" s="7">
        <v>1030223001</v>
      </c>
      <c r="B8" s="8" t="s">
        <v>282</v>
      </c>
      <c r="C8" s="9">
        <v>250.79</v>
      </c>
      <c r="D8" s="10">
        <v>116.88146</v>
      </c>
      <c r="E8" s="9">
        <f t="shared" si="2"/>
        <v>46.605311216555691</v>
      </c>
      <c r="F8" s="9">
        <f t="shared" si="1"/>
        <v>-133.90853999999999</v>
      </c>
    </row>
    <row r="9" spans="1:6">
      <c r="A9" s="7">
        <v>1030224001</v>
      </c>
      <c r="B9" s="8" t="s">
        <v>288</v>
      </c>
      <c r="C9" s="9">
        <v>2.69</v>
      </c>
      <c r="D9" s="10">
        <v>0.85316000000000003</v>
      </c>
      <c r="E9" s="9">
        <f t="shared" si="2"/>
        <v>31.715985130111523</v>
      </c>
      <c r="F9" s="9">
        <f t="shared" si="1"/>
        <v>-1.83684</v>
      </c>
    </row>
    <row r="10" spans="1:6">
      <c r="A10" s="7">
        <v>1030225001</v>
      </c>
      <c r="B10" s="8" t="s">
        <v>281</v>
      </c>
      <c r="C10" s="9">
        <v>418.88</v>
      </c>
      <c r="D10" s="10">
        <v>166.14164</v>
      </c>
      <c r="E10" s="9">
        <f t="shared" si="2"/>
        <v>39.663302139037434</v>
      </c>
      <c r="F10" s="9">
        <f t="shared" si="1"/>
        <v>-252.73836</v>
      </c>
    </row>
    <row r="11" spans="1:6">
      <c r="A11" s="7">
        <v>1030226001</v>
      </c>
      <c r="B11" s="8" t="s">
        <v>290</v>
      </c>
      <c r="C11" s="9">
        <v>0</v>
      </c>
      <c r="D11" s="10">
        <v>-24.15907</v>
      </c>
      <c r="E11" s="9" t="e">
        <f t="shared" si="2"/>
        <v>#DIV/0!</v>
      </c>
      <c r="F11" s="9">
        <f t="shared" si="1"/>
        <v>-24.15907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0.31428</v>
      </c>
      <c r="E12" s="5">
        <f t="shared" si="0"/>
        <v>3.1427999999999998</v>
      </c>
      <c r="F12" s="5">
        <f t="shared" si="1"/>
        <v>-9.6857199999999999</v>
      </c>
    </row>
    <row r="13" spans="1:6" ht="15.75" customHeight="1">
      <c r="A13" s="7">
        <v>1050300000</v>
      </c>
      <c r="B13" s="11" t="s">
        <v>229</v>
      </c>
      <c r="C13" s="12">
        <v>10</v>
      </c>
      <c r="D13" s="10">
        <v>0.31428</v>
      </c>
      <c r="E13" s="9">
        <f t="shared" si="0"/>
        <v>3.1427999999999998</v>
      </c>
      <c r="F13" s="9">
        <f t="shared" si="1"/>
        <v>-9.6857199999999999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453</v>
      </c>
      <c r="D14" s="5">
        <f>D15+D16</f>
        <v>25.46781</v>
      </c>
      <c r="E14" s="5">
        <f t="shared" si="0"/>
        <v>5.6220331125827814</v>
      </c>
      <c r="F14" s="5">
        <f t="shared" si="1"/>
        <v>-427.53219000000001</v>
      </c>
    </row>
    <row r="15" spans="1:6" s="6" customFormat="1" ht="15.75" customHeight="1">
      <c r="A15" s="7">
        <v>1060100000</v>
      </c>
      <c r="B15" s="11" t="s">
        <v>8</v>
      </c>
      <c r="C15" s="9">
        <v>128</v>
      </c>
      <c r="D15" s="10">
        <v>4.69041</v>
      </c>
      <c r="E15" s="9">
        <f t="shared" si="0"/>
        <v>3.6643828125</v>
      </c>
      <c r="F15" s="9">
        <f>SUM(D15-C15)</f>
        <v>-123.30959</v>
      </c>
    </row>
    <row r="16" spans="1:6" ht="15.75" customHeight="1">
      <c r="A16" s="7">
        <v>1060600000</v>
      </c>
      <c r="B16" s="11" t="s">
        <v>7</v>
      </c>
      <c r="C16" s="9">
        <v>325</v>
      </c>
      <c r="D16" s="10">
        <v>20.7774</v>
      </c>
      <c r="E16" s="9">
        <f t="shared" si="0"/>
        <v>6.3930461538461536</v>
      </c>
      <c r="F16" s="9">
        <f t="shared" si="1"/>
        <v>-304.2226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2.2000000000000002</v>
      </c>
      <c r="E17" s="5">
        <f t="shared" si="0"/>
        <v>44.000000000000007</v>
      </c>
      <c r="F17" s="5">
        <f t="shared" si="1"/>
        <v>-2.8</v>
      </c>
    </row>
    <row r="18" spans="1:6" ht="17.25" customHeight="1">
      <c r="A18" s="7">
        <v>1080400001</v>
      </c>
      <c r="B18" s="8" t="s">
        <v>271</v>
      </c>
      <c r="C18" s="9">
        <v>5</v>
      </c>
      <c r="D18" s="10">
        <v>2.2000000000000002</v>
      </c>
      <c r="E18" s="9">
        <f t="shared" si="0"/>
        <v>44.000000000000007</v>
      </c>
      <c r="F18" s="9">
        <f t="shared" si="1"/>
        <v>-2.8</v>
      </c>
    </row>
    <row r="19" spans="1:6" ht="49.5" customHeight="1">
      <c r="A19" s="7">
        <v>1080714001</v>
      </c>
      <c r="B19" s="8" t="s">
        <v>226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1.5" hidden="1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3.25" hidden="1" customHeight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21.75" hidden="1" customHeight="1">
      <c r="A22" s="7">
        <v>1090400000</v>
      </c>
      <c r="B22" s="8" t="s">
        <v>125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24.75" hidden="1" customHeight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5.5" hidden="1" customHeight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250</v>
      </c>
      <c r="D25" s="5">
        <f>D26+D29+D31+D34</f>
        <v>152.02216000000001</v>
      </c>
      <c r="E25" s="5">
        <f t="shared" si="0"/>
        <v>60.808864000000007</v>
      </c>
      <c r="F25" s="5">
        <f t="shared" si="1"/>
        <v>-97.977839999999986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50</v>
      </c>
      <c r="D26" s="5">
        <f>D27+D28</f>
        <v>8</v>
      </c>
      <c r="E26" s="5">
        <f t="shared" si="0"/>
        <v>16</v>
      </c>
      <c r="F26" s="5">
        <f t="shared" si="1"/>
        <v>-42</v>
      </c>
    </row>
    <row r="27" spans="1:6">
      <c r="A27" s="16">
        <v>1110502501</v>
      </c>
      <c r="B27" s="17" t="s">
        <v>225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224</v>
      </c>
      <c r="C28" s="12">
        <v>50</v>
      </c>
      <c r="D28" s="10">
        <v>8</v>
      </c>
      <c r="E28" s="9">
        <f t="shared" si="0"/>
        <v>16</v>
      </c>
      <c r="F28" s="9">
        <f t="shared" si="1"/>
        <v>-42</v>
      </c>
    </row>
    <row r="29" spans="1:6" s="15" customFormat="1" ht="27.75" customHeight="1">
      <c r="A29" s="68">
        <v>1130000000</v>
      </c>
      <c r="B29" s="69" t="s">
        <v>130</v>
      </c>
      <c r="C29" s="5">
        <f>C30</f>
        <v>200</v>
      </c>
      <c r="D29" s="5">
        <f>D30</f>
        <v>144.02216000000001</v>
      </c>
      <c r="E29" s="5">
        <f t="shared" si="0"/>
        <v>72.011080000000007</v>
      </c>
      <c r="F29" s="5">
        <f t="shared" si="1"/>
        <v>-55.977839999999986</v>
      </c>
    </row>
    <row r="30" spans="1:6" ht="15.75" customHeight="1">
      <c r="A30" s="7">
        <v>1130206005</v>
      </c>
      <c r="B30" s="8" t="s">
        <v>14</v>
      </c>
      <c r="C30" s="9">
        <v>200</v>
      </c>
      <c r="D30" s="10">
        <v>144.02216000000001</v>
      </c>
      <c r="E30" s="9">
        <f t="shared" si="0"/>
        <v>72.011080000000007</v>
      </c>
      <c r="F30" s="9">
        <f t="shared" si="1"/>
        <v>-55.977839999999986</v>
      </c>
    </row>
    <row r="31" spans="1:6" ht="20.25" customHeight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8" customHeight="1">
      <c r="A32" s="16">
        <v>1140200000</v>
      </c>
      <c r="B32" s="18" t="s">
        <v>132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7.25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1170000000</v>
      </c>
      <c r="B34" s="13" t="s">
        <v>134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7" ht="19.5" customHeight="1">
      <c r="A35" s="7">
        <v>1170105010</v>
      </c>
      <c r="B35" s="8" t="s">
        <v>17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7" ht="0.75" customHeight="1">
      <c r="A36" s="7">
        <v>1170505005</v>
      </c>
      <c r="B36" s="11" t="s">
        <v>220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5" customHeight="1">
      <c r="A37" s="3">
        <v>1000000000</v>
      </c>
      <c r="B37" s="4" t="s">
        <v>18</v>
      </c>
      <c r="C37" s="127">
        <f>SUM(C4,C25)</f>
        <v>1522.8040000000001</v>
      </c>
      <c r="D37" s="127">
        <f>D4+D25</f>
        <v>467.66708000000006</v>
      </c>
      <c r="E37" s="5">
        <f t="shared" si="0"/>
        <v>30.710917491679822</v>
      </c>
      <c r="F37" s="5">
        <f t="shared" si="1"/>
        <v>-1055.1369199999999</v>
      </c>
    </row>
    <row r="38" spans="1:7" s="6" customFormat="1">
      <c r="A38" s="3">
        <v>2000000000</v>
      </c>
      <c r="B38" s="4" t="s">
        <v>19</v>
      </c>
      <c r="C38" s="5">
        <f>C39+C41+C42+C43+C50+C51</f>
        <v>5775.7916400000004</v>
      </c>
      <c r="D38" s="5">
        <f>D39+D41+D42+D43+D50+D51</f>
        <v>1327.9369999999999</v>
      </c>
      <c r="E38" s="5">
        <f t="shared" si="0"/>
        <v>22.991428409630092</v>
      </c>
      <c r="F38" s="5">
        <f t="shared" si="1"/>
        <v>-4447.8546400000005</v>
      </c>
      <c r="G38" s="19"/>
    </row>
    <row r="39" spans="1:7" ht="16.5" customHeight="1">
      <c r="A39" s="16">
        <v>2021000000</v>
      </c>
      <c r="B39" s="17" t="s">
        <v>20</v>
      </c>
      <c r="C39" s="12">
        <v>3029</v>
      </c>
      <c r="D39" s="20">
        <v>1009.668</v>
      </c>
      <c r="E39" s="9">
        <v>0</v>
      </c>
      <c r="F39" s="9">
        <f t="shared" si="1"/>
        <v>-2019.3319999999999</v>
      </c>
    </row>
    <row r="40" spans="1:7" ht="14.25" hidden="1" customHeight="1">
      <c r="A40" s="16">
        <v>2020100310</v>
      </c>
      <c r="B40" s="17" t="s">
        <v>231</v>
      </c>
      <c r="C40" s="12">
        <v>0</v>
      </c>
      <c r="D40" s="20">
        <v>0</v>
      </c>
      <c r="E40" s="9" t="e">
        <f t="shared" si="0"/>
        <v>#DIV/0!</v>
      </c>
      <c r="F40" s="9">
        <f t="shared" si="1"/>
        <v>0</v>
      </c>
    </row>
    <row r="41" spans="1:7" ht="17.25" customHeight="1">
      <c r="A41" s="16">
        <v>2021500200</v>
      </c>
      <c r="B41" s="17" t="s">
        <v>231</v>
      </c>
      <c r="C41" s="12">
        <v>687.5</v>
      </c>
      <c r="D41" s="20">
        <v>0</v>
      </c>
      <c r="E41" s="9">
        <f t="shared" si="0"/>
        <v>0</v>
      </c>
      <c r="F41" s="9">
        <f t="shared" si="1"/>
        <v>-687.5</v>
      </c>
    </row>
    <row r="42" spans="1:7">
      <c r="A42" s="16">
        <v>2022000000</v>
      </c>
      <c r="B42" s="17" t="s">
        <v>21</v>
      </c>
      <c r="C42" s="12">
        <v>1876.63464</v>
      </c>
      <c r="D42" s="10">
        <v>258.72000000000003</v>
      </c>
      <c r="E42" s="9">
        <f t="shared" si="0"/>
        <v>13.78638092282044</v>
      </c>
      <c r="F42" s="9">
        <f t="shared" si="1"/>
        <v>-1617.91464</v>
      </c>
    </row>
    <row r="43" spans="1:7" ht="17.25" customHeight="1">
      <c r="A43" s="16">
        <v>2023000000</v>
      </c>
      <c r="B43" s="17" t="s">
        <v>22</v>
      </c>
      <c r="C43" s="12">
        <v>182.65700000000001</v>
      </c>
      <c r="D43" s="249">
        <v>59.548999999999999</v>
      </c>
      <c r="E43" s="9">
        <f t="shared" si="0"/>
        <v>32.601542782373514</v>
      </c>
      <c r="F43" s="9">
        <f t="shared" si="1"/>
        <v>-123.108</v>
      </c>
    </row>
    <row r="44" spans="1:7" ht="18" hidden="1" customHeight="1">
      <c r="A44" s="16">
        <v>2020400000</v>
      </c>
      <c r="B44" s="17" t="s">
        <v>23</v>
      </c>
      <c r="C44" s="12"/>
      <c r="D44" s="250"/>
      <c r="E44" s="9" t="e">
        <f t="shared" si="0"/>
        <v>#DIV/0!</v>
      </c>
      <c r="F44" s="9">
        <f t="shared" si="1"/>
        <v>0</v>
      </c>
    </row>
    <row r="45" spans="1:7" ht="14.25" hidden="1" customHeight="1">
      <c r="A45" s="16">
        <v>2020900000</v>
      </c>
      <c r="B45" s="18" t="s">
        <v>24</v>
      </c>
      <c r="C45" s="12"/>
      <c r="D45" s="250"/>
      <c r="E45" s="9" t="e">
        <f t="shared" si="0"/>
        <v>#DIV/0!</v>
      </c>
      <c r="F45" s="9">
        <f t="shared" si="1"/>
        <v>0</v>
      </c>
    </row>
    <row r="46" spans="1:7" ht="16.5" hidden="1" customHeight="1">
      <c r="A46" s="124">
        <v>2180000000</v>
      </c>
      <c r="B46" s="125" t="s">
        <v>301</v>
      </c>
      <c r="C46" s="275">
        <f>C47</f>
        <v>0</v>
      </c>
      <c r="D46" s="349">
        <f>D47</f>
        <v>0</v>
      </c>
      <c r="E46" s="9" t="e">
        <f t="shared" si="0"/>
        <v>#DIV/0!</v>
      </c>
      <c r="F46" s="9">
        <f t="shared" si="1"/>
        <v>0</v>
      </c>
    </row>
    <row r="47" spans="1:7" ht="18" hidden="1" customHeight="1">
      <c r="A47" s="16">
        <v>2180501010</v>
      </c>
      <c r="B47" s="18" t="s">
        <v>300</v>
      </c>
      <c r="C47" s="12">
        <v>0</v>
      </c>
      <c r="D47" s="250">
        <v>0</v>
      </c>
      <c r="E47" s="9" t="e">
        <f t="shared" si="0"/>
        <v>#DIV/0!</v>
      </c>
      <c r="F47" s="9">
        <f t="shared" si="1"/>
        <v>0</v>
      </c>
    </row>
    <row r="48" spans="1:7" ht="17.25" hidden="1" customHeight="1">
      <c r="A48" s="7">
        <v>2190500005</v>
      </c>
      <c r="B48" s="11" t="s">
        <v>25</v>
      </c>
      <c r="C48" s="14"/>
      <c r="D48" s="14"/>
      <c r="E48" s="9" t="e">
        <f t="shared" si="0"/>
        <v>#DIV/0!</v>
      </c>
      <c r="F48" s="9">
        <f t="shared" si="1"/>
        <v>0</v>
      </c>
    </row>
    <row r="49" spans="1:8" s="6" customFormat="1" ht="15.75" hidden="1" customHeight="1">
      <c r="A49" s="3">
        <v>3000000000</v>
      </c>
      <c r="B49" s="13" t="s">
        <v>26</v>
      </c>
      <c r="C49" s="122">
        <v>0</v>
      </c>
      <c r="D49" s="14">
        <v>0</v>
      </c>
      <c r="E49" s="9" t="e">
        <f t="shared" si="0"/>
        <v>#DIV/0!</v>
      </c>
      <c r="F49" s="9">
        <f t="shared" si="1"/>
        <v>0</v>
      </c>
    </row>
    <row r="50" spans="1:8" s="6" customFormat="1" ht="15" customHeight="1">
      <c r="A50" s="7">
        <v>2020400000</v>
      </c>
      <c r="B50" s="8" t="s">
        <v>23</v>
      </c>
      <c r="C50" s="12">
        <v>0</v>
      </c>
      <c r="D50" s="10">
        <v>0</v>
      </c>
      <c r="E50" s="9" t="e">
        <f t="shared" si="0"/>
        <v>#DIV/0!</v>
      </c>
      <c r="F50" s="9">
        <f t="shared" si="1"/>
        <v>0</v>
      </c>
    </row>
    <row r="51" spans="1:8" s="6" customFormat="1" ht="15" customHeight="1">
      <c r="A51" s="7">
        <v>2070500010</v>
      </c>
      <c r="B51" s="11" t="s">
        <v>302</v>
      </c>
      <c r="C51" s="12">
        <v>0</v>
      </c>
      <c r="D51" s="10">
        <v>0</v>
      </c>
      <c r="E51" s="9">
        <v>0</v>
      </c>
      <c r="F51" s="9">
        <f>SUM(D51-C51)</f>
        <v>0</v>
      </c>
    </row>
    <row r="52" spans="1:8" s="6" customFormat="1" ht="18" customHeight="1">
      <c r="A52" s="3"/>
      <c r="B52" s="4" t="s">
        <v>27</v>
      </c>
      <c r="C52" s="93">
        <f>C37+C38</f>
        <v>7298.5956400000005</v>
      </c>
      <c r="D52" s="93">
        <f>D37+D38</f>
        <v>1795.6040800000001</v>
      </c>
      <c r="E52" s="5">
        <f t="shared" si="0"/>
        <v>24.602049059399597</v>
      </c>
      <c r="F52" s="5">
        <f t="shared" si="1"/>
        <v>-5502.9915600000004</v>
      </c>
      <c r="G52" s="94">
        <f>7298.59564-C52</f>
        <v>0</v>
      </c>
      <c r="H52" s="291">
        <f>1233.90439-D52</f>
        <v>-561.69969000000015</v>
      </c>
    </row>
    <row r="53" spans="1:8" s="6" customFormat="1">
      <c r="A53" s="3"/>
      <c r="B53" s="21" t="s">
        <v>320</v>
      </c>
      <c r="C53" s="93">
        <f>C52-C99</f>
        <v>-260.56954999999925</v>
      </c>
      <c r="D53" s="93">
        <f>D52-D99</f>
        <v>-174.0012899999997</v>
      </c>
      <c r="E53" s="22"/>
      <c r="F53" s="22"/>
    </row>
    <row r="54" spans="1:8">
      <c r="A54" s="23"/>
      <c r="B54" s="24"/>
      <c r="C54" s="115"/>
      <c r="D54" s="25"/>
      <c r="E54" s="26"/>
      <c r="F54" s="27"/>
    </row>
    <row r="55" spans="1:8" ht="63">
      <c r="A55" s="28" t="s">
        <v>0</v>
      </c>
      <c r="B55" s="28" t="s">
        <v>28</v>
      </c>
      <c r="C55" s="72" t="s">
        <v>411</v>
      </c>
      <c r="D55" s="73" t="s">
        <v>426</v>
      </c>
      <c r="E55" s="72" t="s">
        <v>2</v>
      </c>
      <c r="F55" s="74" t="s">
        <v>3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5" customHeight="1">
      <c r="A57" s="30" t="s">
        <v>29</v>
      </c>
      <c r="B57" s="31" t="s">
        <v>30</v>
      </c>
      <c r="C57" s="32">
        <f>C58+C59+C60+C61+C62+C64+C63</f>
        <v>1234.7919999999999</v>
      </c>
      <c r="D57" s="33">
        <f>D58+D59+D60+D61+D62+D64+D63</f>
        <v>423.67232000000001</v>
      </c>
      <c r="E57" s="34">
        <f>SUM(D57/C57*100)</f>
        <v>34.31122974557659</v>
      </c>
      <c r="F57" s="34">
        <f>SUM(D57-C57)</f>
        <v>-811.1196799999999</v>
      </c>
    </row>
    <row r="58" spans="1:8" s="6" customFormat="1" ht="15" hidden="1" customHeight="1">
      <c r="A58" s="35" t="s">
        <v>31</v>
      </c>
      <c r="B58" s="36" t="s">
        <v>32</v>
      </c>
      <c r="C58" s="37"/>
      <c r="D58" s="37"/>
      <c r="E58" s="38"/>
      <c r="F58" s="38"/>
    </row>
    <row r="59" spans="1:8" ht="15" customHeight="1">
      <c r="A59" s="35" t="s">
        <v>33</v>
      </c>
      <c r="B59" s="39" t="s">
        <v>34</v>
      </c>
      <c r="C59" s="37">
        <v>1175.2919999999999</v>
      </c>
      <c r="D59" s="37">
        <v>369.48032000000001</v>
      </c>
      <c r="E59" s="38">
        <f t="shared" ref="E59:E99" si="3">SUM(D59/C59*100)</f>
        <v>31.43732110828628</v>
      </c>
      <c r="F59" s="38">
        <f t="shared" ref="F59:F99" si="4">SUM(D59-C59)</f>
        <v>-805.81167999999991</v>
      </c>
    </row>
    <row r="60" spans="1:8" ht="15" hidden="1" customHeight="1">
      <c r="A60" s="35" t="s">
        <v>35</v>
      </c>
      <c r="B60" s="39" t="s">
        <v>36</v>
      </c>
      <c r="C60" s="37"/>
      <c r="D60" s="37"/>
      <c r="E60" s="38"/>
      <c r="F60" s="38">
        <f t="shared" si="4"/>
        <v>0</v>
      </c>
    </row>
    <row r="61" spans="1:8" ht="15" hidden="1" customHeight="1">
      <c r="A61" s="35" t="s">
        <v>37</v>
      </c>
      <c r="B61" s="39" t="s">
        <v>38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8" ht="17.25" customHeight="1">
      <c r="A62" s="35" t="s">
        <v>39</v>
      </c>
      <c r="B62" s="39" t="s">
        <v>40</v>
      </c>
      <c r="C62" s="37">
        <v>0</v>
      </c>
      <c r="D62" s="37">
        <v>0</v>
      </c>
      <c r="E62" s="38" t="e">
        <f t="shared" si="3"/>
        <v>#DIV/0!</v>
      </c>
      <c r="F62" s="38">
        <f t="shared" si="4"/>
        <v>0</v>
      </c>
    </row>
    <row r="63" spans="1:8" ht="16.5" customHeight="1">
      <c r="A63" s="35" t="s">
        <v>41</v>
      </c>
      <c r="B63" s="39" t="s">
        <v>42</v>
      </c>
      <c r="C63" s="40">
        <v>5</v>
      </c>
      <c r="D63" s="40">
        <v>0</v>
      </c>
      <c r="E63" s="38">
        <f t="shared" si="3"/>
        <v>0</v>
      </c>
      <c r="F63" s="38">
        <f t="shared" si="4"/>
        <v>-5</v>
      </c>
    </row>
    <row r="64" spans="1:8" ht="18" customHeight="1">
      <c r="A64" s="35" t="s">
        <v>43</v>
      </c>
      <c r="B64" s="39" t="s">
        <v>44</v>
      </c>
      <c r="C64" s="37">
        <v>54.5</v>
      </c>
      <c r="D64" s="37">
        <v>54.192</v>
      </c>
      <c r="E64" s="38">
        <f t="shared" si="3"/>
        <v>99.434862385321097</v>
      </c>
      <c r="F64" s="38">
        <f t="shared" si="4"/>
        <v>-0.30799999999999983</v>
      </c>
    </row>
    <row r="65" spans="1:7" s="6" customFormat="1" ht="15" customHeight="1">
      <c r="A65" s="41" t="s">
        <v>45</v>
      </c>
      <c r="B65" s="42" t="s">
        <v>46</v>
      </c>
      <c r="C65" s="32">
        <f>C66</f>
        <v>179.892</v>
      </c>
      <c r="D65" s="32">
        <f>D66</f>
        <v>58.756</v>
      </c>
      <c r="E65" s="34">
        <f t="shared" si="3"/>
        <v>32.661819313810511</v>
      </c>
      <c r="F65" s="34">
        <f t="shared" si="4"/>
        <v>-121.136</v>
      </c>
    </row>
    <row r="66" spans="1:7">
      <c r="A66" s="43" t="s">
        <v>47</v>
      </c>
      <c r="B66" s="44" t="s">
        <v>48</v>
      </c>
      <c r="C66" s="37">
        <v>179.892</v>
      </c>
      <c r="D66" s="37">
        <v>58.756</v>
      </c>
      <c r="E66" s="38">
        <f t="shared" si="3"/>
        <v>32.661819313810511</v>
      </c>
      <c r="F66" s="38">
        <f t="shared" si="4"/>
        <v>-121.136</v>
      </c>
    </row>
    <row r="67" spans="1:7" s="6" customFormat="1" ht="16.5" customHeight="1">
      <c r="A67" s="30" t="s">
        <v>49</v>
      </c>
      <c r="B67" s="31" t="s">
        <v>50</v>
      </c>
      <c r="C67" s="32">
        <f>C70+C71+C72</f>
        <v>17</v>
      </c>
      <c r="D67" s="32">
        <f>SUM(D68:D71)</f>
        <v>3.5</v>
      </c>
      <c r="E67" s="34">
        <f t="shared" si="3"/>
        <v>20.588235294117645</v>
      </c>
      <c r="F67" s="34">
        <f t="shared" si="4"/>
        <v>-13.5</v>
      </c>
    </row>
    <row r="68" spans="1:7" hidden="1">
      <c r="A68" s="3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53</v>
      </c>
      <c r="B69" s="39" t="s">
        <v>54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5.75" customHeight="1">
      <c r="A70" s="46" t="s">
        <v>55</v>
      </c>
      <c r="B70" s="47" t="s">
        <v>56</v>
      </c>
      <c r="C70" s="96">
        <v>1</v>
      </c>
      <c r="D70" s="37">
        <v>0</v>
      </c>
      <c r="E70" s="34">
        <f t="shared" si="3"/>
        <v>0</v>
      </c>
      <c r="F70" s="34">
        <f t="shared" si="4"/>
        <v>-1</v>
      </c>
    </row>
    <row r="71" spans="1:7" ht="15.75" customHeight="1">
      <c r="A71" s="46" t="s">
        <v>218</v>
      </c>
      <c r="B71" s="47" t="s">
        <v>219</v>
      </c>
      <c r="C71" s="37">
        <v>14</v>
      </c>
      <c r="D71" s="37">
        <v>3.5</v>
      </c>
      <c r="E71" s="34">
        <f t="shared" si="3"/>
        <v>25</v>
      </c>
      <c r="F71" s="34">
        <f t="shared" si="4"/>
        <v>-10.5</v>
      </c>
    </row>
    <row r="72" spans="1:7" ht="15.75" customHeight="1">
      <c r="A72" s="46" t="s">
        <v>357</v>
      </c>
      <c r="B72" s="47" t="s">
        <v>360</v>
      </c>
      <c r="C72" s="37">
        <v>2</v>
      </c>
      <c r="D72" s="37">
        <v>0</v>
      </c>
      <c r="E72" s="34"/>
      <c r="F72" s="34"/>
    </row>
    <row r="73" spans="1:7" s="6" customFormat="1" ht="15" customHeight="1">
      <c r="A73" s="30" t="s">
        <v>57</v>
      </c>
      <c r="B73" s="31" t="s">
        <v>58</v>
      </c>
      <c r="C73" s="48">
        <f>SUM(C74:C77)</f>
        <v>2983.6361899999997</v>
      </c>
      <c r="D73" s="48">
        <f>SUM(D74:D77)</f>
        <v>363.60699999999997</v>
      </c>
      <c r="E73" s="34">
        <f t="shared" si="3"/>
        <v>12.186706985880875</v>
      </c>
      <c r="F73" s="34">
        <f t="shared" si="4"/>
        <v>-2620.0291899999997</v>
      </c>
    </row>
    <row r="74" spans="1:7" ht="17.25" customHeight="1">
      <c r="A74" s="35" t="s">
        <v>59</v>
      </c>
      <c r="B74" s="39" t="s">
        <v>60</v>
      </c>
      <c r="C74" s="49">
        <v>6.7024999999999997</v>
      </c>
      <c r="D74" s="37">
        <v>0</v>
      </c>
      <c r="E74" s="38">
        <f t="shared" si="3"/>
        <v>0</v>
      </c>
      <c r="F74" s="38">
        <f t="shared" si="4"/>
        <v>-6.7024999999999997</v>
      </c>
    </row>
    <row r="75" spans="1:7" s="6" customFormat="1" ht="19.5" customHeight="1">
      <c r="A75" s="35" t="s">
        <v>61</v>
      </c>
      <c r="B75" s="39" t="s">
        <v>62</v>
      </c>
      <c r="C75" s="49">
        <v>385</v>
      </c>
      <c r="D75" s="37">
        <v>69.606999999999999</v>
      </c>
      <c r="E75" s="38">
        <f t="shared" si="3"/>
        <v>18.079740259740259</v>
      </c>
      <c r="F75" s="38">
        <f t="shared" si="4"/>
        <v>-315.39300000000003</v>
      </c>
      <c r="G75" s="50"/>
    </row>
    <row r="76" spans="1:7">
      <c r="A76" s="35" t="s">
        <v>63</v>
      </c>
      <c r="B76" s="39" t="s">
        <v>64</v>
      </c>
      <c r="C76" s="49">
        <v>2591.9336899999998</v>
      </c>
      <c r="D76" s="37">
        <v>294</v>
      </c>
      <c r="E76" s="38">
        <f t="shared" si="3"/>
        <v>11.342882772591301</v>
      </c>
      <c r="F76" s="38">
        <f t="shared" si="4"/>
        <v>-2297.9336899999998</v>
      </c>
    </row>
    <row r="77" spans="1:7">
      <c r="A77" s="35" t="s">
        <v>65</v>
      </c>
      <c r="B77" s="39" t="s">
        <v>66</v>
      </c>
      <c r="C77" s="49">
        <v>0</v>
      </c>
      <c r="D77" s="37">
        <v>0</v>
      </c>
      <c r="E77" s="38" t="e">
        <f t="shared" si="3"/>
        <v>#DIV/0!</v>
      </c>
      <c r="F77" s="38">
        <f t="shared" si="4"/>
        <v>0</v>
      </c>
    </row>
    <row r="78" spans="1:7" s="6" customFormat="1" ht="14.25" customHeight="1">
      <c r="A78" s="30" t="s">
        <v>67</v>
      </c>
      <c r="B78" s="31" t="s">
        <v>68</v>
      </c>
      <c r="C78" s="32">
        <f>SUM(C79:C81)</f>
        <v>444.66699999999997</v>
      </c>
      <c r="D78" s="32">
        <f>SUM(D79:D81)</f>
        <v>331.93167999999997</v>
      </c>
      <c r="E78" s="34">
        <f t="shared" si="3"/>
        <v>74.647248390368532</v>
      </c>
      <c r="F78" s="34">
        <f t="shared" si="4"/>
        <v>-112.73532</v>
      </c>
    </row>
    <row r="79" spans="1:7" hidden="1">
      <c r="A79" s="35" t="s">
        <v>69</v>
      </c>
      <c r="B79" s="51" t="s">
        <v>70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idden="1">
      <c r="A80" s="35" t="s">
        <v>71</v>
      </c>
      <c r="B80" s="51" t="s">
        <v>72</v>
      </c>
      <c r="C80" s="37"/>
      <c r="D80" s="37"/>
      <c r="E80" s="38" t="e">
        <f t="shared" si="3"/>
        <v>#DIV/0!</v>
      </c>
      <c r="F80" s="38">
        <f t="shared" si="4"/>
        <v>0</v>
      </c>
    </row>
    <row r="81" spans="1:6">
      <c r="A81" s="35" t="s">
        <v>73</v>
      </c>
      <c r="B81" s="39" t="s">
        <v>74</v>
      </c>
      <c r="C81" s="37">
        <v>444.66699999999997</v>
      </c>
      <c r="D81" s="37">
        <v>331.93167999999997</v>
      </c>
      <c r="E81" s="38">
        <f t="shared" si="3"/>
        <v>74.647248390368532</v>
      </c>
      <c r="F81" s="38">
        <f t="shared" si="4"/>
        <v>-112.73532</v>
      </c>
    </row>
    <row r="82" spans="1:6" s="6" customFormat="1">
      <c r="A82" s="30" t="s">
        <v>85</v>
      </c>
      <c r="B82" s="31" t="s">
        <v>86</v>
      </c>
      <c r="C82" s="32">
        <f>C83</f>
        <v>2697.1779999999999</v>
      </c>
      <c r="D82" s="32">
        <f>SUM(D83)</f>
        <v>788.13837000000001</v>
      </c>
      <c r="E82" s="34">
        <f t="shared" si="3"/>
        <v>29.220851200773552</v>
      </c>
      <c r="F82" s="34">
        <f t="shared" si="4"/>
        <v>-1909.0396299999998</v>
      </c>
    </row>
    <row r="83" spans="1:6" ht="15" hidden="1" customHeight="1">
      <c r="A83" s="35" t="s">
        <v>87</v>
      </c>
      <c r="B83" s="39" t="s">
        <v>233</v>
      </c>
      <c r="C83" s="37">
        <v>2697.1779999999999</v>
      </c>
      <c r="D83" s="37">
        <v>788.13837000000001</v>
      </c>
      <c r="E83" s="38">
        <f t="shared" si="3"/>
        <v>29.220851200773552</v>
      </c>
      <c r="F83" s="38">
        <f t="shared" si="4"/>
        <v>-1909.0396299999998</v>
      </c>
    </row>
    <row r="84" spans="1:6" s="6" customFormat="1" ht="15.75" hidden="1" customHeight="1">
      <c r="A84" s="52">
        <v>1000</v>
      </c>
      <c r="B84" s="31" t="s">
        <v>88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.75" hidden="1" customHeight="1">
      <c r="A85" s="53">
        <v>1001</v>
      </c>
      <c r="B85" s="54" t="s">
        <v>89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90</v>
      </c>
      <c r="C86" s="96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53">
        <v>1004</v>
      </c>
      <c r="B87" s="54" t="s">
        <v>91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5.75" hidden="1" customHeight="1">
      <c r="A88" s="35" t="s">
        <v>92</v>
      </c>
      <c r="B88" s="39" t="s">
        <v>93</v>
      </c>
      <c r="C88" s="37">
        <v>0</v>
      </c>
      <c r="D88" s="37">
        <v>0</v>
      </c>
      <c r="E88" s="38"/>
      <c r="F88" s="38">
        <f t="shared" si="4"/>
        <v>0</v>
      </c>
    </row>
    <row r="89" spans="1:6" ht="15.75" customHeight="1">
      <c r="A89" s="30" t="s">
        <v>94</v>
      </c>
      <c r="B89" s="31" t="s">
        <v>95</v>
      </c>
      <c r="C89" s="32">
        <f>C90</f>
        <v>2</v>
      </c>
      <c r="D89" s="32">
        <f>D90+D91+D92+D93+D94</f>
        <v>0</v>
      </c>
      <c r="E89" s="38"/>
      <c r="F89" s="22">
        <f>F90+F91+F92+F93+F94</f>
        <v>-2</v>
      </c>
    </row>
    <row r="90" spans="1:6" ht="16.5" customHeight="1">
      <c r="A90" s="35" t="s">
        <v>96</v>
      </c>
      <c r="B90" s="39" t="s">
        <v>97</v>
      </c>
      <c r="C90" s="37">
        <v>2</v>
      </c>
      <c r="D90" s="37">
        <v>0</v>
      </c>
      <c r="E90" s="38"/>
      <c r="F90" s="38">
        <f>SUM(D90-C90)</f>
        <v>-2</v>
      </c>
    </row>
    <row r="91" spans="1:6" ht="1.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21.7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ht="14.25" hidden="1" customHeight="1">
      <c r="A94" s="35" t="s">
        <v>104</v>
      </c>
      <c r="B94" s="39" t="s">
        <v>105</v>
      </c>
      <c r="C94" s="37"/>
      <c r="D94" s="37"/>
      <c r="E94" s="38" t="e">
        <f t="shared" si="3"/>
        <v>#DIV/0!</v>
      </c>
      <c r="F94" s="38"/>
    </row>
    <row r="95" spans="1:6" s="6" customFormat="1" ht="19.5" hidden="1" customHeight="1">
      <c r="A95" s="52">
        <v>1400</v>
      </c>
      <c r="B95" s="56" t="s">
        <v>114</v>
      </c>
      <c r="C95" s="48">
        <f>C96+C97+C98</f>
        <v>0</v>
      </c>
      <c r="D95" s="239">
        <f>SUM(D96:D98)</f>
        <v>0</v>
      </c>
      <c r="E95" s="34" t="e">
        <f t="shared" si="3"/>
        <v>#DIV/0!</v>
      </c>
      <c r="F95" s="34">
        <f t="shared" si="4"/>
        <v>0</v>
      </c>
    </row>
    <row r="96" spans="1:6" ht="15" hidden="1" customHeight="1">
      <c r="A96" s="53">
        <v>1401</v>
      </c>
      <c r="B96" s="54" t="s">
        <v>115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16.5" hidden="1" customHeight="1">
      <c r="A97" s="53">
        <v>1402</v>
      </c>
      <c r="B97" s="54" t="s">
        <v>116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20.25" hidden="1" customHeight="1">
      <c r="A98" s="53">
        <v>1403</v>
      </c>
      <c r="B98" s="54" t="s">
        <v>117</v>
      </c>
      <c r="C98" s="49"/>
      <c r="D98" s="37"/>
      <c r="E98" s="38" t="e">
        <f t="shared" si="3"/>
        <v>#DIV/0!</v>
      </c>
      <c r="F98" s="38">
        <f t="shared" si="4"/>
        <v>0</v>
      </c>
    </row>
    <row r="99" spans="1:6" s="6" customFormat="1" ht="21" customHeight="1">
      <c r="A99" s="52"/>
      <c r="B99" s="57" t="s">
        <v>118</v>
      </c>
      <c r="C99" s="445">
        <f>C57+C65+C67+C73+C78+C82+C89+C84</f>
        <v>7559.1651899999997</v>
      </c>
      <c r="D99" s="445">
        <f>D57+D65+D67+D73+D78+D82+D89+D84</f>
        <v>1969.6053699999998</v>
      </c>
      <c r="E99" s="34">
        <f t="shared" si="3"/>
        <v>26.055858292468404</v>
      </c>
      <c r="F99" s="34">
        <f t="shared" si="4"/>
        <v>-5589.5598200000004</v>
      </c>
    </row>
    <row r="100" spans="1:6">
      <c r="D100" s="243"/>
    </row>
    <row r="101" spans="1:6" s="65" customFormat="1" ht="18" customHeight="1">
      <c r="A101" s="63" t="s">
        <v>119</v>
      </c>
      <c r="B101" s="63"/>
      <c r="C101" s="131"/>
      <c r="D101" s="64"/>
      <c r="E101" s="64"/>
    </row>
    <row r="102" spans="1:6" s="65" customFormat="1" ht="12.75">
      <c r="A102" s="66" t="s">
        <v>120</v>
      </c>
      <c r="B102" s="66"/>
      <c r="C102" s="65" t="s">
        <v>121</v>
      </c>
    </row>
    <row r="103" spans="1:6">
      <c r="C103" s="120"/>
    </row>
  </sheetData>
  <customSheetViews>
    <customSheetView guid="{5BFCA170-DEAE-4D2C-98A0-1E68B427AC01}" showPageBreaks="1" hiddenRows="1" topLeftCell="A32">
      <selection activeCell="J56" sqref="J56"/>
      <pageMargins left="0.7" right="0.7" top="0.75" bottom="0.75" header="0.3" footer="0.3"/>
      <pageSetup paperSize="9" scale="52" orientation="portrait" r:id="rId1"/>
    </customSheetView>
    <customSheetView guid="{B30CE22D-C12F-4E12-8BB9-3AAE0A6991CC}" scale="70" showPageBreaks="1" printArea="1" hiddenRows="1" view="pageBreakPreview" topLeftCell="A16">
      <selection activeCell="D53" sqref="C52:D53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1A52382B-3765-4E8C-903F-6B8919B7242E}" hiddenRows="1" topLeftCell="A35">
      <selection activeCell="D89" sqref="D89"/>
      <pageMargins left="0.7" right="0.7" top="0.75" bottom="0.75" header="0.3" footer="0.3"/>
      <pageSetup paperSize="9" scale="52" orientation="portrait" r:id="rId3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3DCB9AAA-F09C-4EA6-B992-F93E466D374A}" hiddenRows="1" topLeftCell="A38">
      <selection activeCell="J56" sqref="J56"/>
      <pageMargins left="0.7" right="0.7" top="0.75" bottom="0.75" header="0.3" footer="0.3"/>
      <pageSetup paperSize="9" scale="52" orientation="portrait" r:id="rId5"/>
    </customSheetView>
    <customSheetView guid="{1718F1EE-9F48-4DBE-9531-3B70F9C4A5DD}" scale="70" showPageBreaks="1" hiddenRows="1" view="pageBreakPreview" topLeftCell="A37">
      <selection activeCell="D52" sqref="D52"/>
      <pageMargins left="0.7" right="0.7" top="0.75" bottom="0.75" header="0.3" footer="0.3"/>
      <pageSetup paperSize="9" scale="41" orientation="portrait" r:id="rId6"/>
    </customSheetView>
    <customSheetView guid="{42584DC0-1D41-4C93-9B38-C388E7B8DAC4}" scale="70" showPageBreaks="1" hiddenRows="1" view="pageBreakPreview" topLeftCell="A56">
      <selection activeCell="D55" sqref="D55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B31C8DB7-3E78-4144-A6B5-8DE36DE63F0E}" hiddenRows="1" topLeftCell="A32">
      <selection activeCell="D43" sqref="D43"/>
      <pageMargins left="0.7" right="0.7" top="0.75" bottom="0.75" header="0.3" footer="0.3"/>
      <pageSetup paperSize="9" scale="52" orientation="portrait" r:id="rId8"/>
    </customSheetView>
    <customSheetView guid="{61528DAC-5C4C-48F4-ADE2-8A724B05A086}" scale="70" showPageBreaks="1" hiddenRows="1" view="pageBreakPreview">
      <selection activeCell="A72" sqref="A72:XFD72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2" orientation="portrait" r:id="rId1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H104"/>
  <sheetViews>
    <sheetView topLeftCell="A30" zoomScaleNormal="100" zoomScaleSheetLayoutView="70" workbookViewId="0">
      <selection activeCell="D51" sqref="D51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6" style="62" customWidth="1"/>
    <col min="5" max="5" width="10.85546875" style="62" customWidth="1"/>
    <col min="6" max="6" width="9.28515625" style="62" customWidth="1"/>
    <col min="7" max="7" width="15.42578125" style="1" bestFit="1" customWidth="1"/>
    <col min="8" max="8" width="12.85546875" style="1" bestFit="1" customWidth="1"/>
    <col min="9" max="9" width="12.42578125" style="1" customWidth="1"/>
    <col min="10" max="10" width="9.140625" style="1" customWidth="1"/>
    <col min="11" max="16384" width="9.140625" style="1"/>
  </cols>
  <sheetData>
    <row r="1" spans="1:6">
      <c r="A1" s="530" t="s">
        <v>424</v>
      </c>
      <c r="B1" s="530"/>
      <c r="C1" s="530"/>
      <c r="D1" s="530"/>
      <c r="E1" s="530"/>
      <c r="F1" s="530"/>
    </row>
    <row r="2" spans="1:6">
      <c r="A2" s="530"/>
      <c r="B2" s="530"/>
      <c r="C2" s="530"/>
      <c r="D2" s="530"/>
      <c r="E2" s="530"/>
      <c r="F2" s="530"/>
    </row>
    <row r="3" spans="1:6" ht="64.5" customHeight="1">
      <c r="A3" s="2" t="s">
        <v>0</v>
      </c>
      <c r="B3" s="2" t="s">
        <v>1</v>
      </c>
      <c r="C3" s="72" t="s">
        <v>411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2602.7242899999997</v>
      </c>
      <c r="D4" s="5">
        <f>D5+D12+D14+D17+D7</f>
        <v>490.47543999999999</v>
      </c>
      <c r="E4" s="5">
        <f>SUM(D4/C4*100)</f>
        <v>18.844694456668712</v>
      </c>
      <c r="F4" s="5">
        <f>SUM(D4-C4)</f>
        <v>-2112.2488499999995</v>
      </c>
    </row>
    <row r="5" spans="1:6" s="6" customFormat="1">
      <c r="A5" s="68">
        <v>1010000000</v>
      </c>
      <c r="B5" s="67" t="s">
        <v>5</v>
      </c>
      <c r="C5" s="5">
        <f>C6</f>
        <v>137.33699999999999</v>
      </c>
      <c r="D5" s="5">
        <f>D6</f>
        <v>39.724699999999999</v>
      </c>
      <c r="E5" s="5">
        <f t="shared" ref="E5:E52" si="0">SUM(D5/C5*100)</f>
        <v>28.924980158296748</v>
      </c>
      <c r="F5" s="5">
        <f t="shared" ref="F5:F52" si="1">SUM(D5-C5)</f>
        <v>-97.612299999999991</v>
      </c>
    </row>
    <row r="6" spans="1:6">
      <c r="A6" s="7">
        <v>1010200001</v>
      </c>
      <c r="B6" s="8" t="s">
        <v>228</v>
      </c>
      <c r="C6" s="9">
        <v>137.33699999999999</v>
      </c>
      <c r="D6" s="10">
        <v>39.724699999999999</v>
      </c>
      <c r="E6" s="9">
        <f t="shared" ref="E6:E11" si="2">SUM(D6/C6*100)</f>
        <v>28.924980158296748</v>
      </c>
      <c r="F6" s="9">
        <f t="shared" si="1"/>
        <v>-97.612299999999991</v>
      </c>
    </row>
    <row r="7" spans="1:6" ht="31.5">
      <c r="A7" s="3">
        <v>1030000000</v>
      </c>
      <c r="B7" s="13" t="s">
        <v>280</v>
      </c>
      <c r="C7" s="5">
        <f>C8+C10+C9</f>
        <v>737.00999999999988</v>
      </c>
      <c r="D7" s="5">
        <f>D8+D10+D9+D11</f>
        <v>284.68997999999999</v>
      </c>
      <c r="E7" s="5">
        <f t="shared" si="2"/>
        <v>38.627695689339362</v>
      </c>
      <c r="F7" s="5">
        <f t="shared" si="1"/>
        <v>-452.32001999999989</v>
      </c>
    </row>
    <row r="8" spans="1:6">
      <c r="A8" s="7">
        <v>1030223001</v>
      </c>
      <c r="B8" s="8" t="s">
        <v>282</v>
      </c>
      <c r="C8" s="9">
        <v>274.90499999999997</v>
      </c>
      <c r="D8" s="10">
        <v>128.12006</v>
      </c>
      <c r="E8" s="9">
        <f t="shared" si="2"/>
        <v>46.605212709845226</v>
      </c>
      <c r="F8" s="9">
        <f t="shared" si="1"/>
        <v>-146.78493999999998</v>
      </c>
    </row>
    <row r="9" spans="1:6">
      <c r="A9" s="7">
        <v>1030224001</v>
      </c>
      <c r="B9" s="8" t="s">
        <v>288</v>
      </c>
      <c r="C9" s="9">
        <v>2.948</v>
      </c>
      <c r="D9" s="10">
        <v>0.93518999999999997</v>
      </c>
      <c r="E9" s="9">
        <f t="shared" si="2"/>
        <v>31.722862957937586</v>
      </c>
      <c r="F9" s="9">
        <f t="shared" si="1"/>
        <v>-2.01281</v>
      </c>
    </row>
    <row r="10" spans="1:6">
      <c r="A10" s="7">
        <v>1030225001</v>
      </c>
      <c r="B10" s="8" t="s">
        <v>281</v>
      </c>
      <c r="C10" s="9">
        <v>459.15699999999998</v>
      </c>
      <c r="D10" s="10">
        <v>182.11678000000001</v>
      </c>
      <c r="E10" s="9">
        <f t="shared" si="2"/>
        <v>39.663291640985548</v>
      </c>
      <c r="F10" s="9">
        <f>SUM(D10-C10)</f>
        <v>-277.04021999999998</v>
      </c>
    </row>
    <row r="11" spans="1:6">
      <c r="A11" s="7">
        <v>1030226001</v>
      </c>
      <c r="B11" s="8" t="s">
        <v>290</v>
      </c>
      <c r="C11" s="9">
        <v>0</v>
      </c>
      <c r="D11" s="10">
        <v>-26.482050000000001</v>
      </c>
      <c r="E11" s="9" t="e">
        <f t="shared" si="2"/>
        <v>#DIV/0!</v>
      </c>
      <c r="F11" s="9">
        <f>SUM(D11-C11)</f>
        <v>-26.482050000000001</v>
      </c>
    </row>
    <row r="12" spans="1:6" s="6" customFormat="1">
      <c r="A12" s="68">
        <v>1050000000</v>
      </c>
      <c r="B12" s="67" t="s">
        <v>6</v>
      </c>
      <c r="C12" s="5">
        <f>SUM(C13:C13)</f>
        <v>21</v>
      </c>
      <c r="D12" s="5">
        <f>SUM(D13:D13)</f>
        <v>18.549779999999998</v>
      </c>
      <c r="E12" s="5">
        <f t="shared" si="0"/>
        <v>88.332285714285703</v>
      </c>
      <c r="F12" s="5">
        <f t="shared" si="1"/>
        <v>-2.4502200000000016</v>
      </c>
    </row>
    <row r="13" spans="1:6" ht="15.75" customHeight="1">
      <c r="A13" s="7">
        <v>1050300000</v>
      </c>
      <c r="B13" s="11" t="s">
        <v>229</v>
      </c>
      <c r="C13" s="12">
        <v>21</v>
      </c>
      <c r="D13" s="10">
        <v>18.549779999999998</v>
      </c>
      <c r="E13" s="9">
        <f t="shared" si="0"/>
        <v>88.332285714285703</v>
      </c>
      <c r="F13" s="9">
        <f t="shared" si="1"/>
        <v>-2.4502200000000016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1695.3772899999999</v>
      </c>
      <c r="D14" s="5">
        <f>D15+D16</f>
        <v>143.64097999999998</v>
      </c>
      <c r="E14" s="5">
        <f t="shared" si="0"/>
        <v>8.4725082049435727</v>
      </c>
      <c r="F14" s="5">
        <f t="shared" si="1"/>
        <v>-1551.73631</v>
      </c>
    </row>
    <row r="15" spans="1:6" s="6" customFormat="1" ht="15.75" customHeight="1">
      <c r="A15" s="7">
        <v>1060100000</v>
      </c>
      <c r="B15" s="11" t="s">
        <v>8</v>
      </c>
      <c r="C15" s="9">
        <v>201</v>
      </c>
      <c r="D15" s="10">
        <v>20.812069999999999</v>
      </c>
      <c r="E15" s="9">
        <f t="shared" si="0"/>
        <v>10.354263681592039</v>
      </c>
      <c r="F15" s="9">
        <f>SUM(D15-C15)</f>
        <v>-180.18792999999999</v>
      </c>
    </row>
    <row r="16" spans="1:6" ht="15.75" customHeight="1">
      <c r="A16" s="7">
        <v>1060600000</v>
      </c>
      <c r="B16" s="11" t="s">
        <v>7</v>
      </c>
      <c r="C16" s="9">
        <v>1494.3772899999999</v>
      </c>
      <c r="D16" s="10">
        <v>122.82890999999999</v>
      </c>
      <c r="E16" s="9">
        <f t="shared" si="0"/>
        <v>8.2194042175252804</v>
      </c>
      <c r="F16" s="9">
        <f t="shared" si="1"/>
        <v>-1371.54838</v>
      </c>
    </row>
    <row r="17" spans="1:6" s="6" customFormat="1">
      <c r="A17" s="3">
        <v>1080000000</v>
      </c>
      <c r="B17" s="4" t="s">
        <v>10</v>
      </c>
      <c r="C17" s="5">
        <f>C18</f>
        <v>12</v>
      </c>
      <c r="D17" s="5">
        <f>D18</f>
        <v>3.87</v>
      </c>
      <c r="E17" s="5">
        <f t="shared" si="0"/>
        <v>32.25</v>
      </c>
      <c r="F17" s="5">
        <f t="shared" si="1"/>
        <v>-8.129999999999999</v>
      </c>
    </row>
    <row r="18" spans="1:6" ht="18" customHeight="1">
      <c r="A18" s="7">
        <v>1080400001</v>
      </c>
      <c r="B18" s="8" t="s">
        <v>227</v>
      </c>
      <c r="C18" s="9">
        <v>12</v>
      </c>
      <c r="D18" s="10">
        <v>3.87</v>
      </c>
      <c r="E18" s="9">
        <f t="shared" si="0"/>
        <v>32.25</v>
      </c>
      <c r="F18" s="9">
        <f t="shared" si="1"/>
        <v>-8.129999999999999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232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C26+C30+C32+C37+C35</f>
        <v>440.58499999999998</v>
      </c>
      <c r="D25" s="5">
        <f>D30+D37+D26+D35</f>
        <v>77.430959999999999</v>
      </c>
      <c r="E25" s="5">
        <f t="shared" si="0"/>
        <v>17.574579252584634</v>
      </c>
      <c r="F25" s="5">
        <f t="shared" si="1"/>
        <v>-363.15404000000001</v>
      </c>
    </row>
    <row r="26" spans="1:6" s="6" customFormat="1" ht="30.75" customHeight="1">
      <c r="A26" s="68">
        <v>1110000000</v>
      </c>
      <c r="B26" s="69" t="s">
        <v>128</v>
      </c>
      <c r="C26" s="5">
        <f>C27+C28</f>
        <v>10</v>
      </c>
      <c r="D26" s="5">
        <f>D27+D28</f>
        <v>0.65500000000000003</v>
      </c>
      <c r="E26" s="5">
        <f t="shared" si="0"/>
        <v>6.5500000000000007</v>
      </c>
      <c r="F26" s="5">
        <f t="shared" si="1"/>
        <v>-9.3450000000000006</v>
      </c>
    </row>
    <row r="27" spans="1:6" ht="15.75" customHeight="1">
      <c r="A27" s="16">
        <v>1110502510</v>
      </c>
      <c r="B27" s="17" t="s">
        <v>225</v>
      </c>
      <c r="C27" s="12">
        <v>10</v>
      </c>
      <c r="D27" s="10">
        <v>0.65500000000000003</v>
      </c>
      <c r="E27" s="9">
        <f t="shared" si="0"/>
        <v>6.5500000000000007</v>
      </c>
      <c r="F27" s="9">
        <f t="shared" si="1"/>
        <v>-9.3450000000000006</v>
      </c>
    </row>
    <row r="28" spans="1:6" ht="15.75" customHeight="1">
      <c r="A28" s="7">
        <v>1110503510</v>
      </c>
      <c r="B28" s="11" t="s">
        <v>224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ht="15.75" customHeight="1">
      <c r="A29" s="7">
        <v>1110532510</v>
      </c>
      <c r="B29" s="11" t="s">
        <v>359</v>
      </c>
      <c r="C29" s="12">
        <v>0</v>
      </c>
      <c r="D29" s="243">
        <v>0</v>
      </c>
      <c r="E29" s="9" t="e">
        <f>SUM(D28/C29*100)</f>
        <v>#DIV/0!</v>
      </c>
      <c r="F29" s="9">
        <f>SUM(D28-C29)</f>
        <v>0</v>
      </c>
    </row>
    <row r="30" spans="1:6" s="15" customFormat="1" ht="29.25">
      <c r="A30" s="68">
        <v>1130000000</v>
      </c>
      <c r="B30" s="69" t="s">
        <v>130</v>
      </c>
      <c r="C30" s="5">
        <f>C31</f>
        <v>0</v>
      </c>
      <c r="D30" s="5">
        <f>D31</f>
        <v>37.896369999999997</v>
      </c>
      <c r="E30" s="5" t="e">
        <f t="shared" si="0"/>
        <v>#DIV/0!</v>
      </c>
      <c r="F30" s="5">
        <f t="shared" si="1"/>
        <v>37.896369999999997</v>
      </c>
    </row>
    <row r="31" spans="1:6" ht="17.25" customHeight="1">
      <c r="A31" s="7">
        <v>1130206005</v>
      </c>
      <c r="B31" s="8" t="s">
        <v>223</v>
      </c>
      <c r="C31" s="9">
        <v>0</v>
      </c>
      <c r="D31" s="10">
        <v>37.896369999999997</v>
      </c>
      <c r="E31" s="9" t="e">
        <f t="shared" si="0"/>
        <v>#DIV/0!</v>
      </c>
      <c r="F31" s="9">
        <f t="shared" si="1"/>
        <v>37.896369999999997</v>
      </c>
    </row>
    <row r="32" spans="1:6" ht="35.25" customHeight="1">
      <c r="A32" s="70">
        <v>1140000000</v>
      </c>
      <c r="B32" s="71" t="s">
        <v>131</v>
      </c>
      <c r="C32" s="5">
        <f>C33+C34</f>
        <v>430.58499999999998</v>
      </c>
      <c r="D32" s="5">
        <f>D33+D34</f>
        <v>0</v>
      </c>
      <c r="E32" s="5">
        <f t="shared" si="0"/>
        <v>0</v>
      </c>
      <c r="F32" s="5">
        <f t="shared" si="1"/>
        <v>-430.58499999999998</v>
      </c>
    </row>
    <row r="33" spans="1:7" ht="34.5" customHeight="1">
      <c r="A33" s="16">
        <v>1140200000</v>
      </c>
      <c r="B33" s="18" t="s">
        <v>221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32.25" customHeight="1">
      <c r="A34" s="7">
        <v>1140600000</v>
      </c>
      <c r="B34" s="8" t="s">
        <v>222</v>
      </c>
      <c r="C34" s="9">
        <v>430.58499999999998</v>
      </c>
      <c r="D34" s="10">
        <v>0</v>
      </c>
      <c r="E34" s="9">
        <f t="shared" si="0"/>
        <v>0</v>
      </c>
      <c r="F34" s="9">
        <f t="shared" si="1"/>
        <v>-430.58499999999998</v>
      </c>
    </row>
    <row r="35" spans="1:7">
      <c r="A35" s="3">
        <v>1160000000</v>
      </c>
      <c r="B35" s="13" t="s">
        <v>251</v>
      </c>
      <c r="C35" s="5">
        <f>C36</f>
        <v>0</v>
      </c>
      <c r="D35" s="14">
        <f>D36</f>
        <v>38.87959</v>
      </c>
      <c r="E35" s="5" t="e">
        <f>SUM(D35/C35*100)</f>
        <v>#DIV/0!</v>
      </c>
      <c r="F35" s="5">
        <f>SUM(D35-C35)</f>
        <v>38.87959</v>
      </c>
    </row>
    <row r="36" spans="1:7" ht="47.25">
      <c r="A36" s="7">
        <v>1163305010</v>
      </c>
      <c r="B36" s="8" t="s">
        <v>267</v>
      </c>
      <c r="C36" s="9">
        <v>0</v>
      </c>
      <c r="D36" s="10">
        <v>38.87959</v>
      </c>
      <c r="E36" s="9" t="e">
        <f>SUM(D36/C36*100)</f>
        <v>#DIV/0!</v>
      </c>
      <c r="F36" s="9">
        <f>SUM(D36-C36)</f>
        <v>38.87959</v>
      </c>
    </row>
    <row r="37" spans="1:7">
      <c r="A37" s="3">
        <v>1170000000</v>
      </c>
      <c r="B37" s="13" t="s">
        <v>134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>
      <c r="A38" s="7">
        <v>1170105010</v>
      </c>
      <c r="B38" s="8" t="s">
        <v>17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>
      <c r="A39" s="7">
        <v>1170505005</v>
      </c>
      <c r="B39" s="11" t="s">
        <v>220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8" customHeight="1">
      <c r="A40" s="3">
        <v>1000000000</v>
      </c>
      <c r="B40" s="4" t="s">
        <v>18</v>
      </c>
      <c r="C40" s="127">
        <f>SUM(C4,C25)</f>
        <v>3043.3092899999997</v>
      </c>
      <c r="D40" s="127">
        <f>D4+D25</f>
        <v>567.90639999999996</v>
      </c>
      <c r="E40" s="5">
        <f t="shared" si="0"/>
        <v>18.660817744226058</v>
      </c>
      <c r="F40" s="5">
        <f t="shared" si="1"/>
        <v>-2475.4028899999998</v>
      </c>
    </row>
    <row r="41" spans="1:7" s="6" customFormat="1">
      <c r="A41" s="3">
        <v>2000000000</v>
      </c>
      <c r="B41" s="4" t="s">
        <v>19</v>
      </c>
      <c r="C41" s="5">
        <f>C42+C44+C45+C47+C48+C49+C43+C51</f>
        <v>9502.3792900000008</v>
      </c>
      <c r="D41" s="5">
        <f>D42+D44+D45+D47+D48+D49+D43+D51</f>
        <v>1180.9744000000001</v>
      </c>
      <c r="E41" s="5">
        <f t="shared" si="0"/>
        <v>12.428196812169134</v>
      </c>
      <c r="F41" s="5">
        <f t="shared" si="1"/>
        <v>-8321.4048900000016</v>
      </c>
      <c r="G41" s="19"/>
    </row>
    <row r="42" spans="1:7" ht="17.25" customHeight="1">
      <c r="A42" s="16">
        <v>2021000000</v>
      </c>
      <c r="B42" s="17" t="s">
        <v>20</v>
      </c>
      <c r="C42" s="12">
        <v>1852.8</v>
      </c>
      <c r="D42" s="412">
        <v>617.6</v>
      </c>
      <c r="E42" s="9">
        <f t="shared" si="0"/>
        <v>33.333333333333336</v>
      </c>
      <c r="F42" s="9">
        <f t="shared" si="1"/>
        <v>-1235.1999999999998</v>
      </c>
    </row>
    <row r="43" spans="1:7" ht="17.25" customHeight="1">
      <c r="A43" s="16">
        <v>2021500200</v>
      </c>
      <c r="B43" s="17" t="s">
        <v>231</v>
      </c>
      <c r="C43" s="413">
        <v>494</v>
      </c>
      <c r="D43" s="20">
        <v>100</v>
      </c>
      <c r="E43" s="9">
        <f t="shared" si="0"/>
        <v>20.242914979757085</v>
      </c>
      <c r="F43" s="9">
        <f t="shared" si="1"/>
        <v>-394</v>
      </c>
    </row>
    <row r="44" spans="1:7">
      <c r="A44" s="16">
        <v>2022000000</v>
      </c>
      <c r="B44" s="17" t="s">
        <v>21</v>
      </c>
      <c r="C44" s="12">
        <v>4723.53629</v>
      </c>
      <c r="D44" s="10">
        <v>403.22800000000001</v>
      </c>
      <c r="E44" s="9">
        <f t="shared" si="0"/>
        <v>8.5365703837960769</v>
      </c>
      <c r="F44" s="9">
        <f t="shared" si="1"/>
        <v>-4320.3082899999999</v>
      </c>
    </row>
    <row r="45" spans="1:7" ht="15.75" customHeight="1">
      <c r="A45" s="16">
        <v>2023000000</v>
      </c>
      <c r="B45" s="17" t="s">
        <v>22</v>
      </c>
      <c r="C45" s="12">
        <v>182.04300000000001</v>
      </c>
      <c r="D45" s="249">
        <v>60.1464</v>
      </c>
      <c r="E45" s="9">
        <f t="shared" si="0"/>
        <v>33.039666452431568</v>
      </c>
      <c r="F45" s="9">
        <f t="shared" si="1"/>
        <v>-121.89660000000001</v>
      </c>
    </row>
    <row r="46" spans="1:7" ht="15" hidden="1" customHeight="1">
      <c r="A46" s="16">
        <v>2070503010</v>
      </c>
      <c r="B46" s="17" t="s">
        <v>270</v>
      </c>
      <c r="C46" s="12">
        <v>0</v>
      </c>
      <c r="D46" s="249">
        <v>0</v>
      </c>
      <c r="E46" s="9" t="e">
        <f t="shared" si="0"/>
        <v>#DIV/0!</v>
      </c>
      <c r="F46" s="9">
        <f t="shared" si="1"/>
        <v>0</v>
      </c>
    </row>
    <row r="47" spans="1:7" hidden="1">
      <c r="A47" s="16">
        <v>2020400000</v>
      </c>
      <c r="B47" s="17" t="s">
        <v>23</v>
      </c>
      <c r="C47" s="12">
        <v>2250</v>
      </c>
      <c r="D47" s="250">
        <v>0</v>
      </c>
      <c r="E47" s="9">
        <f t="shared" si="0"/>
        <v>0</v>
      </c>
      <c r="F47" s="9">
        <f t="shared" si="1"/>
        <v>-2250</v>
      </c>
    </row>
    <row r="48" spans="1:7" ht="31.5" hidden="1">
      <c r="A48" s="16">
        <v>2020900000</v>
      </c>
      <c r="B48" s="18" t="s">
        <v>24</v>
      </c>
      <c r="C48" s="12"/>
      <c r="D48" s="250"/>
      <c r="E48" s="9" t="e">
        <f t="shared" si="0"/>
        <v>#DIV/0!</v>
      </c>
      <c r="F48" s="9">
        <f t="shared" si="1"/>
        <v>0</v>
      </c>
    </row>
    <row r="49" spans="1:8" hidden="1">
      <c r="A49" s="7">
        <v>2190500005</v>
      </c>
      <c r="B49" s="11" t="s">
        <v>25</v>
      </c>
      <c r="C49" s="14"/>
      <c r="D49" s="14"/>
      <c r="E49" s="5"/>
      <c r="F49" s="5">
        <f>SUM(D49-C49)</f>
        <v>0</v>
      </c>
    </row>
    <row r="50" spans="1:8" s="6" customFormat="1" ht="31.5" hidden="1">
      <c r="A50" s="3">
        <v>3000000000</v>
      </c>
      <c r="B50" s="13" t="s">
        <v>26</v>
      </c>
      <c r="C50" s="122">
        <v>0</v>
      </c>
      <c r="D50" s="121">
        <v>0</v>
      </c>
      <c r="E50" s="5" t="e">
        <f t="shared" si="0"/>
        <v>#DIV/0!</v>
      </c>
      <c r="F50" s="5">
        <f t="shared" si="1"/>
        <v>0</v>
      </c>
    </row>
    <row r="51" spans="1:8" s="6" customFormat="1">
      <c r="A51" s="7">
        <v>2070502010</v>
      </c>
      <c r="B51" s="8" t="s">
        <v>302</v>
      </c>
      <c r="C51" s="324">
        <v>0</v>
      </c>
      <c r="D51" s="325">
        <v>0</v>
      </c>
      <c r="E51" s="9" t="e">
        <f t="shared" si="0"/>
        <v>#DIV/0!</v>
      </c>
      <c r="F51" s="9">
        <f t="shared" si="1"/>
        <v>0</v>
      </c>
    </row>
    <row r="52" spans="1:8" s="6" customFormat="1">
      <c r="A52" s="3"/>
      <c r="B52" s="4" t="s">
        <v>27</v>
      </c>
      <c r="C52" s="93">
        <f>SUM(C40,C41,C50)</f>
        <v>12545.68858</v>
      </c>
      <c r="D52" s="442">
        <f>D40+D41</f>
        <v>1748.8807999999999</v>
      </c>
      <c r="E52" s="5">
        <f t="shared" si="0"/>
        <v>13.940094151452307</v>
      </c>
      <c r="F52" s="5">
        <f t="shared" si="1"/>
        <v>-10796.807779999999</v>
      </c>
      <c r="G52" s="94"/>
      <c r="H52" s="291"/>
    </row>
    <row r="53" spans="1:8" s="6" customFormat="1">
      <c r="A53" s="3"/>
      <c r="B53" s="21" t="s">
        <v>320</v>
      </c>
      <c r="C53" s="483">
        <f>C52-C99</f>
        <v>-1214.8990600000016</v>
      </c>
      <c r="D53" s="483">
        <f>D52-D99</f>
        <v>-266.62642000000005</v>
      </c>
      <c r="E53" s="22"/>
      <c r="F53" s="22"/>
    </row>
    <row r="54" spans="1:8" ht="32.25" customHeight="1">
      <c r="A54" s="23"/>
      <c r="B54" s="24"/>
      <c r="C54" s="245"/>
      <c r="D54" s="25"/>
      <c r="E54" s="26"/>
      <c r="F54" s="27"/>
    </row>
    <row r="55" spans="1:8" ht="63">
      <c r="A55" s="28" t="s">
        <v>0</v>
      </c>
      <c r="B55" s="28" t="s">
        <v>28</v>
      </c>
      <c r="C55" s="72" t="s">
        <v>411</v>
      </c>
      <c r="D55" s="73" t="s">
        <v>419</v>
      </c>
      <c r="E55" s="72" t="s">
        <v>2</v>
      </c>
      <c r="F55" s="74" t="s">
        <v>3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6.5" customHeight="1">
      <c r="A57" s="30" t="s">
        <v>29</v>
      </c>
      <c r="B57" s="31" t="s">
        <v>30</v>
      </c>
      <c r="C57" s="32">
        <f>C58+C59+C60+C61+C62+C64+C63</f>
        <v>1209.8699999999999</v>
      </c>
      <c r="D57" s="33">
        <f>D58+D59+D60+D61+D62+D64+D63</f>
        <v>462.62432999999999</v>
      </c>
      <c r="E57" s="34">
        <f>SUM(D57/C57*100)</f>
        <v>38.237523866200505</v>
      </c>
      <c r="F57" s="34">
        <f>SUM(D57-C57)</f>
        <v>-747.2456699999999</v>
      </c>
    </row>
    <row r="58" spans="1:8" s="6" customFormat="1" ht="31.5" hidden="1">
      <c r="A58" s="35" t="s">
        <v>31</v>
      </c>
      <c r="B58" s="36" t="s">
        <v>32</v>
      </c>
      <c r="C58" s="37"/>
      <c r="D58" s="37"/>
      <c r="E58" s="38"/>
      <c r="F58" s="38"/>
    </row>
    <row r="59" spans="1:8" ht="18.75" customHeight="1">
      <c r="A59" s="35" t="s">
        <v>33</v>
      </c>
      <c r="B59" s="39" t="s">
        <v>34</v>
      </c>
      <c r="C59" s="37">
        <v>1197.0999999999999</v>
      </c>
      <c r="D59" s="37">
        <v>454.85482999999999</v>
      </c>
      <c r="E59" s="38">
        <f t="shared" ref="E59:E99" si="3">SUM(D59/C59*100)</f>
        <v>37.99639378498037</v>
      </c>
      <c r="F59" s="38">
        <f t="shared" ref="F59:F99" si="4">SUM(D59-C59)</f>
        <v>-742.24516999999992</v>
      </c>
    </row>
    <row r="60" spans="1:8" ht="16.5" hidden="1" customHeight="1">
      <c r="A60" s="35" t="s">
        <v>35</v>
      </c>
      <c r="B60" s="39" t="s">
        <v>36</v>
      </c>
      <c r="C60" s="37"/>
      <c r="D60" s="37"/>
      <c r="E60" s="38"/>
      <c r="F60" s="38">
        <f t="shared" si="4"/>
        <v>0</v>
      </c>
    </row>
    <row r="61" spans="1:8" ht="31.5" hidden="1" customHeight="1">
      <c r="A61" s="35" t="s">
        <v>37</v>
      </c>
      <c r="B61" s="39" t="s">
        <v>38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8" ht="15" customHeight="1">
      <c r="A62" s="35" t="s">
        <v>39</v>
      </c>
      <c r="B62" s="39" t="s">
        <v>40</v>
      </c>
      <c r="C62" s="37">
        <v>0</v>
      </c>
      <c r="D62" s="37">
        <v>0</v>
      </c>
      <c r="E62" s="38" t="e">
        <f t="shared" si="3"/>
        <v>#DIV/0!</v>
      </c>
      <c r="F62" s="38">
        <f t="shared" si="4"/>
        <v>0</v>
      </c>
    </row>
    <row r="63" spans="1:8" ht="15.75" customHeight="1">
      <c r="A63" s="35" t="s">
        <v>41</v>
      </c>
      <c r="B63" s="39" t="s">
        <v>42</v>
      </c>
      <c r="C63" s="40">
        <v>5</v>
      </c>
      <c r="D63" s="40">
        <v>0</v>
      </c>
      <c r="E63" s="38">
        <f t="shared" si="3"/>
        <v>0</v>
      </c>
      <c r="F63" s="38">
        <f t="shared" si="4"/>
        <v>-5</v>
      </c>
    </row>
    <row r="64" spans="1:8" ht="15" customHeight="1">
      <c r="A64" s="35" t="s">
        <v>43</v>
      </c>
      <c r="B64" s="39" t="s">
        <v>44</v>
      </c>
      <c r="C64" s="37">
        <v>7.77</v>
      </c>
      <c r="D64" s="37">
        <v>7.7694999999999999</v>
      </c>
      <c r="E64" s="38">
        <f t="shared" si="3"/>
        <v>99.993564993565002</v>
      </c>
      <c r="F64" s="38">
        <f t="shared" si="4"/>
        <v>-4.9999999999972289E-4</v>
      </c>
    </row>
    <row r="65" spans="1:7" s="6" customFormat="1">
      <c r="A65" s="41" t="s">
        <v>45</v>
      </c>
      <c r="B65" s="42" t="s">
        <v>46</v>
      </c>
      <c r="C65" s="32">
        <f>C66</f>
        <v>179.892</v>
      </c>
      <c r="D65" s="32">
        <f>D66</f>
        <v>58.744230000000002</v>
      </c>
      <c r="E65" s="34">
        <f t="shared" si="3"/>
        <v>32.655276499232876</v>
      </c>
      <c r="F65" s="34">
        <f t="shared" si="4"/>
        <v>-121.14776999999999</v>
      </c>
    </row>
    <row r="66" spans="1:7">
      <c r="A66" s="43" t="s">
        <v>47</v>
      </c>
      <c r="B66" s="44" t="s">
        <v>48</v>
      </c>
      <c r="C66" s="37">
        <v>179.892</v>
      </c>
      <c r="D66" s="37">
        <v>58.744230000000002</v>
      </c>
      <c r="E66" s="38">
        <f t="shared" si="3"/>
        <v>32.655276499232876</v>
      </c>
      <c r="F66" s="38">
        <f t="shared" si="4"/>
        <v>-121.14776999999999</v>
      </c>
    </row>
    <row r="67" spans="1:7" s="6" customFormat="1" ht="16.5" customHeight="1">
      <c r="A67" s="30" t="s">
        <v>49</v>
      </c>
      <c r="B67" s="31" t="s">
        <v>50</v>
      </c>
      <c r="C67" s="32">
        <f>C71+C70+C72</f>
        <v>6.1749999999999998</v>
      </c>
      <c r="D67" s="32">
        <f>D71+D70+D72</f>
        <v>1.175</v>
      </c>
      <c r="E67" s="34">
        <f t="shared" si="3"/>
        <v>19.028340080971663</v>
      </c>
      <c r="F67" s="34">
        <f t="shared" si="4"/>
        <v>-5</v>
      </c>
    </row>
    <row r="68" spans="1:7" hidden="1">
      <c r="A68" s="3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53</v>
      </c>
      <c r="B69" s="39" t="s">
        <v>54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55</v>
      </c>
      <c r="B70" s="47" t="s">
        <v>56</v>
      </c>
      <c r="C70" s="96">
        <v>1</v>
      </c>
      <c r="D70" s="37">
        <v>0</v>
      </c>
      <c r="E70" s="34">
        <f t="shared" si="3"/>
        <v>0</v>
      </c>
      <c r="F70" s="34">
        <f t="shared" si="4"/>
        <v>-1</v>
      </c>
    </row>
    <row r="71" spans="1:7" ht="15.75" customHeight="1">
      <c r="A71" s="46" t="s">
        <v>218</v>
      </c>
      <c r="B71" s="47" t="s">
        <v>219</v>
      </c>
      <c r="C71" s="37">
        <v>3.1749999999999998</v>
      </c>
      <c r="D71" s="37">
        <v>1.175</v>
      </c>
      <c r="E71" s="34">
        <f t="shared" si="3"/>
        <v>37.00787401574803</v>
      </c>
      <c r="F71" s="34">
        <f t="shared" si="4"/>
        <v>-1.9999999999999998</v>
      </c>
    </row>
    <row r="72" spans="1:7" ht="15.75" customHeight="1">
      <c r="A72" s="46" t="s">
        <v>357</v>
      </c>
      <c r="B72" s="47" t="s">
        <v>360</v>
      </c>
      <c r="C72" s="37">
        <v>2</v>
      </c>
      <c r="D72" s="37">
        <v>0</v>
      </c>
      <c r="E72" s="34">
        <f>SUM(D72/C72*100)</f>
        <v>0</v>
      </c>
      <c r="F72" s="34">
        <f>SUM(D72-C72)</f>
        <v>-2</v>
      </c>
    </row>
    <row r="73" spans="1:7" s="6" customFormat="1" ht="24" customHeight="1">
      <c r="A73" s="30" t="s">
        <v>57</v>
      </c>
      <c r="B73" s="31" t="s">
        <v>58</v>
      </c>
      <c r="C73" s="48">
        <f>C74+C75+C76+C77</f>
        <v>5483.0478000000003</v>
      </c>
      <c r="D73" s="48">
        <f>SUM(D74:D77)</f>
        <v>468.36457999999999</v>
      </c>
      <c r="E73" s="34">
        <f t="shared" si="3"/>
        <v>8.5420480923037001</v>
      </c>
      <c r="F73" s="34">
        <f t="shared" si="4"/>
        <v>-5014.6832199999999</v>
      </c>
    </row>
    <row r="74" spans="1:7" ht="16.5" customHeight="1">
      <c r="A74" s="35" t="s">
        <v>59</v>
      </c>
      <c r="B74" s="39" t="s">
        <v>60</v>
      </c>
      <c r="C74" s="49">
        <v>5.3620000000000001</v>
      </c>
      <c r="D74" s="37">
        <v>1.3405</v>
      </c>
      <c r="E74" s="38">
        <f t="shared" si="3"/>
        <v>25</v>
      </c>
      <c r="F74" s="38">
        <f t="shared" si="4"/>
        <v>-4.0214999999999996</v>
      </c>
    </row>
    <row r="75" spans="1:7" s="6" customFormat="1" ht="17.25" customHeight="1">
      <c r="A75" s="35" t="s">
        <v>61</v>
      </c>
      <c r="B75" s="39" t="s">
        <v>62</v>
      </c>
      <c r="C75" s="49">
        <v>220</v>
      </c>
      <c r="D75" s="37">
        <v>8.8089999999999993</v>
      </c>
      <c r="E75" s="38">
        <f t="shared" si="3"/>
        <v>4.0040909090909089</v>
      </c>
      <c r="F75" s="38">
        <f t="shared" si="4"/>
        <v>-211.191</v>
      </c>
      <c r="G75" s="50"/>
    </row>
    <row r="76" spans="1:7" ht="18" customHeight="1">
      <c r="A76" s="35" t="s">
        <v>63</v>
      </c>
      <c r="B76" s="39" t="s">
        <v>64</v>
      </c>
      <c r="C76" s="49">
        <v>5137.6858000000002</v>
      </c>
      <c r="D76" s="37">
        <v>458.21508</v>
      </c>
      <c r="E76" s="38">
        <f t="shared" si="3"/>
        <v>8.9187057721591305</v>
      </c>
      <c r="F76" s="38">
        <f t="shared" si="4"/>
        <v>-4679.4707200000003</v>
      </c>
    </row>
    <row r="77" spans="1:7">
      <c r="A77" s="35" t="s">
        <v>65</v>
      </c>
      <c r="B77" s="39" t="s">
        <v>66</v>
      </c>
      <c r="C77" s="49">
        <v>120</v>
      </c>
      <c r="D77" s="37">
        <v>0</v>
      </c>
      <c r="E77" s="38">
        <f t="shared" si="3"/>
        <v>0</v>
      </c>
      <c r="F77" s="38">
        <f t="shared" si="4"/>
        <v>-120</v>
      </c>
    </row>
    <row r="78" spans="1:7" s="6" customFormat="1" ht="15.75" customHeight="1">
      <c r="A78" s="30" t="s">
        <v>67</v>
      </c>
      <c r="B78" s="31" t="s">
        <v>68</v>
      </c>
      <c r="C78" s="32">
        <f>SUM(C79:C81)</f>
        <v>527.78099999999995</v>
      </c>
      <c r="D78" s="32">
        <f>SUM(D79:D81)</f>
        <v>195.06657999999999</v>
      </c>
      <c r="E78" s="34">
        <f t="shared" si="3"/>
        <v>36.959757929898956</v>
      </c>
      <c r="F78" s="34">
        <f t="shared" si="4"/>
        <v>-332.71441999999996</v>
      </c>
    </row>
    <row r="79" spans="1:7" hidden="1">
      <c r="A79" s="35" t="s">
        <v>69</v>
      </c>
      <c r="B79" s="51" t="s">
        <v>70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8" customHeight="1">
      <c r="A80" s="35" t="s">
        <v>71</v>
      </c>
      <c r="B80" s="51" t="s">
        <v>72</v>
      </c>
      <c r="C80" s="37">
        <v>0</v>
      </c>
      <c r="D80" s="37">
        <v>0</v>
      </c>
      <c r="E80" s="38" t="e">
        <f t="shared" si="3"/>
        <v>#DIV/0!</v>
      </c>
      <c r="F80" s="38">
        <f t="shared" si="4"/>
        <v>0</v>
      </c>
    </row>
    <row r="81" spans="1:6">
      <c r="A81" s="35" t="s">
        <v>73</v>
      </c>
      <c r="B81" s="39" t="s">
        <v>74</v>
      </c>
      <c r="C81" s="37">
        <v>527.78099999999995</v>
      </c>
      <c r="D81" s="37">
        <v>195.06657999999999</v>
      </c>
      <c r="E81" s="38">
        <f>SUM(D81/C81*100)</f>
        <v>36.959757929898956</v>
      </c>
      <c r="F81" s="38">
        <f t="shared" si="4"/>
        <v>-332.71441999999996</v>
      </c>
    </row>
    <row r="82" spans="1:6" s="6" customFormat="1" hidden="1">
      <c r="A82" s="30" t="s">
        <v>85</v>
      </c>
      <c r="B82" s="31" t="s">
        <v>86</v>
      </c>
      <c r="C82" s="32">
        <f>C83</f>
        <v>6291.9098400000003</v>
      </c>
      <c r="D82" s="32">
        <f>D83</f>
        <v>803.76350000000002</v>
      </c>
      <c r="E82" s="34">
        <f t="shared" si="3"/>
        <v>12.774555269215366</v>
      </c>
      <c r="F82" s="34">
        <f t="shared" si="4"/>
        <v>-5488.1463400000002</v>
      </c>
    </row>
    <row r="83" spans="1:6" ht="18.75" hidden="1" customHeight="1">
      <c r="A83" s="35" t="s">
        <v>87</v>
      </c>
      <c r="B83" s="39" t="s">
        <v>233</v>
      </c>
      <c r="C83" s="37">
        <v>6291.9098400000003</v>
      </c>
      <c r="D83" s="37">
        <v>803.76350000000002</v>
      </c>
      <c r="E83" s="38">
        <f t="shared" si="3"/>
        <v>12.774555269215366</v>
      </c>
      <c r="F83" s="38">
        <f t="shared" si="4"/>
        <v>-5488.1463400000002</v>
      </c>
    </row>
    <row r="84" spans="1:6" s="6" customFormat="1" ht="0.75" hidden="1" customHeight="1">
      <c r="A84" s="52">
        <v>1000</v>
      </c>
      <c r="B84" s="31" t="s">
        <v>88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" hidden="1" customHeight="1">
      <c r="A85" s="53">
        <v>1001</v>
      </c>
      <c r="B85" s="54" t="s">
        <v>89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90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53">
        <v>1004</v>
      </c>
      <c r="B87" s="54" t="s">
        <v>91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5.25" hidden="1" customHeight="1">
      <c r="A88" s="35" t="s">
        <v>92</v>
      </c>
      <c r="B88" s="39" t="s">
        <v>93</v>
      </c>
      <c r="C88" s="37"/>
      <c r="D88" s="37"/>
      <c r="E88" s="38"/>
      <c r="F88" s="38">
        <f t="shared" si="4"/>
        <v>0</v>
      </c>
    </row>
    <row r="89" spans="1:6">
      <c r="A89" s="30" t="s">
        <v>94</v>
      </c>
      <c r="B89" s="31" t="s">
        <v>95</v>
      </c>
      <c r="C89" s="32">
        <f>C90+C91+C92+C93+C94</f>
        <v>61.911999999999999</v>
      </c>
      <c r="D89" s="32">
        <f>D90+D91+D92+D93+D94</f>
        <v>25.768999999999998</v>
      </c>
      <c r="E89" s="38">
        <f t="shared" si="3"/>
        <v>41.621979583925572</v>
      </c>
      <c r="F89" s="22">
        <f>F90+F91+F92+F93+F94</f>
        <v>-36.143000000000001</v>
      </c>
    </row>
    <row r="90" spans="1:6" ht="17.25" customHeight="1">
      <c r="A90" s="35" t="s">
        <v>96</v>
      </c>
      <c r="B90" s="39" t="s">
        <v>97</v>
      </c>
      <c r="C90" s="37">
        <v>61.911999999999999</v>
      </c>
      <c r="D90" s="37">
        <v>25.768999999999998</v>
      </c>
      <c r="E90" s="38">
        <f t="shared" si="3"/>
        <v>41.621979583925572</v>
      </c>
      <c r="F90" s="38">
        <f>SUM(D90-C90)</f>
        <v>-36.143000000000001</v>
      </c>
    </row>
    <row r="91" spans="1:6" ht="15.7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.7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ht="15.75" hidden="1" customHeight="1">
      <c r="A94" s="35" t="s">
        <v>104</v>
      </c>
      <c r="B94" s="39" t="s">
        <v>105</v>
      </c>
      <c r="C94" s="37"/>
      <c r="D94" s="37"/>
      <c r="E94" s="38" t="e">
        <f t="shared" si="3"/>
        <v>#DIV/0!</v>
      </c>
      <c r="F94" s="38"/>
    </row>
    <row r="95" spans="1:6" s="6" customFormat="1" ht="15.75" hidden="1" customHeight="1">
      <c r="A95" s="52">
        <v>1400</v>
      </c>
      <c r="B95" s="56" t="s">
        <v>114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idden="1">
      <c r="A96" s="53">
        <v>1401</v>
      </c>
      <c r="B96" s="54" t="s">
        <v>115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idden="1">
      <c r="A97" s="53">
        <v>1402</v>
      </c>
      <c r="B97" s="54" t="s">
        <v>116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8" ht="16.5" hidden="1" customHeight="1">
      <c r="A98" s="53">
        <v>1403</v>
      </c>
      <c r="B98" s="54" t="s">
        <v>117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8" s="6" customFormat="1" ht="20.25" customHeight="1">
      <c r="A99" s="52"/>
      <c r="B99" s="57" t="s">
        <v>118</v>
      </c>
      <c r="C99" s="33">
        <f>C57+C65+C67+C73+C78+C82+C84+C89+C95</f>
        <v>13760.587640000002</v>
      </c>
      <c r="D99" s="33">
        <f>D57+D65+D67+D73+D78+D82+D84+D89+D95</f>
        <v>2015.50722</v>
      </c>
      <c r="E99" s="34">
        <f t="shared" si="3"/>
        <v>14.64695602200314</v>
      </c>
      <c r="F99" s="34">
        <f t="shared" si="4"/>
        <v>-11745.080420000002</v>
      </c>
      <c r="G99" s="291">
        <f>13760.58764-C99</f>
        <v>0</v>
      </c>
      <c r="H99" s="151">
        <f>D99-2015.50722</f>
        <v>0</v>
      </c>
    </row>
    <row r="100" spans="1:8" ht="13.5" customHeight="1">
      <c r="C100" s="117"/>
      <c r="D100" s="61"/>
    </row>
    <row r="101" spans="1:8" s="65" customFormat="1" ht="12.75">
      <c r="A101" s="63" t="s">
        <v>119</v>
      </c>
      <c r="B101" s="63"/>
      <c r="C101" s="134"/>
      <c r="D101" s="134"/>
    </row>
    <row r="102" spans="1:8" s="65" customFormat="1" ht="12.75">
      <c r="A102" s="66" t="s">
        <v>120</v>
      </c>
      <c r="B102" s="66"/>
      <c r="C102" s="119" t="s">
        <v>121</v>
      </c>
    </row>
    <row r="104" spans="1:8" ht="5.25" customHeight="1"/>
  </sheetData>
  <customSheetViews>
    <customSheetView guid="{5BFCA170-DEAE-4D2C-98A0-1E68B427AC01}" showPageBreaks="1" printArea="1" hiddenRows="1" topLeftCell="A30">
      <selection activeCell="D51" sqref="D51"/>
      <pageMargins left="0.7" right="0.7" top="0.75" bottom="0.75" header="0.3" footer="0.3"/>
      <pageSetup paperSize="9" scale="54" orientation="portrait" r:id="rId1"/>
    </customSheetView>
    <customSheetView guid="{B30CE22D-C12F-4E12-8BB9-3AAE0A6991CC}" scale="70" showPageBreaks="1" printArea="1" hiddenRows="1" view="pageBreakPreview" topLeftCell="A40">
      <selection activeCell="C99" sqref="C99:D99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1A52382B-3765-4E8C-903F-6B8919B7242E}" showPageBreaks="1" printArea="1" hiddenRows="1" topLeftCell="A47">
      <selection activeCell="C57" sqref="C57:D99"/>
      <pageMargins left="0.7" right="0.7" top="0.75" bottom="0.75" header="0.3" footer="0.3"/>
      <pageSetup paperSize="9" scale="54" orientation="portrait" r:id="rId3"/>
    </customSheetView>
    <customSheetView guid="{A54C432C-6C68-4B53-A75C-446EB3A61B2B}" scale="70" showPageBreaks="1" printArea="1" hiddenRows="1" view="pageBreakPreview" topLeftCell="A15">
      <selection activeCell="D28" sqref="D28"/>
      <pageMargins left="0.70866141732283472" right="0.70866141732283472" top="0.74803149606299213" bottom="0.74803149606299213" header="0.31496062992125984" footer="0.31496062992125984"/>
      <pageSetup paperSize="9" scale="59" orientation="portrait" r:id="rId4"/>
    </customSheetView>
    <customSheetView guid="{3DCB9AAA-F09C-4EA6-B992-F93E466D374A}" hiddenRows="1" topLeftCell="A51">
      <selection activeCell="B100" sqref="B100"/>
      <pageMargins left="0.7" right="0.7" top="0.75" bottom="0.75" header="0.3" footer="0.3"/>
      <pageSetup paperSize="9" scale="54" orientation="portrait" r:id="rId5"/>
    </customSheetView>
    <customSheetView guid="{1718F1EE-9F48-4DBE-9531-3B70F9C4A5DD}" scale="70" showPageBreaks="1" printArea="1" hiddenRows="1" view="pageBreakPreview" topLeftCell="A13">
      <selection activeCell="C52" sqref="C52:D52"/>
      <pageMargins left="0.7" right="0.7" top="0.75" bottom="0.75" header="0.3" footer="0.3"/>
      <pageSetup paperSize="9" scale="39" orientation="portrait" r:id="rId6"/>
    </customSheetView>
    <customSheetView guid="{42584DC0-1D41-4C93-9B38-C388E7B8DAC4}" scale="70" showPageBreaks="1" printArea="1" hiddenRows="1" view="pageBreakPreview">
      <selection activeCell="G7" sqref="G7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B31C8DB7-3E78-4144-A6B5-8DE36DE63F0E}" showPageBreaks="1" printArea="1" hiddenRows="1" topLeftCell="A30">
      <selection activeCell="D43" sqref="D43"/>
      <pageMargins left="0.7" right="0.7" top="0.75" bottom="0.75" header="0.3" footer="0.3"/>
      <pageSetup paperSize="9" scale="54" orientation="portrait" r:id="rId8"/>
    </customSheetView>
    <customSheetView guid="{61528DAC-5C4C-48F4-ADE2-8A724B05A086}" scale="70" showPageBreaks="1" printArea="1" hiddenRows="1" view="pageBreakPreview">
      <selection activeCell="D63" sqref="D63"/>
      <pageMargins left="0.70866141732283472" right="0.70866141732283472" top="0.74803149606299213" bottom="0.74803149606299213" header="0.31496062992125984" footer="0.31496062992125984"/>
      <pageSetup paperSize="9" scale="59" orientation="portrait" r:id="rId9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4" orientation="portrait" r:id="rId1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0"/>
  <sheetViews>
    <sheetView topLeftCell="A6" zoomScaleNormal="100" zoomScaleSheetLayoutView="70" workbookViewId="0">
      <selection activeCell="D28" sqref="D28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7" style="62" customWidth="1"/>
    <col min="5" max="5" width="10.85546875" style="62" customWidth="1"/>
    <col min="6" max="6" width="13.71093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 ht="19.5" customHeight="1">
      <c r="A1" s="530" t="s">
        <v>423</v>
      </c>
      <c r="B1" s="530"/>
      <c r="C1" s="530"/>
      <c r="D1" s="530"/>
      <c r="E1" s="530"/>
      <c r="F1" s="530"/>
    </row>
    <row r="2" spans="1:6">
      <c r="A2" s="530"/>
      <c r="B2" s="530"/>
      <c r="C2" s="530"/>
      <c r="D2" s="530"/>
      <c r="E2" s="530"/>
      <c r="F2" s="530"/>
    </row>
    <row r="3" spans="1:6" ht="64.5" customHeight="1">
      <c r="A3" s="2" t="s">
        <v>0</v>
      </c>
      <c r="B3" s="2" t="s">
        <v>1</v>
      </c>
      <c r="C3" s="72" t="s">
        <v>411</v>
      </c>
      <c r="D3" s="73" t="s">
        <v>418</v>
      </c>
      <c r="E3" s="72" t="s">
        <v>2</v>
      </c>
      <c r="F3" s="74" t="s">
        <v>3</v>
      </c>
    </row>
    <row r="4" spans="1:6" s="6" customFormat="1" ht="17.25" customHeight="1">
      <c r="A4" s="3"/>
      <c r="B4" s="4" t="s">
        <v>4</v>
      </c>
      <c r="C4" s="5">
        <f>C5+C12+C14+C17+C7</f>
        <v>1998.069</v>
      </c>
      <c r="D4" s="5">
        <f>D5+D12+D14+D17+D7</f>
        <v>375.69916000000001</v>
      </c>
      <c r="E4" s="5">
        <f>SUM(D4/C4*100)</f>
        <v>18.803112405027054</v>
      </c>
      <c r="F4" s="5">
        <f>SUM(D4-C4)</f>
        <v>-1622.3698399999998</v>
      </c>
    </row>
    <row r="5" spans="1:6" s="6" customFormat="1">
      <c r="A5" s="3">
        <v>1010000000</v>
      </c>
      <c r="B5" s="4" t="s">
        <v>5</v>
      </c>
      <c r="C5" s="5">
        <f>C6</f>
        <v>109.68899999999999</v>
      </c>
      <c r="D5" s="5">
        <f>D6</f>
        <v>32.203409999999998</v>
      </c>
      <c r="E5" s="5">
        <f t="shared" ref="E5:E48" si="0">SUM(D5/C5*100)</f>
        <v>29.358832699723763</v>
      </c>
      <c r="F5" s="5">
        <f t="shared" ref="F5:F48" si="1">SUM(D5-C5)</f>
        <v>-77.485590000000002</v>
      </c>
    </row>
    <row r="6" spans="1:6">
      <c r="A6" s="7">
        <v>1010200001</v>
      </c>
      <c r="B6" s="8" t="s">
        <v>228</v>
      </c>
      <c r="C6" s="9">
        <v>109.68899999999999</v>
      </c>
      <c r="D6" s="10">
        <v>32.203409999999998</v>
      </c>
      <c r="E6" s="9">
        <f t="shared" ref="E6:E11" si="2">SUM(D6/C6*100)</f>
        <v>29.358832699723763</v>
      </c>
      <c r="F6" s="9">
        <f t="shared" si="1"/>
        <v>-77.485590000000002</v>
      </c>
    </row>
    <row r="7" spans="1:6" ht="31.5">
      <c r="A7" s="3">
        <v>1030000000</v>
      </c>
      <c r="B7" s="13" t="s">
        <v>280</v>
      </c>
      <c r="C7" s="5">
        <f>C8+C10+C9</f>
        <v>422.38</v>
      </c>
      <c r="D7" s="5">
        <f>D8+D10+D9+D11</f>
        <v>163.15567000000001</v>
      </c>
      <c r="E7" s="5">
        <f t="shared" si="2"/>
        <v>38.627697807661356</v>
      </c>
      <c r="F7" s="5">
        <f t="shared" si="1"/>
        <v>-259.22433000000001</v>
      </c>
    </row>
    <row r="8" spans="1:6">
      <c r="A8" s="7">
        <v>1030223001</v>
      </c>
      <c r="B8" s="8" t="s">
        <v>282</v>
      </c>
      <c r="C8" s="9">
        <v>157.55000000000001</v>
      </c>
      <c r="D8" s="10">
        <v>73.425539999999998</v>
      </c>
      <c r="E8" s="9">
        <f t="shared" si="2"/>
        <v>46.604595366550292</v>
      </c>
      <c r="F8" s="9">
        <f t="shared" si="1"/>
        <v>-84.124460000000013</v>
      </c>
    </row>
    <row r="9" spans="1:6">
      <c r="A9" s="7">
        <v>1030224001</v>
      </c>
      <c r="B9" s="8" t="s">
        <v>288</v>
      </c>
      <c r="C9" s="9">
        <v>1.69</v>
      </c>
      <c r="D9" s="10">
        <v>0.53595000000000004</v>
      </c>
      <c r="E9" s="9">
        <f t="shared" si="2"/>
        <v>31.713017751479295</v>
      </c>
      <c r="F9" s="9">
        <f t="shared" si="1"/>
        <v>-1.1540499999999998</v>
      </c>
    </row>
    <row r="10" spans="1:6">
      <c r="A10" s="7">
        <v>1030225001</v>
      </c>
      <c r="B10" s="8" t="s">
        <v>281</v>
      </c>
      <c r="C10" s="9">
        <v>263.14</v>
      </c>
      <c r="D10" s="10">
        <v>104.37102</v>
      </c>
      <c r="E10" s="9">
        <f t="shared" si="2"/>
        <v>39.663684730561684</v>
      </c>
      <c r="F10" s="9">
        <f t="shared" si="1"/>
        <v>-158.76898</v>
      </c>
    </row>
    <row r="11" spans="1:6">
      <c r="A11" s="7">
        <v>1030226001</v>
      </c>
      <c r="B11" s="8" t="s">
        <v>290</v>
      </c>
      <c r="C11" s="9">
        <v>0</v>
      </c>
      <c r="D11" s="10">
        <v>-15.17684</v>
      </c>
      <c r="E11" s="9" t="e">
        <f t="shared" si="2"/>
        <v>#DIV/0!</v>
      </c>
      <c r="F11" s="9">
        <f t="shared" si="1"/>
        <v>-15.17684</v>
      </c>
    </row>
    <row r="12" spans="1:6" s="6" customFormat="1">
      <c r="A12" s="3">
        <v>1050000000</v>
      </c>
      <c r="B12" s="4" t="s">
        <v>6</v>
      </c>
      <c r="C12" s="5">
        <f>SUM(C13:C13)</f>
        <v>5</v>
      </c>
      <c r="D12" s="5">
        <f>SUM(D13:D13)</f>
        <v>0.77749999999999997</v>
      </c>
      <c r="E12" s="5">
        <f t="shared" si="0"/>
        <v>15.55</v>
      </c>
      <c r="F12" s="5">
        <f t="shared" si="1"/>
        <v>-4.2225000000000001</v>
      </c>
    </row>
    <row r="13" spans="1:6" ht="15.75" customHeight="1">
      <c r="A13" s="7">
        <v>1050300000</v>
      </c>
      <c r="B13" s="11" t="s">
        <v>229</v>
      </c>
      <c r="C13" s="12">
        <v>5</v>
      </c>
      <c r="D13" s="10">
        <v>0.77749999999999997</v>
      </c>
      <c r="E13" s="9">
        <f t="shared" si="0"/>
        <v>15.55</v>
      </c>
      <c r="F13" s="9">
        <f t="shared" si="1"/>
        <v>-4.2225000000000001</v>
      </c>
    </row>
    <row r="14" spans="1:6" s="6" customFormat="1" ht="15.75" customHeight="1">
      <c r="A14" s="3">
        <v>1060000000</v>
      </c>
      <c r="B14" s="4" t="s">
        <v>135</v>
      </c>
      <c r="C14" s="5">
        <f>C15+C16</f>
        <v>1456</v>
      </c>
      <c r="D14" s="5">
        <f>D15+D16</f>
        <v>177.41257999999999</v>
      </c>
      <c r="E14" s="5">
        <f t="shared" si="0"/>
        <v>12.184929945054943</v>
      </c>
      <c r="F14" s="5">
        <f t="shared" si="1"/>
        <v>-1278.5874200000001</v>
      </c>
    </row>
    <row r="15" spans="1:6" s="6" customFormat="1" ht="15.75" customHeight="1">
      <c r="A15" s="7">
        <v>1060100000</v>
      </c>
      <c r="B15" s="11" t="s">
        <v>8</v>
      </c>
      <c r="C15" s="9">
        <v>428</v>
      </c>
      <c r="D15" s="10">
        <v>94.494500000000002</v>
      </c>
      <c r="E15" s="9">
        <f t="shared" si="0"/>
        <v>22.078154205607479</v>
      </c>
      <c r="F15" s="9">
        <f>SUM(D15-C15)</f>
        <v>-333.50549999999998</v>
      </c>
    </row>
    <row r="16" spans="1:6" ht="15.75" customHeight="1">
      <c r="A16" s="7">
        <v>1060600000</v>
      </c>
      <c r="B16" s="11" t="s">
        <v>7</v>
      </c>
      <c r="C16" s="9">
        <v>1028</v>
      </c>
      <c r="D16" s="10">
        <v>82.918080000000003</v>
      </c>
      <c r="E16" s="9">
        <f t="shared" si="0"/>
        <v>8.0659610894941647</v>
      </c>
      <c r="F16" s="9">
        <f t="shared" si="1"/>
        <v>-945.08191999999997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2.15</v>
      </c>
      <c r="E17" s="5">
        <f t="shared" si="0"/>
        <v>43</v>
      </c>
      <c r="F17" s="5">
        <f t="shared" si="1"/>
        <v>-2.85</v>
      </c>
    </row>
    <row r="18" spans="1:6">
      <c r="A18" s="7">
        <v>1080400001</v>
      </c>
      <c r="B18" s="8" t="s">
        <v>227</v>
      </c>
      <c r="C18" s="9">
        <v>5</v>
      </c>
      <c r="D18" s="10">
        <v>2.15</v>
      </c>
      <c r="E18" s="9">
        <f t="shared" si="0"/>
        <v>43</v>
      </c>
      <c r="F18" s="9">
        <f t="shared" si="1"/>
        <v>-2.85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1.5" hidden="1">
      <c r="A20" s="3">
        <v>1090000000</v>
      </c>
      <c r="B20" s="13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232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317.59127999999998</v>
      </c>
      <c r="D25" s="5">
        <f>D26+D29+D31+D34</f>
        <v>88.885360000000006</v>
      </c>
      <c r="E25" s="5">
        <f t="shared" si="0"/>
        <v>27.987342725530755</v>
      </c>
      <c r="F25" s="5">
        <f t="shared" si="1"/>
        <v>-228.70591999999999</v>
      </c>
    </row>
    <row r="26" spans="1:6" s="6" customFormat="1" ht="32.25" customHeight="1">
      <c r="A26" s="3">
        <v>1110000000</v>
      </c>
      <c r="B26" s="13" t="s">
        <v>128</v>
      </c>
      <c r="C26" s="5">
        <f>C27+C28</f>
        <v>300</v>
      </c>
      <c r="D26" s="5">
        <f>D27</f>
        <v>77.393360000000001</v>
      </c>
      <c r="E26" s="5">
        <f t="shared" si="0"/>
        <v>25.797786666666667</v>
      </c>
      <c r="F26" s="5">
        <f t="shared" si="1"/>
        <v>-222.60664</v>
      </c>
    </row>
    <row r="27" spans="1:6" ht="15" customHeight="1">
      <c r="A27" s="16">
        <v>1110502510</v>
      </c>
      <c r="B27" s="17" t="s">
        <v>225</v>
      </c>
      <c r="C27" s="12">
        <v>300</v>
      </c>
      <c r="D27" s="10">
        <v>77.393360000000001</v>
      </c>
      <c r="E27" s="5">
        <f t="shared" si="0"/>
        <v>25.797786666666667</v>
      </c>
      <c r="F27" s="9">
        <f t="shared" si="1"/>
        <v>-222.60664</v>
      </c>
    </row>
    <row r="28" spans="1:6" ht="19.5" customHeight="1">
      <c r="A28" s="7">
        <v>1110503505</v>
      </c>
      <c r="B28" s="11" t="s">
        <v>224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33" hidden="1" customHeight="1">
      <c r="A29" s="3">
        <v>1130000000</v>
      </c>
      <c r="B29" s="13" t="s">
        <v>130</v>
      </c>
      <c r="C29" s="5">
        <f>C30</f>
        <v>0</v>
      </c>
      <c r="D29" s="5">
        <f>D30</f>
        <v>5.093</v>
      </c>
      <c r="E29" s="5" t="e">
        <f t="shared" si="0"/>
        <v>#DIV/0!</v>
      </c>
      <c r="F29" s="5">
        <f t="shared" si="1"/>
        <v>5.093</v>
      </c>
    </row>
    <row r="30" spans="1:6" ht="50.25" hidden="1" customHeight="1">
      <c r="A30" s="7">
        <v>1130305005</v>
      </c>
      <c r="B30" s="8" t="s">
        <v>223</v>
      </c>
      <c r="C30" s="9">
        <v>0</v>
      </c>
      <c r="D30" s="10">
        <v>5.093</v>
      </c>
      <c r="E30" s="9" t="e">
        <f t="shared" si="0"/>
        <v>#DIV/0!</v>
      </c>
      <c r="F30" s="9">
        <f t="shared" si="1"/>
        <v>5.093</v>
      </c>
    </row>
    <row r="31" spans="1:6" ht="33" customHeight="1">
      <c r="A31" s="109">
        <v>1140000000</v>
      </c>
      <c r="B31" s="110" t="s">
        <v>131</v>
      </c>
      <c r="C31" s="5">
        <f>C33</f>
        <v>17.591280000000001</v>
      </c>
      <c r="D31" s="5">
        <f>D32+D33</f>
        <v>6.399</v>
      </c>
      <c r="E31" s="5">
        <f t="shared" si="0"/>
        <v>36.37597718869803</v>
      </c>
      <c r="F31" s="5">
        <f t="shared" si="1"/>
        <v>-11.19228</v>
      </c>
    </row>
    <row r="32" spans="1:6" ht="27" hidden="1" customHeight="1">
      <c r="A32" s="16">
        <v>1140200000</v>
      </c>
      <c r="B32" s="18" t="s">
        <v>221</v>
      </c>
      <c r="C32" s="9">
        <v>0</v>
      </c>
      <c r="D32" s="10">
        <v>6.399</v>
      </c>
      <c r="E32" s="9" t="e">
        <f t="shared" si="0"/>
        <v>#DIV/0!</v>
      </c>
      <c r="F32" s="9">
        <f t="shared" si="1"/>
        <v>6.399</v>
      </c>
    </row>
    <row r="33" spans="1:8" ht="27" customHeight="1">
      <c r="A33" s="7">
        <v>1140600000</v>
      </c>
      <c r="B33" s="8" t="s">
        <v>222</v>
      </c>
      <c r="C33" s="9">
        <v>17.591280000000001</v>
      </c>
      <c r="D33" s="10">
        <v>0</v>
      </c>
      <c r="E33" s="9">
        <f t="shared" si="0"/>
        <v>0</v>
      </c>
      <c r="F33" s="9">
        <f t="shared" si="1"/>
        <v>-17.591280000000001</v>
      </c>
    </row>
    <row r="34" spans="1:8" ht="27" customHeight="1">
      <c r="A34" s="3">
        <v>1170000000</v>
      </c>
      <c r="B34" s="13" t="s">
        <v>134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8" ht="23.25" customHeight="1">
      <c r="A35" s="7">
        <v>1170105005</v>
      </c>
      <c r="B35" s="8" t="s">
        <v>17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8" ht="32.25" customHeight="1">
      <c r="A36" s="7">
        <v>1170505005</v>
      </c>
      <c r="B36" s="11" t="s">
        <v>220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8" s="6" customFormat="1" ht="15" customHeight="1">
      <c r="A37" s="3">
        <v>1000000000</v>
      </c>
      <c r="B37" s="4" t="s">
        <v>18</v>
      </c>
      <c r="C37" s="467">
        <f>SUM(C4,C25)</f>
        <v>2315.6602800000001</v>
      </c>
      <c r="D37" s="467">
        <f>D4+D25</f>
        <v>464.58452</v>
      </c>
      <c r="E37" s="5">
        <f t="shared" si="0"/>
        <v>20.062723535595644</v>
      </c>
      <c r="F37" s="5">
        <f t="shared" si="1"/>
        <v>-1851.0757600000002</v>
      </c>
    </row>
    <row r="38" spans="1:8" s="6" customFormat="1">
      <c r="A38" s="3">
        <v>2000000000</v>
      </c>
      <c r="B38" s="4" t="s">
        <v>19</v>
      </c>
      <c r="C38" s="468">
        <f>C39+C41+C42+C44+C45+C46+C40</f>
        <v>9677.5567100000007</v>
      </c>
      <c r="D38" s="468">
        <f>D39+D41+D42+D44+D45+D46+D40</f>
        <v>863.73468000000003</v>
      </c>
      <c r="E38" s="5">
        <f t="shared" si="0"/>
        <v>8.9251316823334843</v>
      </c>
      <c r="F38" s="5">
        <f t="shared" si="1"/>
        <v>-8813.8220300000012</v>
      </c>
      <c r="G38" s="19"/>
    </row>
    <row r="39" spans="1:8">
      <c r="A39" s="16">
        <v>2021000000</v>
      </c>
      <c r="B39" s="17" t="s">
        <v>20</v>
      </c>
      <c r="C39" s="12">
        <v>550.70000000000005</v>
      </c>
      <c r="D39" s="412">
        <v>183.56800000000001</v>
      </c>
      <c r="E39" s="9">
        <f t="shared" si="0"/>
        <v>33.333575449427997</v>
      </c>
      <c r="F39" s="9">
        <f t="shared" si="1"/>
        <v>-367.13200000000006</v>
      </c>
    </row>
    <row r="40" spans="1:8" ht="15.75" customHeight="1">
      <c r="A40" s="16">
        <v>2021500200</v>
      </c>
      <c r="B40" s="17" t="s">
        <v>231</v>
      </c>
      <c r="C40" s="12">
        <v>3200</v>
      </c>
      <c r="D40" s="20">
        <v>140</v>
      </c>
      <c r="E40" s="9">
        <f t="shared" si="0"/>
        <v>4.375</v>
      </c>
      <c r="F40" s="9">
        <f t="shared" si="1"/>
        <v>-3060</v>
      </c>
    </row>
    <row r="41" spans="1:8">
      <c r="A41" s="16">
        <v>2022000000</v>
      </c>
      <c r="B41" s="17" t="s">
        <v>21</v>
      </c>
      <c r="C41" s="12">
        <v>5593.3550299999997</v>
      </c>
      <c r="D41" s="10">
        <v>269.904</v>
      </c>
      <c r="E41" s="9">
        <f t="shared" si="0"/>
        <v>4.82544016162693</v>
      </c>
      <c r="F41" s="9">
        <f t="shared" si="1"/>
        <v>-5323.4510300000002</v>
      </c>
    </row>
    <row r="42" spans="1:8" ht="13.5" customHeight="1">
      <c r="A42" s="16">
        <v>2023000000</v>
      </c>
      <c r="B42" s="17" t="s">
        <v>22</v>
      </c>
      <c r="C42" s="12">
        <v>93.018000000000001</v>
      </c>
      <c r="D42" s="249">
        <v>29.779</v>
      </c>
      <c r="E42" s="9">
        <f t="shared" si="0"/>
        <v>32.014233804209937</v>
      </c>
      <c r="F42" s="9">
        <f t="shared" si="1"/>
        <v>-63.239000000000004</v>
      </c>
    </row>
    <row r="43" spans="1:8" hidden="1">
      <c r="A43" s="16">
        <v>2070503010</v>
      </c>
      <c r="B43" s="17" t="s">
        <v>270</v>
      </c>
      <c r="C43" s="12">
        <v>0</v>
      </c>
      <c r="D43" s="249">
        <v>0</v>
      </c>
      <c r="E43" s="9" t="e">
        <f t="shared" si="0"/>
        <v>#DIV/0!</v>
      </c>
      <c r="F43" s="9">
        <f t="shared" si="1"/>
        <v>0</v>
      </c>
    </row>
    <row r="44" spans="1:8" ht="27.75" customHeight="1">
      <c r="A44" s="16">
        <v>2020400000</v>
      </c>
      <c r="B44" s="17" t="s">
        <v>23</v>
      </c>
      <c r="C44" s="12">
        <v>0</v>
      </c>
      <c r="D44" s="250">
        <v>0</v>
      </c>
      <c r="E44" s="9" t="e">
        <f t="shared" si="0"/>
        <v>#DIV/0!</v>
      </c>
      <c r="F44" s="9">
        <f t="shared" si="1"/>
        <v>0</v>
      </c>
    </row>
    <row r="45" spans="1:8" ht="19.5" customHeight="1">
      <c r="A45" s="16">
        <v>2070000000</v>
      </c>
      <c r="B45" s="18" t="s">
        <v>297</v>
      </c>
      <c r="C45" s="12">
        <v>240.48367999999999</v>
      </c>
      <c r="D45" s="250">
        <v>240.48367999999999</v>
      </c>
      <c r="E45" s="9">
        <v>922</v>
      </c>
      <c r="F45" s="9">
        <f t="shared" si="1"/>
        <v>0</v>
      </c>
      <c r="G45" s="354"/>
      <c r="H45" s="354"/>
    </row>
    <row r="46" spans="1:8" ht="30.75" customHeight="1">
      <c r="A46" s="7">
        <v>2190500005</v>
      </c>
      <c r="B46" s="11" t="s">
        <v>25</v>
      </c>
      <c r="C46" s="14"/>
      <c r="D46" s="14"/>
      <c r="E46" s="5"/>
      <c r="F46" s="5">
        <f>SUM(D46-C46)</f>
        <v>0</v>
      </c>
    </row>
    <row r="47" spans="1:8" s="6" customFormat="1" ht="31.5">
      <c r="A47" s="3">
        <v>3000000000</v>
      </c>
      <c r="B47" s="13" t="s">
        <v>26</v>
      </c>
      <c r="C47" s="275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8" s="6" customFormat="1" ht="15" customHeight="1">
      <c r="A48" s="3"/>
      <c r="B48" s="4" t="s">
        <v>27</v>
      </c>
      <c r="C48" s="469">
        <f>SUM(C37,C38,C47)</f>
        <v>11993.216990000001</v>
      </c>
      <c r="D48" s="470">
        <f>D37+D38</f>
        <v>1328.3191999999999</v>
      </c>
      <c r="E48" s="5">
        <f t="shared" si="0"/>
        <v>11.075587151533725</v>
      </c>
      <c r="F48" s="5">
        <f t="shared" si="1"/>
        <v>-10664.897790000001</v>
      </c>
      <c r="G48" s="291"/>
      <c r="H48" s="291"/>
    </row>
    <row r="49" spans="1:6" s="6" customFormat="1">
      <c r="A49" s="3"/>
      <c r="B49" s="21" t="s">
        <v>320</v>
      </c>
      <c r="C49" s="93">
        <f>C48-C95</f>
        <v>-52.274429999997665</v>
      </c>
      <c r="D49" s="93">
        <f>D48-D95</f>
        <v>84.345659999999725</v>
      </c>
      <c r="E49" s="22"/>
      <c r="F49" s="22"/>
    </row>
    <row r="50" spans="1:6" ht="23.25" customHeight="1">
      <c r="A50" s="23"/>
      <c r="B50" s="24"/>
      <c r="C50" s="323"/>
      <c r="D50" s="323"/>
      <c r="E50" s="26"/>
      <c r="F50" s="27"/>
    </row>
    <row r="51" spans="1:6" ht="63">
      <c r="A51" s="28" t="s">
        <v>0</v>
      </c>
      <c r="B51" s="28" t="s">
        <v>28</v>
      </c>
      <c r="C51" s="72" t="s">
        <v>411</v>
      </c>
      <c r="D51" s="73" t="s">
        <v>419</v>
      </c>
      <c r="E51" s="72" t="s">
        <v>2</v>
      </c>
      <c r="F51" s="74" t="s">
        <v>3</v>
      </c>
    </row>
    <row r="52" spans="1:6" ht="18" customHeight="1">
      <c r="A52" s="29">
        <v>1</v>
      </c>
      <c r="B52" s="28">
        <v>2</v>
      </c>
      <c r="C52" s="87">
        <v>3</v>
      </c>
      <c r="D52" s="87">
        <v>4</v>
      </c>
      <c r="E52" s="87">
        <v>5</v>
      </c>
      <c r="F52" s="87">
        <v>6</v>
      </c>
    </row>
    <row r="53" spans="1:6" s="6" customFormat="1">
      <c r="A53" s="30" t="s">
        <v>29</v>
      </c>
      <c r="B53" s="31" t="s">
        <v>30</v>
      </c>
      <c r="C53" s="32">
        <f>C54+C55+C56+C57+C58+C60+C59</f>
        <v>1294.6619999999998</v>
      </c>
      <c r="D53" s="32">
        <f>D54+D55+D56+D57+D58+D60+D59</f>
        <v>409.47600999999997</v>
      </c>
      <c r="E53" s="34">
        <f>SUM(D53/C53*100)</f>
        <v>31.628024148387766</v>
      </c>
      <c r="F53" s="34">
        <f>SUM(D53-C53)</f>
        <v>-885.18598999999983</v>
      </c>
    </row>
    <row r="54" spans="1:6" s="6" customFormat="1" ht="31.5" hidden="1">
      <c r="A54" s="35" t="s">
        <v>31</v>
      </c>
      <c r="B54" s="36" t="s">
        <v>32</v>
      </c>
      <c r="C54" s="37"/>
      <c r="D54" s="37"/>
      <c r="E54" s="38"/>
      <c r="F54" s="38"/>
    </row>
    <row r="55" spans="1:6" ht="20.25" customHeight="1">
      <c r="A55" s="35" t="s">
        <v>33</v>
      </c>
      <c r="B55" s="39" t="s">
        <v>34</v>
      </c>
      <c r="C55" s="37">
        <v>1286.5719999999999</v>
      </c>
      <c r="D55" s="37">
        <v>406.38650999999999</v>
      </c>
      <c r="E55" s="38">
        <f t="shared" ref="E55:E95" si="3">SUM(D55/C55*100)</f>
        <v>31.586767782914599</v>
      </c>
      <c r="F55" s="38">
        <f t="shared" ref="F55:F95" si="4">SUM(D55-C55)</f>
        <v>-880.18548999999985</v>
      </c>
    </row>
    <row r="56" spans="1:6" ht="16.5" hidden="1" customHeight="1">
      <c r="A56" s="35" t="s">
        <v>35</v>
      </c>
      <c r="B56" s="39" t="s">
        <v>36</v>
      </c>
      <c r="C56" s="37"/>
      <c r="D56" s="37"/>
      <c r="E56" s="38"/>
      <c r="F56" s="38">
        <f t="shared" si="4"/>
        <v>0</v>
      </c>
    </row>
    <row r="57" spans="1:6" ht="31.5" hidden="1" customHeight="1">
      <c r="A57" s="35" t="s">
        <v>37</v>
      </c>
      <c r="B57" s="39" t="s">
        <v>38</v>
      </c>
      <c r="C57" s="37"/>
      <c r="D57" s="37"/>
      <c r="E57" s="38" t="e">
        <f t="shared" si="3"/>
        <v>#DIV/0!</v>
      </c>
      <c r="F57" s="38">
        <f t="shared" si="4"/>
        <v>0</v>
      </c>
    </row>
    <row r="58" spans="1:6" ht="0.75" customHeight="1">
      <c r="A58" s="35" t="s">
        <v>39</v>
      </c>
      <c r="B58" s="39" t="s">
        <v>40</v>
      </c>
      <c r="C58" s="37">
        <v>0</v>
      </c>
      <c r="D58" s="37">
        <v>0</v>
      </c>
      <c r="E58" s="38" t="e">
        <f t="shared" si="3"/>
        <v>#DIV/0!</v>
      </c>
      <c r="F58" s="38">
        <f t="shared" si="4"/>
        <v>0</v>
      </c>
    </row>
    <row r="59" spans="1:6" ht="18" customHeight="1">
      <c r="A59" s="35" t="s">
        <v>41</v>
      </c>
      <c r="B59" s="39" t="s">
        <v>42</v>
      </c>
      <c r="C59" s="40">
        <v>5</v>
      </c>
      <c r="D59" s="40">
        <v>0</v>
      </c>
      <c r="E59" s="38">
        <f t="shared" si="3"/>
        <v>0</v>
      </c>
      <c r="F59" s="38">
        <f t="shared" si="4"/>
        <v>-5</v>
      </c>
    </row>
    <row r="60" spans="1:6" ht="15.75" customHeight="1">
      <c r="A60" s="35" t="s">
        <v>43</v>
      </c>
      <c r="B60" s="39" t="s">
        <v>44</v>
      </c>
      <c r="C60" s="37">
        <v>3.09</v>
      </c>
      <c r="D60" s="37">
        <v>3.0895000000000001</v>
      </c>
      <c r="E60" s="38">
        <f t="shared" si="3"/>
        <v>99.983818770226549</v>
      </c>
      <c r="F60" s="38">
        <f t="shared" si="4"/>
        <v>-4.9999999999972289E-4</v>
      </c>
    </row>
    <row r="61" spans="1:6" s="6" customFormat="1">
      <c r="A61" s="41" t="s">
        <v>45</v>
      </c>
      <c r="B61" s="42" t="s">
        <v>46</v>
      </c>
      <c r="C61" s="32">
        <f>C62</f>
        <v>89.944999999999993</v>
      </c>
      <c r="D61" s="32">
        <f>D62</f>
        <v>24.889849999999999</v>
      </c>
      <c r="E61" s="34">
        <f t="shared" si="3"/>
        <v>27.672299738729222</v>
      </c>
      <c r="F61" s="34">
        <f t="shared" si="4"/>
        <v>-65.055149999999998</v>
      </c>
    </row>
    <row r="62" spans="1:6">
      <c r="A62" s="43" t="s">
        <v>47</v>
      </c>
      <c r="B62" s="44" t="s">
        <v>48</v>
      </c>
      <c r="C62" s="37">
        <v>89.944999999999993</v>
      </c>
      <c r="D62" s="37">
        <v>24.889849999999999</v>
      </c>
      <c r="E62" s="38">
        <f t="shared" si="3"/>
        <v>27.672299738729222</v>
      </c>
      <c r="F62" s="38">
        <f t="shared" si="4"/>
        <v>-65.055149999999998</v>
      </c>
    </row>
    <row r="63" spans="1:6" s="6" customFormat="1" ht="16.5" customHeight="1">
      <c r="A63" s="30" t="s">
        <v>49</v>
      </c>
      <c r="B63" s="31" t="s">
        <v>50</v>
      </c>
      <c r="C63" s="32">
        <f>C67+C66+C68</f>
        <v>16</v>
      </c>
      <c r="D63" s="32">
        <f>D67+D66</f>
        <v>4.6354300000000004</v>
      </c>
      <c r="E63" s="34">
        <f t="shared" si="3"/>
        <v>28.971437500000004</v>
      </c>
      <c r="F63" s="34">
        <f t="shared" si="4"/>
        <v>-11.364570000000001</v>
      </c>
    </row>
    <row r="64" spans="1:6" hidden="1">
      <c r="A64" s="35" t="s">
        <v>51</v>
      </c>
      <c r="B64" s="39" t="s">
        <v>52</v>
      </c>
      <c r="C64" s="37"/>
      <c r="D64" s="37"/>
      <c r="E64" s="34" t="e">
        <f t="shared" si="3"/>
        <v>#DIV/0!</v>
      </c>
      <c r="F64" s="34">
        <f t="shared" si="4"/>
        <v>0</v>
      </c>
    </row>
    <row r="65" spans="1:7" ht="19.5" hidden="1" customHeight="1">
      <c r="A65" s="45" t="s">
        <v>53</v>
      </c>
      <c r="B65" s="39" t="s">
        <v>54</v>
      </c>
      <c r="C65" s="37"/>
      <c r="D65" s="37"/>
      <c r="E65" s="34" t="e">
        <f t="shared" si="3"/>
        <v>#DIV/0!</v>
      </c>
      <c r="F65" s="34">
        <f t="shared" si="4"/>
        <v>0</v>
      </c>
    </row>
    <row r="66" spans="1:7" ht="18" customHeight="1">
      <c r="A66" s="46" t="s">
        <v>55</v>
      </c>
      <c r="B66" s="47" t="s">
        <v>56</v>
      </c>
      <c r="C66" s="96">
        <v>0</v>
      </c>
      <c r="D66" s="37">
        <v>0</v>
      </c>
      <c r="E66" s="34" t="e">
        <f t="shared" si="3"/>
        <v>#DIV/0!</v>
      </c>
      <c r="F66" s="34">
        <f t="shared" si="4"/>
        <v>0</v>
      </c>
    </row>
    <row r="67" spans="1:7" ht="15.75" customHeight="1">
      <c r="A67" s="46" t="s">
        <v>218</v>
      </c>
      <c r="B67" s="47" t="s">
        <v>219</v>
      </c>
      <c r="C67" s="37">
        <v>14</v>
      </c>
      <c r="D67" s="37">
        <v>4.6354300000000004</v>
      </c>
      <c r="E67" s="34">
        <f t="shared" si="3"/>
        <v>33.110214285714292</v>
      </c>
      <c r="F67" s="34">
        <f t="shared" si="4"/>
        <v>-9.3645700000000005</v>
      </c>
    </row>
    <row r="68" spans="1:7" ht="15.75" customHeight="1">
      <c r="A68" s="46" t="s">
        <v>357</v>
      </c>
      <c r="B68" s="47" t="s">
        <v>358</v>
      </c>
      <c r="C68" s="37">
        <v>2</v>
      </c>
      <c r="D68" s="37"/>
      <c r="E68" s="34"/>
      <c r="F68" s="34"/>
    </row>
    <row r="69" spans="1:7" s="6" customFormat="1">
      <c r="A69" s="30" t="s">
        <v>57</v>
      </c>
      <c r="B69" s="31" t="s">
        <v>58</v>
      </c>
      <c r="C69" s="48">
        <f>SUM(C70:C73)</f>
        <v>4031.9520299999995</v>
      </c>
      <c r="D69" s="48">
        <f>SUM(D70:D73)</f>
        <v>415.88939999999997</v>
      </c>
      <c r="E69" s="34">
        <f t="shared" si="3"/>
        <v>10.314839980871499</v>
      </c>
      <c r="F69" s="34">
        <f t="shared" si="4"/>
        <v>-3616.0626299999994</v>
      </c>
    </row>
    <row r="70" spans="1:7" ht="15" customHeight="1">
      <c r="A70" s="35" t="s">
        <v>59</v>
      </c>
      <c r="B70" s="39" t="s">
        <v>60</v>
      </c>
      <c r="C70" s="49">
        <v>8.0429999999999993</v>
      </c>
      <c r="D70" s="37">
        <v>0</v>
      </c>
      <c r="E70" s="38">
        <f t="shared" si="3"/>
        <v>0</v>
      </c>
      <c r="F70" s="38">
        <f t="shared" si="4"/>
        <v>-8.0429999999999993</v>
      </c>
    </row>
    <row r="71" spans="1:7" s="6" customFormat="1" ht="18" customHeight="1">
      <c r="A71" s="35" t="s">
        <v>61</v>
      </c>
      <c r="B71" s="39" t="s">
        <v>62</v>
      </c>
      <c r="C71" s="49">
        <v>1230.0246099999999</v>
      </c>
      <c r="D71" s="37">
        <v>29.205249999999999</v>
      </c>
      <c r="E71" s="38">
        <f t="shared" si="3"/>
        <v>2.3743630625406755</v>
      </c>
      <c r="F71" s="38">
        <f t="shared" si="4"/>
        <v>-1200.81936</v>
      </c>
      <c r="G71" s="50"/>
    </row>
    <row r="72" spans="1:7">
      <c r="A72" s="35" t="s">
        <v>63</v>
      </c>
      <c r="B72" s="39" t="s">
        <v>64</v>
      </c>
      <c r="C72" s="49">
        <v>2723.8844199999999</v>
      </c>
      <c r="D72" s="37">
        <v>326.72953000000001</v>
      </c>
      <c r="E72" s="38">
        <f t="shared" si="3"/>
        <v>11.994985088243943</v>
      </c>
      <c r="F72" s="38">
        <f t="shared" si="4"/>
        <v>-2397.1548899999998</v>
      </c>
    </row>
    <row r="73" spans="1:7">
      <c r="A73" s="35" t="s">
        <v>65</v>
      </c>
      <c r="B73" s="39" t="s">
        <v>66</v>
      </c>
      <c r="C73" s="49">
        <v>70</v>
      </c>
      <c r="D73" s="37">
        <v>59.954619999999998</v>
      </c>
      <c r="E73" s="38">
        <f t="shared" si="3"/>
        <v>85.649457142857145</v>
      </c>
      <c r="F73" s="38">
        <f t="shared" si="4"/>
        <v>-10.045380000000002</v>
      </c>
    </row>
    <row r="74" spans="1:7" s="6" customFormat="1" ht="16.5" customHeight="1">
      <c r="A74" s="30" t="s">
        <v>67</v>
      </c>
      <c r="B74" s="31" t="s">
        <v>68</v>
      </c>
      <c r="C74" s="32">
        <f>SUM(C75:C77)</f>
        <v>233.28959</v>
      </c>
      <c r="D74" s="32">
        <f>SUM(D76:D77)</f>
        <v>132.79785000000001</v>
      </c>
      <c r="E74" s="34">
        <f t="shared" si="3"/>
        <v>56.924035916047522</v>
      </c>
      <c r="F74" s="34">
        <f t="shared" si="4"/>
        <v>-100.49173999999999</v>
      </c>
    </row>
    <row r="75" spans="1:7" hidden="1">
      <c r="A75" s="35" t="s">
        <v>69</v>
      </c>
      <c r="B75" s="51" t="s">
        <v>70</v>
      </c>
      <c r="C75" s="37">
        <v>0</v>
      </c>
      <c r="D75" s="37">
        <v>0</v>
      </c>
      <c r="E75" s="38" t="e">
        <f t="shared" si="3"/>
        <v>#DIV/0!</v>
      </c>
      <c r="F75" s="38">
        <f t="shared" si="4"/>
        <v>0</v>
      </c>
    </row>
    <row r="76" spans="1:7" ht="17.25" hidden="1" customHeight="1">
      <c r="A76" s="35" t="s">
        <v>71</v>
      </c>
      <c r="B76" s="51" t="s">
        <v>72</v>
      </c>
      <c r="C76" s="37">
        <v>0</v>
      </c>
      <c r="D76" s="37">
        <v>0</v>
      </c>
      <c r="E76" s="38" t="e">
        <f t="shared" si="3"/>
        <v>#DIV/0!</v>
      </c>
      <c r="F76" s="38">
        <f t="shared" si="4"/>
        <v>0</v>
      </c>
    </row>
    <row r="77" spans="1:7">
      <c r="A77" s="35" t="s">
        <v>73</v>
      </c>
      <c r="B77" s="39" t="s">
        <v>74</v>
      </c>
      <c r="C77" s="37">
        <v>233.28959</v>
      </c>
      <c r="D77" s="37">
        <v>132.79785000000001</v>
      </c>
      <c r="E77" s="38">
        <f>SUM(D77/C77*100)</f>
        <v>56.924035916047522</v>
      </c>
      <c r="F77" s="38">
        <f t="shared" si="4"/>
        <v>-100.49173999999999</v>
      </c>
    </row>
    <row r="78" spans="1:7" s="6" customFormat="1">
      <c r="A78" s="30" t="s">
        <v>85</v>
      </c>
      <c r="B78" s="31" t="s">
        <v>86</v>
      </c>
      <c r="C78" s="32">
        <f>C79</f>
        <v>6377.6427999999996</v>
      </c>
      <c r="D78" s="32">
        <f>SUM(D79)</f>
        <v>255</v>
      </c>
      <c r="E78" s="34">
        <f t="shared" si="3"/>
        <v>3.9983424596937289</v>
      </c>
      <c r="F78" s="34">
        <f t="shared" si="4"/>
        <v>-6122.6427999999996</v>
      </c>
    </row>
    <row r="79" spans="1:7" ht="36" customHeight="1">
      <c r="A79" s="35" t="s">
        <v>87</v>
      </c>
      <c r="B79" s="39" t="s">
        <v>233</v>
      </c>
      <c r="C79" s="37">
        <v>6377.6427999999996</v>
      </c>
      <c r="D79" s="37">
        <v>255</v>
      </c>
      <c r="E79" s="38">
        <f t="shared" si="3"/>
        <v>3.9983424596937289</v>
      </c>
      <c r="F79" s="38">
        <f t="shared" si="4"/>
        <v>-6122.6427999999996</v>
      </c>
    </row>
    <row r="80" spans="1:7" s="6" customFormat="1" ht="0.75" hidden="1" customHeight="1">
      <c r="A80" s="52">
        <v>1000</v>
      </c>
      <c r="B80" s="31" t="s">
        <v>88</v>
      </c>
      <c r="C80" s="32">
        <f>SUM(C81:C84)</f>
        <v>0</v>
      </c>
      <c r="D80" s="32">
        <f>SUM(D81:D84)</f>
        <v>0</v>
      </c>
      <c r="E80" s="34" t="e">
        <f t="shared" si="3"/>
        <v>#DIV/0!</v>
      </c>
      <c r="F80" s="34">
        <f t="shared" si="4"/>
        <v>0</v>
      </c>
    </row>
    <row r="81" spans="1:6" ht="1.5" hidden="1" customHeight="1">
      <c r="A81" s="53">
        <v>1001</v>
      </c>
      <c r="B81" s="54" t="s">
        <v>89</v>
      </c>
      <c r="C81" s="37"/>
      <c r="D81" s="37"/>
      <c r="E81" s="38" t="e">
        <f t="shared" si="3"/>
        <v>#DIV/0!</v>
      </c>
      <c r="F81" s="38">
        <f t="shared" si="4"/>
        <v>0</v>
      </c>
    </row>
    <row r="82" spans="1:6" ht="27" hidden="1" customHeight="1">
      <c r="A82" s="53">
        <v>1003</v>
      </c>
      <c r="B82" s="54" t="s">
        <v>90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ht="27.75" hidden="1" customHeight="1">
      <c r="A83" s="53">
        <v>1004</v>
      </c>
      <c r="B83" s="54" t="s">
        <v>91</v>
      </c>
      <c r="C83" s="37"/>
      <c r="D83" s="55"/>
      <c r="E83" s="38" t="e">
        <f t="shared" si="3"/>
        <v>#DIV/0!</v>
      </c>
      <c r="F83" s="38">
        <f t="shared" si="4"/>
        <v>0</v>
      </c>
    </row>
    <row r="84" spans="1:6" ht="23.25" hidden="1" customHeight="1">
      <c r="A84" s="35" t="s">
        <v>92</v>
      </c>
      <c r="B84" s="39" t="s">
        <v>93</v>
      </c>
      <c r="C84" s="37">
        <v>0</v>
      </c>
      <c r="D84" s="37">
        <v>0</v>
      </c>
      <c r="E84" s="38"/>
      <c r="F84" s="38">
        <f t="shared" si="4"/>
        <v>0</v>
      </c>
    </row>
    <row r="85" spans="1:6" ht="17.25" hidden="1" customHeight="1">
      <c r="A85" s="30" t="s">
        <v>94</v>
      </c>
      <c r="B85" s="31" t="s">
        <v>95</v>
      </c>
      <c r="C85" s="32">
        <f>C86+C87+C88+C89+C90</f>
        <v>2</v>
      </c>
      <c r="D85" s="32">
        <f>D86+D87+D88+D89+D90</f>
        <v>1.2849999999999999</v>
      </c>
      <c r="E85" s="38">
        <f t="shared" si="3"/>
        <v>64.25</v>
      </c>
      <c r="F85" s="22">
        <f>F86+F87+F88+F89+F90</f>
        <v>-0.71500000000000008</v>
      </c>
    </row>
    <row r="86" spans="1:6" ht="15" customHeight="1">
      <c r="A86" s="35" t="s">
        <v>96</v>
      </c>
      <c r="B86" s="39" t="s">
        <v>97</v>
      </c>
      <c r="C86" s="343">
        <v>2</v>
      </c>
      <c r="D86" s="343">
        <v>1.2849999999999999</v>
      </c>
      <c r="E86" s="38">
        <f t="shared" si="3"/>
        <v>64.25</v>
      </c>
      <c r="F86" s="38">
        <f>SUM(D86-C86)</f>
        <v>-0.71500000000000008</v>
      </c>
    </row>
    <row r="87" spans="1:6" ht="15.75" hidden="1" customHeight="1">
      <c r="A87" s="35" t="s">
        <v>98</v>
      </c>
      <c r="B87" s="39" t="s">
        <v>99</v>
      </c>
      <c r="C87" s="343"/>
      <c r="D87" s="343"/>
      <c r="E87" s="38" t="e">
        <f t="shared" si="3"/>
        <v>#DIV/0!</v>
      </c>
      <c r="F87" s="38">
        <f>SUM(D87-C87)</f>
        <v>0</v>
      </c>
    </row>
    <row r="88" spans="1:6" ht="15.75" hidden="1" customHeight="1">
      <c r="A88" s="35" t="s">
        <v>100</v>
      </c>
      <c r="B88" s="39" t="s">
        <v>101</v>
      </c>
      <c r="C88" s="343"/>
      <c r="D88" s="343"/>
      <c r="E88" s="38" t="e">
        <f t="shared" si="3"/>
        <v>#DIV/0!</v>
      </c>
      <c r="F88" s="38"/>
    </row>
    <row r="89" spans="1:6" ht="15.75" hidden="1" customHeight="1">
      <c r="A89" s="35" t="s">
        <v>102</v>
      </c>
      <c r="B89" s="39" t="s">
        <v>103</v>
      </c>
      <c r="C89" s="343"/>
      <c r="D89" s="343"/>
      <c r="E89" s="38" t="e">
        <f t="shared" si="3"/>
        <v>#DIV/0!</v>
      </c>
      <c r="F89" s="38"/>
    </row>
    <row r="90" spans="1:6" ht="15.75" hidden="1" customHeight="1">
      <c r="A90" s="35" t="s">
        <v>104</v>
      </c>
      <c r="B90" s="39" t="s">
        <v>105</v>
      </c>
      <c r="C90" s="343"/>
      <c r="D90" s="343"/>
      <c r="E90" s="38" t="e">
        <f t="shared" si="3"/>
        <v>#DIV/0!</v>
      </c>
      <c r="F90" s="38"/>
    </row>
    <row r="91" spans="1:6" s="6" customFormat="1" ht="16.5" hidden="1" customHeight="1">
      <c r="A91" s="52">
        <v>1400</v>
      </c>
      <c r="B91" s="56" t="s">
        <v>114</v>
      </c>
      <c r="C91" s="344">
        <f>C92+C93+C94</f>
        <v>0</v>
      </c>
      <c r="D91" s="344">
        <f>SUM(D92:D94)</f>
        <v>0</v>
      </c>
      <c r="E91" s="34" t="e">
        <f t="shared" si="3"/>
        <v>#DIV/0!</v>
      </c>
      <c r="F91" s="34">
        <f t="shared" si="4"/>
        <v>0</v>
      </c>
    </row>
    <row r="92" spans="1:6" ht="23.25" hidden="1" customHeight="1">
      <c r="A92" s="53">
        <v>1401</v>
      </c>
      <c r="B92" s="54" t="s">
        <v>115</v>
      </c>
      <c r="C92" s="345"/>
      <c r="D92" s="343"/>
      <c r="E92" s="38" t="e">
        <f t="shared" si="3"/>
        <v>#DIV/0!</v>
      </c>
      <c r="F92" s="38">
        <f t="shared" si="4"/>
        <v>0</v>
      </c>
    </row>
    <row r="93" spans="1:6" ht="19.5" hidden="1" customHeight="1">
      <c r="A93" s="53">
        <v>1402</v>
      </c>
      <c r="B93" s="54" t="s">
        <v>116</v>
      </c>
      <c r="C93" s="345"/>
      <c r="D93" s="343"/>
      <c r="E93" s="38" t="e">
        <f t="shared" si="3"/>
        <v>#DIV/0!</v>
      </c>
      <c r="F93" s="38">
        <f t="shared" si="4"/>
        <v>0</v>
      </c>
    </row>
    <row r="94" spans="1:6" ht="17.25" hidden="1" customHeight="1">
      <c r="A94" s="53">
        <v>1403</v>
      </c>
      <c r="B94" s="54" t="s">
        <v>117</v>
      </c>
      <c r="C94" s="346">
        <v>0</v>
      </c>
      <c r="D94" s="347">
        <v>0</v>
      </c>
      <c r="E94" s="38" t="e">
        <f t="shared" si="3"/>
        <v>#DIV/0!</v>
      </c>
      <c r="F94" s="38">
        <f t="shared" si="4"/>
        <v>0</v>
      </c>
    </row>
    <row r="95" spans="1:6" s="6" customFormat="1" ht="15.75" customHeight="1">
      <c r="A95" s="52"/>
      <c r="B95" s="57" t="s">
        <v>118</v>
      </c>
      <c r="C95" s="470">
        <f>C53+C61+C63+C69+C74+C78+C85</f>
        <v>12045.491419999998</v>
      </c>
      <c r="D95" s="470">
        <f>D53+D61+D63+D69+D74+D78+D85</f>
        <v>1243.9735400000002</v>
      </c>
      <c r="E95" s="34">
        <f t="shared" si="3"/>
        <v>10.327295887111266</v>
      </c>
      <c r="F95" s="34">
        <f t="shared" si="4"/>
        <v>-10801.517879999998</v>
      </c>
    </row>
    <row r="96" spans="1:6" ht="16.5" customHeight="1">
      <c r="C96" s="126"/>
      <c r="D96" s="101"/>
    </row>
    <row r="97" spans="1:4" s="113" customFormat="1" ht="20.25" customHeight="1">
      <c r="A97" s="111" t="s">
        <v>119</v>
      </c>
      <c r="B97" s="111"/>
      <c r="C97" s="129"/>
      <c r="D97" s="112"/>
    </row>
    <row r="98" spans="1:4" s="113" customFormat="1" ht="13.5" customHeight="1">
      <c r="A98" s="114" t="s">
        <v>120</v>
      </c>
      <c r="B98" s="114"/>
      <c r="C98" s="118" t="s">
        <v>121</v>
      </c>
    </row>
    <row r="100" spans="1:4" ht="5.25" customHeight="1"/>
  </sheetData>
  <customSheetViews>
    <customSheetView guid="{5BFCA170-DEAE-4D2C-98A0-1E68B427AC01}" showPageBreaks="1" hiddenRows="1" topLeftCell="A6">
      <selection activeCell="D28" sqref="D28"/>
      <pageMargins left="0.7" right="0.7" top="0.75" bottom="0.75" header="0.3" footer="0.3"/>
      <pageSetup paperSize="9" scale="62" orientation="portrait" r:id="rId1"/>
    </customSheetView>
    <customSheetView guid="{B30CE22D-C12F-4E12-8BB9-3AAE0A6991CC}" scale="70" showPageBreaks="1" hiddenRows="1" view="pageBreakPreview" topLeftCell="A40">
      <selection activeCell="C95" sqref="C95:D95"/>
      <pageMargins left="0.70866141732283472" right="0.70866141732283472" top="0.74803149606299213" bottom="0.74803149606299213" header="0.31496062992125984" footer="0.31496062992125984"/>
      <pageSetup paperSize="9" scale="51" orientation="portrait" r:id="rId2"/>
    </customSheetView>
    <customSheetView guid="{1A52382B-3765-4E8C-903F-6B8919B7242E}" hiddenRows="1" topLeftCell="A31">
      <selection activeCell="H48" sqref="G48:H48"/>
      <pageMargins left="0.7" right="0.7" top="0.75" bottom="0.75" header="0.3" footer="0.3"/>
      <pageSetup paperSize="9" scale="62" orientation="portrait" r:id="rId3"/>
    </customSheetView>
    <customSheetView guid="{A54C432C-6C68-4B53-A75C-446EB3A61B2B}" scale="70" showPageBreaks="1" hiddenRows="1" view="pageBreakPreview" topLeftCell="A51">
      <selection activeCell="D84" sqref="D84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3DCB9AAA-F09C-4EA6-B992-F93E466D374A}" hiddenRows="1" topLeftCell="A6">
      <selection activeCell="D28" sqref="D28"/>
      <pageMargins left="0.7" right="0.7" top="0.75" bottom="0.75" header="0.3" footer="0.3"/>
      <pageSetup paperSize="9" scale="62" orientation="portrait" r:id="rId5"/>
    </customSheetView>
    <customSheetView guid="{1718F1EE-9F48-4DBE-9531-3B70F9C4A5DD}" scale="70" showPageBreaks="1" hiddenRows="1" view="pageBreakPreview" topLeftCell="A6">
      <selection activeCell="C27" sqref="C27"/>
      <pageMargins left="0.7" right="0.7" top="0.75" bottom="0.75" header="0.3" footer="0.3"/>
      <pageSetup paperSize="9" scale="64" orientation="portrait" r:id="rId6"/>
    </customSheetView>
    <customSheetView guid="{42584DC0-1D41-4C93-9B38-C388E7B8DAC4}" scale="70" showPageBreaks="1" hiddenRows="1" view="pageBreakPreview">
      <selection activeCell="A2" sqref="A2:F2"/>
      <pageMargins left="0.7" right="0.7" top="0.75" bottom="0.75" header="0.3" footer="0.3"/>
      <pageSetup paperSize="9" scale="64" orientation="portrait" r:id="rId7"/>
    </customSheetView>
    <customSheetView guid="{B31C8DB7-3E78-4144-A6B5-8DE36DE63F0E}" hiddenRows="1" topLeftCell="A6">
      <selection activeCell="D28" sqref="D28"/>
      <pageMargins left="0.7" right="0.7" top="0.75" bottom="0.75" header="0.3" footer="0.3"/>
      <pageSetup paperSize="9" scale="62" orientation="portrait" r:id="rId8"/>
    </customSheetView>
    <customSheetView guid="{61528DAC-5C4C-48F4-ADE2-8A724B05A086}" scale="70" showPageBreaks="1" hiddenRows="1" view="pageBreakPreview">
      <selection activeCell="D30" sqref="D30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62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N35"/>
  <sheetViews>
    <sheetView view="pageBreakPreview" topLeftCell="A10" zoomScale="75" zoomScaleNormal="100" zoomScaleSheetLayoutView="75" workbookViewId="0">
      <pane xSplit="2" ySplit="4" topLeftCell="BE14" activePane="bottomRight" state="frozen"/>
      <selection activeCell="A10" sqref="A10"/>
      <selection pane="topRight" activeCell="C10" sqref="C10"/>
      <selection pane="bottomLeft" activeCell="A14" sqref="A14"/>
      <selection pane="bottomRight" activeCell="CF39" sqref="CF39"/>
    </sheetView>
  </sheetViews>
  <sheetFormatPr defaultRowHeight="15"/>
  <cols>
    <col min="1" max="1" width="6.140625" style="153" customWidth="1"/>
    <col min="2" max="2" width="26.42578125" style="153" customWidth="1"/>
    <col min="3" max="3" width="18.7109375" style="153" bestFit="1" customWidth="1"/>
    <col min="4" max="4" width="20.7109375" style="154" bestFit="1" customWidth="1"/>
    <col min="5" max="5" width="13.28515625" style="153" bestFit="1" customWidth="1"/>
    <col min="6" max="6" width="17.42578125" style="153" customWidth="1"/>
    <col min="7" max="7" width="16.85546875" style="153" customWidth="1"/>
    <col min="8" max="8" width="13" style="153" bestFit="1" customWidth="1"/>
    <col min="9" max="9" width="15.5703125" style="153" customWidth="1"/>
    <col min="10" max="10" width="18.140625" style="153" customWidth="1"/>
    <col min="11" max="11" width="13" style="153" bestFit="1" customWidth="1"/>
    <col min="12" max="12" width="15.140625" style="153" customWidth="1"/>
    <col min="13" max="13" width="17.28515625" style="153" bestFit="1" customWidth="1"/>
    <col min="14" max="14" width="13" style="153" bestFit="1" customWidth="1"/>
    <col min="15" max="15" width="14" style="153" bestFit="1" customWidth="1"/>
    <col min="16" max="16" width="15.7109375" style="153" customWidth="1"/>
    <col min="17" max="17" width="13" style="153" bestFit="1" customWidth="1"/>
    <col min="18" max="18" width="16.7109375" style="153" bestFit="1" customWidth="1"/>
    <col min="19" max="19" width="17.28515625" style="153" bestFit="1" customWidth="1"/>
    <col min="20" max="20" width="10" style="153" customWidth="1"/>
    <col min="21" max="21" width="13.5703125" style="153" customWidth="1"/>
    <col min="22" max="22" width="14.7109375" style="153" customWidth="1"/>
    <col min="23" max="23" width="12.28515625" style="153" customWidth="1"/>
    <col min="24" max="24" width="15.140625" style="153" customWidth="1"/>
    <col min="25" max="25" width="15.42578125" style="153" bestFit="1" customWidth="1"/>
    <col min="26" max="26" width="12.5703125" style="153" customWidth="1"/>
    <col min="27" max="27" width="17.5703125" style="153" customWidth="1"/>
    <col min="28" max="28" width="14.85546875" style="153" customWidth="1"/>
    <col min="29" max="29" width="15.5703125" style="153" customWidth="1"/>
    <col min="30" max="30" width="19.7109375" style="153" bestFit="1" customWidth="1"/>
    <col min="31" max="31" width="15.7109375" style="153" customWidth="1"/>
    <col min="32" max="32" width="10" style="153" customWidth="1"/>
    <col min="33" max="33" width="13.85546875" style="153" customWidth="1"/>
    <col min="34" max="34" width="15.28515625" style="153" customWidth="1"/>
    <col min="35" max="35" width="10" style="153" customWidth="1"/>
    <col min="36" max="36" width="14.7109375" style="153" customWidth="1"/>
    <col min="37" max="37" width="14.5703125" style="153" customWidth="1"/>
    <col min="38" max="38" width="10" style="153" customWidth="1"/>
    <col min="39" max="39" width="15.42578125" style="153" customWidth="1"/>
    <col min="40" max="40" width="16" style="153" customWidth="1"/>
    <col min="41" max="41" width="16.28515625" style="153" customWidth="1"/>
    <col min="42" max="43" width="17.28515625" style="153" bestFit="1" customWidth="1"/>
    <col min="44" max="44" width="13.85546875" style="153" customWidth="1"/>
    <col min="45" max="45" width="16" style="153" customWidth="1"/>
    <col min="46" max="46" width="17.5703125" style="153" customWidth="1"/>
    <col min="47" max="47" width="10.140625" style="153" customWidth="1"/>
    <col min="48" max="48" width="9.42578125" style="153" hidden="1" customWidth="1"/>
    <col min="49" max="49" width="9.7109375" style="153" hidden="1" customWidth="1"/>
    <col min="50" max="50" width="11.85546875" style="153" hidden="1" customWidth="1"/>
    <col min="51" max="51" width="15.7109375" style="153" customWidth="1"/>
    <col min="52" max="52" width="16.140625" style="153" customWidth="1"/>
    <col min="53" max="53" width="9.85546875" style="153" customWidth="1"/>
    <col min="54" max="56" width="9.85546875" style="153" hidden="1" customWidth="1"/>
    <col min="57" max="57" width="17" style="153" customWidth="1"/>
    <col min="58" max="58" width="15" style="153" customWidth="1"/>
    <col min="59" max="59" width="12" style="153" customWidth="1"/>
    <col min="60" max="61" width="9.7109375" style="153" hidden="1" customWidth="1"/>
    <col min="62" max="62" width="12.85546875" style="153" hidden="1" customWidth="1"/>
    <col min="63" max="63" width="13" style="153" hidden="1" customWidth="1"/>
    <col min="64" max="64" width="12.85546875" style="153" hidden="1" customWidth="1"/>
    <col min="65" max="65" width="12.5703125" style="153" hidden="1" customWidth="1"/>
    <col min="66" max="66" width="17.28515625" style="153" customWidth="1"/>
    <col min="67" max="67" width="13.28515625" style="153" customWidth="1"/>
    <col min="68" max="68" width="10.7109375" style="153" customWidth="1"/>
    <col min="69" max="69" width="15.28515625" style="153" customWidth="1"/>
    <col min="70" max="70" width="15" style="153" customWidth="1"/>
    <col min="71" max="71" width="10" style="153" customWidth="1"/>
    <col min="72" max="73" width="9.7109375" style="153" hidden="1" customWidth="1"/>
    <col min="74" max="74" width="9.5703125" style="153" hidden="1" customWidth="1"/>
    <col min="75" max="75" width="9.42578125" style="153" hidden="1" customWidth="1"/>
    <col min="76" max="76" width="9.7109375" style="153" hidden="1" customWidth="1"/>
    <col min="77" max="77" width="10.140625" style="153" hidden="1" customWidth="1"/>
    <col min="78" max="78" width="18.140625" style="153" customWidth="1"/>
    <col min="79" max="79" width="20.140625" style="153" customWidth="1"/>
    <col min="80" max="80" width="10" style="153" customWidth="1"/>
    <col min="81" max="81" width="16.42578125" style="153" customWidth="1"/>
    <col min="82" max="82" width="15.7109375" style="153" customWidth="1"/>
    <col min="83" max="83" width="10" style="153" customWidth="1"/>
    <col min="84" max="84" width="14.140625" style="153" customWidth="1"/>
    <col min="85" max="85" width="15.28515625" style="153" customWidth="1"/>
    <col min="86" max="86" width="12.28515625" style="153" customWidth="1"/>
    <col min="87" max="87" width="17.42578125" style="153" customWidth="1"/>
    <col min="88" max="88" width="16.5703125" style="153" customWidth="1"/>
    <col min="89" max="89" width="10" style="153" customWidth="1"/>
    <col min="90" max="90" width="19.85546875" style="153" customWidth="1"/>
    <col min="91" max="91" width="18" style="153" customWidth="1"/>
    <col min="92" max="92" width="13.28515625" style="153" customWidth="1"/>
    <col min="93" max="93" width="16.85546875" style="153" customWidth="1"/>
    <col min="94" max="95" width="14.85546875" style="153" customWidth="1"/>
    <col min="96" max="96" width="16.7109375" style="153" customWidth="1"/>
    <col min="97" max="97" width="16.85546875" style="153" customWidth="1"/>
    <col min="98" max="98" width="14.42578125" style="153" bestFit="1" customWidth="1"/>
    <col min="99" max="99" width="9.85546875" style="153" bestFit="1" customWidth="1"/>
    <col min="100" max="100" width="14.42578125" style="153" customWidth="1"/>
    <col min="101" max="101" width="14.28515625" style="153" customWidth="1"/>
    <col min="102" max="103" width="9.85546875" style="153" hidden="1" customWidth="1"/>
    <col min="104" max="104" width="14.42578125" style="153" hidden="1" customWidth="1"/>
    <col min="105" max="106" width="9.85546875" style="153" hidden="1" customWidth="1"/>
    <col min="107" max="107" width="14.42578125" style="153" hidden="1" customWidth="1"/>
    <col min="108" max="109" width="9.85546875" style="153" hidden="1" customWidth="1"/>
    <col min="110" max="110" width="14.42578125" style="153" hidden="1" customWidth="1"/>
    <col min="111" max="111" width="21.28515625" style="153" customWidth="1"/>
    <col min="112" max="112" width="20.28515625" style="153" customWidth="1"/>
    <col min="113" max="113" width="13" style="153" bestFit="1" customWidth="1"/>
    <col min="114" max="114" width="18" style="153" bestFit="1" customWidth="1"/>
    <col min="115" max="115" width="20.5703125" style="153" customWidth="1"/>
    <col min="116" max="116" width="13.28515625" style="153" customWidth="1"/>
    <col min="117" max="117" width="16.7109375" style="153" customWidth="1"/>
    <col min="118" max="118" width="16.85546875" style="153" customWidth="1"/>
    <col min="119" max="119" width="12.28515625" style="153" customWidth="1"/>
    <col min="120" max="120" width="15.28515625" style="153" customWidth="1"/>
    <col min="121" max="121" width="14.28515625" style="153" customWidth="1"/>
    <col min="122" max="122" width="13.85546875" style="153" customWidth="1"/>
    <col min="123" max="123" width="15.42578125" style="153" customWidth="1"/>
    <col min="124" max="124" width="13.7109375" style="153" customWidth="1"/>
    <col min="125" max="125" width="10.140625" style="153" customWidth="1"/>
    <col min="126" max="126" width="16" style="153" customWidth="1"/>
    <col min="127" max="127" width="14.28515625" style="153" customWidth="1"/>
    <col min="128" max="128" width="10.140625" style="153" customWidth="1"/>
    <col min="129" max="129" width="15.140625" style="153" customWidth="1"/>
    <col min="130" max="130" width="18.5703125" style="153" customWidth="1"/>
    <col min="131" max="131" width="10.140625" style="153" customWidth="1"/>
    <col min="132" max="132" width="15.28515625" style="153" customWidth="1"/>
    <col min="133" max="133" width="14" style="153" bestFit="1" customWidth="1"/>
    <col min="134" max="134" width="10.140625" style="153" customWidth="1"/>
    <col min="135" max="135" width="15.42578125" style="153" customWidth="1"/>
    <col min="136" max="136" width="17.28515625" style="153" customWidth="1"/>
    <col min="137" max="137" width="12.42578125" style="153" customWidth="1"/>
    <col min="138" max="138" width="19.42578125" style="153" bestFit="1" customWidth="1"/>
    <col min="139" max="139" width="15.140625" style="153" customWidth="1"/>
    <col min="140" max="140" width="10.140625" style="153" customWidth="1"/>
    <col min="141" max="142" width="15.7109375" style="153" customWidth="1"/>
    <col min="143" max="143" width="10.140625" style="153" customWidth="1"/>
    <col min="144" max="144" width="13.42578125" style="153" customWidth="1"/>
    <col min="145" max="145" width="10.85546875" style="153" customWidth="1"/>
    <col min="146" max="146" width="10.140625" style="153" customWidth="1"/>
    <col min="147" max="147" width="14.42578125" style="153" customWidth="1"/>
    <col min="148" max="148" width="14.7109375" style="153" customWidth="1"/>
    <col min="149" max="149" width="10" style="153" customWidth="1"/>
    <col min="150" max="150" width="14.140625" style="153" customWidth="1"/>
    <col min="151" max="151" width="14.28515625" style="153" customWidth="1"/>
    <col min="152" max="152" width="9.85546875" style="153" customWidth="1"/>
    <col min="153" max="153" width="15.42578125" style="153" customWidth="1"/>
    <col min="154" max="154" width="16" style="153" customWidth="1"/>
    <col min="155" max="155" width="12.42578125" style="153" customWidth="1"/>
    <col min="156" max="156" width="14.85546875" style="153" customWidth="1"/>
    <col min="157" max="16384" width="9.140625" style="153"/>
  </cols>
  <sheetData>
    <row r="1" spans="1:159" ht="18" customHeight="1">
      <c r="X1" s="522" t="s">
        <v>136</v>
      </c>
      <c r="Y1" s="522"/>
      <c r="Z1" s="522"/>
      <c r="AA1" s="156"/>
      <c r="AB1" s="156"/>
      <c r="AC1" s="156"/>
      <c r="AD1" s="517"/>
      <c r="AE1" s="517"/>
      <c r="AF1" s="517"/>
      <c r="AG1" s="157"/>
      <c r="AH1" s="157"/>
      <c r="AI1" s="157"/>
      <c r="AJ1" s="157"/>
      <c r="AK1" s="157"/>
      <c r="AL1" s="157"/>
    </row>
    <row r="2" spans="1:159" ht="19.5" customHeight="1">
      <c r="X2" s="157" t="s">
        <v>137</v>
      </c>
      <c r="Y2" s="157"/>
      <c r="Z2" s="157"/>
      <c r="AA2" s="155"/>
      <c r="AB2" s="155"/>
      <c r="AC2" s="155"/>
      <c r="AD2" s="517"/>
      <c r="AE2" s="517"/>
      <c r="AF2" s="517"/>
      <c r="AG2" s="157"/>
      <c r="AH2" s="157"/>
      <c r="AI2" s="157"/>
      <c r="AJ2" s="157"/>
      <c r="AK2" s="157"/>
      <c r="AL2" s="157"/>
    </row>
    <row r="3" spans="1:159" ht="30.75" customHeight="1">
      <c r="A3" s="158"/>
      <c r="B3" s="158"/>
      <c r="C3" s="158"/>
      <c r="D3" s="159"/>
      <c r="E3" s="158"/>
      <c r="F3" s="158"/>
      <c r="G3" s="158"/>
      <c r="H3" s="158"/>
      <c r="I3" s="158"/>
      <c r="X3" s="521" t="s">
        <v>138</v>
      </c>
      <c r="Y3" s="521"/>
      <c r="Z3" s="521"/>
      <c r="AA3" s="158"/>
      <c r="AB3" s="158"/>
      <c r="AC3" s="158"/>
      <c r="AD3" s="521"/>
      <c r="AE3" s="521"/>
      <c r="AF3" s="521"/>
      <c r="AG3" s="160"/>
      <c r="AH3" s="160"/>
      <c r="AI3" s="160"/>
      <c r="AJ3" s="160"/>
      <c r="AK3" s="160"/>
      <c r="AL3" s="160"/>
      <c r="AM3" s="158"/>
      <c r="AN3" s="158"/>
      <c r="AO3" s="158"/>
      <c r="AP3" s="158"/>
      <c r="AQ3" s="158"/>
      <c r="AR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</row>
    <row r="4" spans="1:159" ht="24" customHeight="1">
      <c r="B4" s="525" t="s">
        <v>139</v>
      </c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161"/>
      <c r="AB4" s="161"/>
      <c r="AC4" s="161"/>
      <c r="AD4" s="161"/>
      <c r="AE4" s="161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</row>
    <row r="5" spans="1:159" ht="15" customHeight="1">
      <c r="B5" s="523" t="s">
        <v>416</v>
      </c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162"/>
      <c r="AB5" s="162"/>
      <c r="AC5" s="162"/>
      <c r="AD5" s="162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</row>
    <row r="6" spans="1:159" ht="15" customHeight="1">
      <c r="A6" s="158"/>
      <c r="B6" s="158"/>
      <c r="C6" s="163"/>
      <c r="D6" s="164"/>
      <c r="E6" s="158"/>
      <c r="F6" s="158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4"/>
      <c r="Y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W6" s="158"/>
      <c r="EX6" s="158"/>
      <c r="EY6" s="158"/>
    </row>
    <row r="7" spans="1:159" s="169" customFormat="1" ht="15" customHeight="1">
      <c r="A7" s="502" t="s">
        <v>140</v>
      </c>
      <c r="B7" s="502" t="s">
        <v>141</v>
      </c>
      <c r="C7" s="493" t="s">
        <v>142</v>
      </c>
      <c r="D7" s="494"/>
      <c r="E7" s="495"/>
      <c r="F7" s="166" t="s">
        <v>143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8"/>
      <c r="DD7" s="167"/>
      <c r="DE7" s="167"/>
      <c r="DF7" s="168"/>
      <c r="DG7" s="493" t="s">
        <v>144</v>
      </c>
      <c r="DH7" s="494"/>
      <c r="DI7" s="495"/>
      <c r="DJ7" s="493"/>
      <c r="DK7" s="494"/>
      <c r="DL7" s="494"/>
      <c r="DM7" s="494"/>
      <c r="DN7" s="494"/>
      <c r="DO7" s="494"/>
      <c r="DP7" s="494"/>
      <c r="DQ7" s="494"/>
      <c r="DR7" s="494"/>
      <c r="DS7" s="494"/>
      <c r="DT7" s="494"/>
      <c r="DU7" s="494"/>
      <c r="DV7" s="494"/>
      <c r="DW7" s="494"/>
      <c r="DX7" s="494"/>
      <c r="DY7" s="494"/>
      <c r="DZ7" s="494"/>
      <c r="EA7" s="494"/>
      <c r="EB7" s="494"/>
      <c r="EC7" s="494"/>
      <c r="ED7" s="494"/>
      <c r="EE7" s="494"/>
      <c r="EF7" s="494"/>
      <c r="EG7" s="494"/>
      <c r="EH7" s="494"/>
      <c r="EI7" s="494"/>
      <c r="EJ7" s="494"/>
      <c r="EK7" s="494"/>
      <c r="EL7" s="494"/>
      <c r="EM7" s="494"/>
      <c r="EN7" s="494"/>
      <c r="EO7" s="494"/>
      <c r="EP7" s="494"/>
      <c r="EQ7" s="494"/>
      <c r="ER7" s="494"/>
      <c r="ES7" s="494"/>
      <c r="ET7" s="494"/>
      <c r="EU7" s="494"/>
      <c r="EV7" s="495"/>
      <c r="EW7" s="493" t="s">
        <v>145</v>
      </c>
      <c r="EX7" s="494"/>
      <c r="EY7" s="495"/>
    </row>
    <row r="8" spans="1:159" s="169" customFormat="1" ht="15" customHeight="1">
      <c r="A8" s="502"/>
      <c r="B8" s="502"/>
      <c r="C8" s="496"/>
      <c r="D8" s="497"/>
      <c r="E8" s="498"/>
      <c r="F8" s="496" t="s">
        <v>146</v>
      </c>
      <c r="G8" s="497"/>
      <c r="H8" s="498"/>
      <c r="I8" s="518" t="s">
        <v>147</v>
      </c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19"/>
      <c r="AJ8" s="519"/>
      <c r="AK8" s="519"/>
      <c r="AL8" s="519"/>
      <c r="AM8" s="519"/>
      <c r="AN8" s="519"/>
      <c r="AO8" s="519"/>
      <c r="AP8" s="519"/>
      <c r="AQ8" s="519"/>
      <c r="AR8" s="519"/>
      <c r="AS8" s="519"/>
      <c r="AT8" s="519"/>
      <c r="AU8" s="519"/>
      <c r="AV8" s="519"/>
      <c r="AW8" s="519"/>
      <c r="AX8" s="520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1"/>
      <c r="BT8" s="173"/>
      <c r="BU8" s="173"/>
      <c r="BV8" s="173"/>
      <c r="BW8" s="174"/>
      <c r="BX8" s="174"/>
      <c r="BY8" s="174"/>
      <c r="BZ8" s="502" t="s">
        <v>148</v>
      </c>
      <c r="CA8" s="502"/>
      <c r="CB8" s="502"/>
      <c r="CC8" s="499" t="s">
        <v>147</v>
      </c>
      <c r="CD8" s="500"/>
      <c r="CE8" s="500"/>
      <c r="CF8" s="500"/>
      <c r="CG8" s="500"/>
      <c r="CH8" s="500"/>
      <c r="CI8" s="500"/>
      <c r="CJ8" s="500"/>
      <c r="CK8" s="500"/>
      <c r="CL8" s="500"/>
      <c r="CM8" s="500"/>
      <c r="CN8" s="500"/>
      <c r="CO8" s="170"/>
      <c r="CP8" s="170"/>
      <c r="CQ8" s="170"/>
      <c r="CR8" s="170"/>
      <c r="CS8" s="170"/>
      <c r="CT8" s="170"/>
      <c r="CU8" s="175"/>
      <c r="CV8" s="175"/>
      <c r="CW8" s="176"/>
      <c r="CX8" s="496" t="s">
        <v>149</v>
      </c>
      <c r="CY8" s="497"/>
      <c r="CZ8" s="498"/>
      <c r="DA8" s="527"/>
      <c r="DB8" s="528"/>
      <c r="DC8" s="529"/>
      <c r="DD8" s="527"/>
      <c r="DE8" s="528"/>
      <c r="DF8" s="529"/>
      <c r="DG8" s="496"/>
      <c r="DH8" s="497"/>
      <c r="DI8" s="498"/>
      <c r="DJ8" s="496" t="s">
        <v>147</v>
      </c>
      <c r="DK8" s="497"/>
      <c r="DL8" s="497"/>
      <c r="DM8" s="497"/>
      <c r="DN8" s="497"/>
      <c r="DO8" s="497"/>
      <c r="DP8" s="497"/>
      <c r="DQ8" s="497"/>
      <c r="DR8" s="497"/>
      <c r="DS8" s="497"/>
      <c r="DT8" s="497"/>
      <c r="DU8" s="497"/>
      <c r="DV8" s="497"/>
      <c r="DW8" s="497"/>
      <c r="DX8" s="497"/>
      <c r="DY8" s="497"/>
      <c r="DZ8" s="497"/>
      <c r="EA8" s="497"/>
      <c r="EB8" s="497"/>
      <c r="EC8" s="497"/>
      <c r="ED8" s="497"/>
      <c r="EE8" s="497"/>
      <c r="EF8" s="497"/>
      <c r="EG8" s="497"/>
      <c r="EH8" s="497"/>
      <c r="EI8" s="497"/>
      <c r="EJ8" s="497"/>
      <c r="EK8" s="497"/>
      <c r="EL8" s="497"/>
      <c r="EM8" s="497"/>
      <c r="EN8" s="497"/>
      <c r="EO8" s="497"/>
      <c r="EP8" s="497"/>
      <c r="EQ8" s="497"/>
      <c r="ER8" s="497"/>
      <c r="ES8" s="497"/>
      <c r="ET8" s="497"/>
      <c r="EU8" s="497"/>
      <c r="EV8" s="498"/>
      <c r="EW8" s="496"/>
      <c r="EX8" s="497"/>
      <c r="EY8" s="498"/>
    </row>
    <row r="9" spans="1:159" s="169" customFormat="1" ht="15" customHeight="1">
      <c r="A9" s="502"/>
      <c r="B9" s="502"/>
      <c r="C9" s="496"/>
      <c r="D9" s="497"/>
      <c r="E9" s="498"/>
      <c r="F9" s="496"/>
      <c r="G9" s="497"/>
      <c r="H9" s="498"/>
      <c r="I9" s="493" t="s">
        <v>150</v>
      </c>
      <c r="J9" s="494"/>
      <c r="K9" s="495"/>
      <c r="L9" s="493" t="s">
        <v>292</v>
      </c>
      <c r="M9" s="494"/>
      <c r="N9" s="495"/>
      <c r="O9" s="493" t="s">
        <v>295</v>
      </c>
      <c r="P9" s="494"/>
      <c r="Q9" s="495"/>
      <c r="R9" s="493" t="s">
        <v>293</v>
      </c>
      <c r="S9" s="494"/>
      <c r="T9" s="495"/>
      <c r="U9" s="493" t="s">
        <v>294</v>
      </c>
      <c r="V9" s="494"/>
      <c r="W9" s="495"/>
      <c r="X9" s="493" t="s">
        <v>151</v>
      </c>
      <c r="Y9" s="494"/>
      <c r="Z9" s="495"/>
      <c r="AA9" s="493" t="s">
        <v>152</v>
      </c>
      <c r="AB9" s="494"/>
      <c r="AC9" s="495"/>
      <c r="AD9" s="493" t="s">
        <v>153</v>
      </c>
      <c r="AE9" s="494"/>
      <c r="AF9" s="495"/>
      <c r="AG9" s="502" t="s">
        <v>154</v>
      </c>
      <c r="AH9" s="502"/>
      <c r="AI9" s="502"/>
      <c r="AJ9" s="493" t="s">
        <v>254</v>
      </c>
      <c r="AK9" s="494"/>
      <c r="AL9" s="495"/>
      <c r="AM9" s="493" t="s">
        <v>155</v>
      </c>
      <c r="AN9" s="494"/>
      <c r="AO9" s="495"/>
      <c r="AP9" s="493" t="s">
        <v>345</v>
      </c>
      <c r="AQ9" s="494"/>
      <c r="AR9" s="495"/>
      <c r="AS9" s="493" t="s">
        <v>156</v>
      </c>
      <c r="AT9" s="494"/>
      <c r="AU9" s="495"/>
      <c r="AV9" s="493" t="s">
        <v>157</v>
      </c>
      <c r="AW9" s="494"/>
      <c r="AX9" s="495"/>
      <c r="AY9" s="493" t="s">
        <v>256</v>
      </c>
      <c r="AZ9" s="494"/>
      <c r="BA9" s="495"/>
      <c r="BB9" s="493" t="s">
        <v>355</v>
      </c>
      <c r="BC9" s="494"/>
      <c r="BD9" s="495"/>
      <c r="BE9" s="493" t="s">
        <v>158</v>
      </c>
      <c r="BF9" s="494"/>
      <c r="BG9" s="495"/>
      <c r="BH9" s="493" t="s">
        <v>159</v>
      </c>
      <c r="BI9" s="494"/>
      <c r="BJ9" s="495"/>
      <c r="BK9" s="493" t="s">
        <v>285</v>
      </c>
      <c r="BL9" s="494"/>
      <c r="BM9" s="495"/>
      <c r="BN9" s="493" t="s">
        <v>252</v>
      </c>
      <c r="BO9" s="494"/>
      <c r="BP9" s="495"/>
      <c r="BQ9" s="493" t="s">
        <v>160</v>
      </c>
      <c r="BR9" s="494"/>
      <c r="BS9" s="495"/>
      <c r="BT9" s="493" t="s">
        <v>161</v>
      </c>
      <c r="BU9" s="494"/>
      <c r="BV9" s="495"/>
      <c r="BW9" s="496" t="s">
        <v>162</v>
      </c>
      <c r="BX9" s="497"/>
      <c r="BY9" s="497"/>
      <c r="BZ9" s="502"/>
      <c r="CA9" s="502"/>
      <c r="CB9" s="502"/>
      <c r="CC9" s="493" t="s">
        <v>346</v>
      </c>
      <c r="CD9" s="494"/>
      <c r="CE9" s="495"/>
      <c r="CF9" s="493" t="s">
        <v>347</v>
      </c>
      <c r="CG9" s="494"/>
      <c r="CH9" s="495"/>
      <c r="CI9" s="493" t="s">
        <v>163</v>
      </c>
      <c r="CJ9" s="494"/>
      <c r="CK9" s="495"/>
      <c r="CL9" s="493" t="s">
        <v>164</v>
      </c>
      <c r="CM9" s="494"/>
      <c r="CN9" s="495"/>
      <c r="CO9" s="493" t="s">
        <v>23</v>
      </c>
      <c r="CP9" s="494"/>
      <c r="CQ9" s="495"/>
      <c r="CR9" s="493" t="s">
        <v>302</v>
      </c>
      <c r="CS9" s="494"/>
      <c r="CT9" s="495"/>
      <c r="CU9" s="493" t="s">
        <v>348</v>
      </c>
      <c r="CV9" s="494"/>
      <c r="CW9" s="495"/>
      <c r="CX9" s="496"/>
      <c r="CY9" s="497"/>
      <c r="CZ9" s="498"/>
      <c r="DA9" s="493" t="s">
        <v>270</v>
      </c>
      <c r="DB9" s="494"/>
      <c r="DC9" s="495"/>
      <c r="DD9" s="502" t="s">
        <v>165</v>
      </c>
      <c r="DE9" s="502"/>
      <c r="DF9" s="502"/>
      <c r="DG9" s="496"/>
      <c r="DH9" s="497"/>
      <c r="DI9" s="498"/>
      <c r="DJ9" s="503" t="s">
        <v>166</v>
      </c>
      <c r="DK9" s="504"/>
      <c r="DL9" s="505"/>
      <c r="DM9" s="512" t="s">
        <v>143</v>
      </c>
      <c r="DN9" s="513"/>
      <c r="DO9" s="513"/>
      <c r="DP9" s="513"/>
      <c r="DQ9" s="513"/>
      <c r="DR9" s="513"/>
      <c r="DS9" s="513"/>
      <c r="DT9" s="513"/>
      <c r="DU9" s="513"/>
      <c r="DV9" s="513"/>
      <c r="DW9" s="513"/>
      <c r="DX9" s="514"/>
      <c r="DY9" s="503" t="s">
        <v>167</v>
      </c>
      <c r="DZ9" s="504"/>
      <c r="EA9" s="505"/>
      <c r="EB9" s="503" t="s">
        <v>168</v>
      </c>
      <c r="EC9" s="504"/>
      <c r="ED9" s="505"/>
      <c r="EE9" s="503" t="s">
        <v>169</v>
      </c>
      <c r="EF9" s="504"/>
      <c r="EG9" s="505"/>
      <c r="EH9" s="503" t="s">
        <v>170</v>
      </c>
      <c r="EI9" s="504"/>
      <c r="EJ9" s="505"/>
      <c r="EK9" s="493" t="s">
        <v>296</v>
      </c>
      <c r="EL9" s="494"/>
      <c r="EM9" s="495"/>
      <c r="EN9" s="493" t="s">
        <v>171</v>
      </c>
      <c r="EO9" s="494"/>
      <c r="EP9" s="495"/>
      <c r="EQ9" s="493" t="s">
        <v>328</v>
      </c>
      <c r="ER9" s="494"/>
      <c r="ES9" s="495"/>
      <c r="ET9" s="502" t="s">
        <v>298</v>
      </c>
      <c r="EU9" s="502"/>
      <c r="EV9" s="502"/>
      <c r="EW9" s="496"/>
      <c r="EX9" s="497"/>
      <c r="EY9" s="498"/>
    </row>
    <row r="10" spans="1:159" s="169" customFormat="1" ht="38.25" customHeight="1">
      <c r="A10" s="502"/>
      <c r="B10" s="502"/>
      <c r="C10" s="496"/>
      <c r="D10" s="497"/>
      <c r="E10" s="498"/>
      <c r="F10" s="496"/>
      <c r="G10" s="497"/>
      <c r="H10" s="498"/>
      <c r="I10" s="496"/>
      <c r="J10" s="497"/>
      <c r="K10" s="498"/>
      <c r="L10" s="496"/>
      <c r="M10" s="497"/>
      <c r="N10" s="498"/>
      <c r="O10" s="496"/>
      <c r="P10" s="497"/>
      <c r="Q10" s="498"/>
      <c r="R10" s="496"/>
      <c r="S10" s="497"/>
      <c r="T10" s="498"/>
      <c r="U10" s="496"/>
      <c r="V10" s="497"/>
      <c r="W10" s="498"/>
      <c r="X10" s="496"/>
      <c r="Y10" s="497"/>
      <c r="Z10" s="498"/>
      <c r="AA10" s="496"/>
      <c r="AB10" s="497"/>
      <c r="AC10" s="498"/>
      <c r="AD10" s="496"/>
      <c r="AE10" s="497"/>
      <c r="AF10" s="498"/>
      <c r="AG10" s="502"/>
      <c r="AH10" s="502"/>
      <c r="AI10" s="502"/>
      <c r="AJ10" s="496"/>
      <c r="AK10" s="497"/>
      <c r="AL10" s="498"/>
      <c r="AM10" s="496"/>
      <c r="AN10" s="497"/>
      <c r="AO10" s="498"/>
      <c r="AP10" s="496"/>
      <c r="AQ10" s="497"/>
      <c r="AR10" s="498"/>
      <c r="AS10" s="496"/>
      <c r="AT10" s="497"/>
      <c r="AU10" s="498"/>
      <c r="AV10" s="496"/>
      <c r="AW10" s="497"/>
      <c r="AX10" s="498"/>
      <c r="AY10" s="496"/>
      <c r="AZ10" s="497"/>
      <c r="BA10" s="498"/>
      <c r="BB10" s="496"/>
      <c r="BC10" s="497"/>
      <c r="BD10" s="498"/>
      <c r="BE10" s="496"/>
      <c r="BF10" s="497"/>
      <c r="BG10" s="498"/>
      <c r="BH10" s="496"/>
      <c r="BI10" s="497"/>
      <c r="BJ10" s="498"/>
      <c r="BK10" s="496"/>
      <c r="BL10" s="497"/>
      <c r="BM10" s="498"/>
      <c r="BN10" s="496"/>
      <c r="BO10" s="497"/>
      <c r="BP10" s="498"/>
      <c r="BQ10" s="496"/>
      <c r="BR10" s="497"/>
      <c r="BS10" s="498"/>
      <c r="BT10" s="496"/>
      <c r="BU10" s="497"/>
      <c r="BV10" s="498"/>
      <c r="BW10" s="496"/>
      <c r="BX10" s="497"/>
      <c r="BY10" s="497"/>
      <c r="BZ10" s="502"/>
      <c r="CA10" s="502"/>
      <c r="CB10" s="502"/>
      <c r="CC10" s="496"/>
      <c r="CD10" s="497"/>
      <c r="CE10" s="498"/>
      <c r="CF10" s="496"/>
      <c r="CG10" s="497"/>
      <c r="CH10" s="498"/>
      <c r="CI10" s="496"/>
      <c r="CJ10" s="497"/>
      <c r="CK10" s="498"/>
      <c r="CL10" s="496"/>
      <c r="CM10" s="497"/>
      <c r="CN10" s="498"/>
      <c r="CO10" s="496"/>
      <c r="CP10" s="497"/>
      <c r="CQ10" s="498"/>
      <c r="CR10" s="496"/>
      <c r="CS10" s="497"/>
      <c r="CT10" s="498"/>
      <c r="CU10" s="496"/>
      <c r="CV10" s="497"/>
      <c r="CW10" s="498"/>
      <c r="CX10" s="496"/>
      <c r="CY10" s="497"/>
      <c r="CZ10" s="498"/>
      <c r="DA10" s="496"/>
      <c r="DB10" s="497"/>
      <c r="DC10" s="498"/>
      <c r="DD10" s="502"/>
      <c r="DE10" s="502"/>
      <c r="DF10" s="502"/>
      <c r="DG10" s="496"/>
      <c r="DH10" s="497"/>
      <c r="DI10" s="498"/>
      <c r="DJ10" s="506"/>
      <c r="DK10" s="507"/>
      <c r="DL10" s="508"/>
      <c r="DM10" s="314"/>
      <c r="DN10" s="315"/>
      <c r="DO10" s="315"/>
      <c r="DP10" s="317"/>
      <c r="DQ10" s="317"/>
      <c r="DR10" s="317"/>
      <c r="DS10" s="315"/>
      <c r="DT10" s="315"/>
      <c r="DU10" s="315"/>
      <c r="DV10" s="315"/>
      <c r="DW10" s="315"/>
      <c r="DX10" s="316"/>
      <c r="DY10" s="506"/>
      <c r="DZ10" s="507"/>
      <c r="EA10" s="508"/>
      <c r="EB10" s="506"/>
      <c r="EC10" s="507"/>
      <c r="ED10" s="508"/>
      <c r="EE10" s="506"/>
      <c r="EF10" s="507"/>
      <c r="EG10" s="508"/>
      <c r="EH10" s="506"/>
      <c r="EI10" s="507"/>
      <c r="EJ10" s="508"/>
      <c r="EK10" s="496"/>
      <c r="EL10" s="497"/>
      <c r="EM10" s="498"/>
      <c r="EN10" s="496"/>
      <c r="EO10" s="497"/>
      <c r="EP10" s="498"/>
      <c r="EQ10" s="496"/>
      <c r="ER10" s="497"/>
      <c r="ES10" s="498"/>
      <c r="ET10" s="502"/>
      <c r="EU10" s="502"/>
      <c r="EV10" s="502"/>
      <c r="EW10" s="496"/>
      <c r="EX10" s="497"/>
      <c r="EY10" s="498"/>
    </row>
    <row r="11" spans="1:159" s="169" customFormat="1" ht="177.75" customHeight="1">
      <c r="A11" s="502"/>
      <c r="B11" s="502"/>
      <c r="C11" s="499"/>
      <c r="D11" s="500"/>
      <c r="E11" s="526"/>
      <c r="F11" s="499"/>
      <c r="G11" s="500"/>
      <c r="H11" s="501"/>
      <c r="I11" s="499"/>
      <c r="J11" s="500"/>
      <c r="K11" s="501"/>
      <c r="L11" s="499"/>
      <c r="M11" s="500"/>
      <c r="N11" s="501"/>
      <c r="O11" s="499"/>
      <c r="P11" s="500"/>
      <c r="Q11" s="501"/>
      <c r="R11" s="499"/>
      <c r="S11" s="500"/>
      <c r="T11" s="501"/>
      <c r="U11" s="499"/>
      <c r="V11" s="500"/>
      <c r="W11" s="501"/>
      <c r="X11" s="499"/>
      <c r="Y11" s="500"/>
      <c r="Z11" s="501"/>
      <c r="AA11" s="499"/>
      <c r="AB11" s="500"/>
      <c r="AC11" s="501"/>
      <c r="AD11" s="499"/>
      <c r="AE11" s="500"/>
      <c r="AF11" s="501"/>
      <c r="AG11" s="502"/>
      <c r="AH11" s="502"/>
      <c r="AI11" s="502"/>
      <c r="AJ11" s="499"/>
      <c r="AK11" s="500"/>
      <c r="AL11" s="501"/>
      <c r="AM11" s="499"/>
      <c r="AN11" s="500"/>
      <c r="AO11" s="501"/>
      <c r="AP11" s="499"/>
      <c r="AQ11" s="500"/>
      <c r="AR11" s="501"/>
      <c r="AS11" s="499"/>
      <c r="AT11" s="500"/>
      <c r="AU11" s="501"/>
      <c r="AV11" s="499"/>
      <c r="AW11" s="500"/>
      <c r="AX11" s="501"/>
      <c r="AY11" s="499"/>
      <c r="AZ11" s="500"/>
      <c r="BA11" s="501"/>
      <c r="BB11" s="499"/>
      <c r="BC11" s="500"/>
      <c r="BD11" s="501"/>
      <c r="BE11" s="499"/>
      <c r="BF11" s="500"/>
      <c r="BG11" s="501"/>
      <c r="BH11" s="499"/>
      <c r="BI11" s="500"/>
      <c r="BJ11" s="501"/>
      <c r="BK11" s="499"/>
      <c r="BL11" s="500"/>
      <c r="BM11" s="501"/>
      <c r="BN11" s="499"/>
      <c r="BO11" s="500"/>
      <c r="BP11" s="501"/>
      <c r="BQ11" s="499"/>
      <c r="BR11" s="500"/>
      <c r="BS11" s="501"/>
      <c r="BT11" s="499"/>
      <c r="BU11" s="500"/>
      <c r="BV11" s="501"/>
      <c r="BW11" s="499"/>
      <c r="BX11" s="500"/>
      <c r="BY11" s="500"/>
      <c r="BZ11" s="502"/>
      <c r="CA11" s="502"/>
      <c r="CB11" s="502"/>
      <c r="CC11" s="499"/>
      <c r="CD11" s="500"/>
      <c r="CE11" s="501"/>
      <c r="CF11" s="499"/>
      <c r="CG11" s="500"/>
      <c r="CH11" s="501"/>
      <c r="CI11" s="499"/>
      <c r="CJ11" s="500"/>
      <c r="CK11" s="501"/>
      <c r="CL11" s="499"/>
      <c r="CM11" s="500"/>
      <c r="CN11" s="501"/>
      <c r="CO11" s="499"/>
      <c r="CP11" s="500"/>
      <c r="CQ11" s="501"/>
      <c r="CR11" s="499"/>
      <c r="CS11" s="500"/>
      <c r="CT11" s="501"/>
      <c r="CU11" s="499"/>
      <c r="CV11" s="500"/>
      <c r="CW11" s="501"/>
      <c r="CX11" s="499"/>
      <c r="CY11" s="500"/>
      <c r="CZ11" s="501"/>
      <c r="DA11" s="499"/>
      <c r="DB11" s="500"/>
      <c r="DC11" s="501"/>
      <c r="DD11" s="502"/>
      <c r="DE11" s="502"/>
      <c r="DF11" s="502"/>
      <c r="DG11" s="499"/>
      <c r="DH11" s="500"/>
      <c r="DI11" s="501"/>
      <c r="DJ11" s="509"/>
      <c r="DK11" s="510"/>
      <c r="DL11" s="511"/>
      <c r="DM11" s="509" t="s">
        <v>172</v>
      </c>
      <c r="DN11" s="510"/>
      <c r="DO11" s="511"/>
      <c r="DP11" s="512" t="s">
        <v>173</v>
      </c>
      <c r="DQ11" s="513"/>
      <c r="DR11" s="514"/>
      <c r="DS11" s="509" t="s">
        <v>174</v>
      </c>
      <c r="DT11" s="510"/>
      <c r="DU11" s="511"/>
      <c r="DV11" s="509" t="s">
        <v>249</v>
      </c>
      <c r="DW11" s="510"/>
      <c r="DX11" s="511"/>
      <c r="DY11" s="509"/>
      <c r="DZ11" s="510"/>
      <c r="EA11" s="511"/>
      <c r="EB11" s="509"/>
      <c r="EC11" s="510"/>
      <c r="ED11" s="511"/>
      <c r="EE11" s="509"/>
      <c r="EF11" s="510"/>
      <c r="EG11" s="511"/>
      <c r="EH11" s="509"/>
      <c r="EI11" s="510"/>
      <c r="EJ11" s="511"/>
      <c r="EK11" s="499"/>
      <c r="EL11" s="500"/>
      <c r="EM11" s="501"/>
      <c r="EN11" s="499"/>
      <c r="EO11" s="500"/>
      <c r="EP11" s="501"/>
      <c r="EQ11" s="499"/>
      <c r="ER11" s="500"/>
      <c r="ES11" s="501"/>
      <c r="ET11" s="502"/>
      <c r="EU11" s="502"/>
      <c r="EV11" s="502"/>
      <c r="EW11" s="499"/>
      <c r="EX11" s="500"/>
      <c r="EY11" s="501"/>
      <c r="FA11" s="174"/>
      <c r="FB11" s="174"/>
      <c r="FC11" s="174"/>
    </row>
    <row r="12" spans="1:159" s="169" customFormat="1" ht="42.75" customHeight="1">
      <c r="A12" s="502"/>
      <c r="B12" s="502"/>
      <c r="C12" s="177" t="s">
        <v>175</v>
      </c>
      <c r="D12" s="178" t="s">
        <v>176</v>
      </c>
      <c r="E12" s="177" t="s">
        <v>177</v>
      </c>
      <c r="F12" s="177" t="s">
        <v>175</v>
      </c>
      <c r="G12" s="177" t="s">
        <v>176</v>
      </c>
      <c r="H12" s="177" t="s">
        <v>177</v>
      </c>
      <c r="I12" s="177" t="s">
        <v>175</v>
      </c>
      <c r="J12" s="177" t="s">
        <v>176</v>
      </c>
      <c r="K12" s="177" t="s">
        <v>177</v>
      </c>
      <c r="L12" s="177" t="s">
        <v>175</v>
      </c>
      <c r="M12" s="177" t="s">
        <v>176</v>
      </c>
      <c r="N12" s="177" t="s">
        <v>177</v>
      </c>
      <c r="O12" s="177" t="s">
        <v>175</v>
      </c>
      <c r="P12" s="177" t="s">
        <v>176</v>
      </c>
      <c r="Q12" s="177" t="s">
        <v>177</v>
      </c>
      <c r="R12" s="177" t="s">
        <v>175</v>
      </c>
      <c r="S12" s="177" t="s">
        <v>176</v>
      </c>
      <c r="T12" s="177" t="s">
        <v>177</v>
      </c>
      <c r="U12" s="177" t="s">
        <v>175</v>
      </c>
      <c r="V12" s="177" t="s">
        <v>176</v>
      </c>
      <c r="W12" s="177" t="s">
        <v>177</v>
      </c>
      <c r="X12" s="177" t="s">
        <v>175</v>
      </c>
      <c r="Y12" s="177" t="s">
        <v>176</v>
      </c>
      <c r="Z12" s="177" t="s">
        <v>177</v>
      </c>
      <c r="AA12" s="177" t="s">
        <v>175</v>
      </c>
      <c r="AB12" s="177" t="s">
        <v>176</v>
      </c>
      <c r="AC12" s="177" t="s">
        <v>177</v>
      </c>
      <c r="AD12" s="177" t="s">
        <v>175</v>
      </c>
      <c r="AE12" s="177" t="s">
        <v>176</v>
      </c>
      <c r="AF12" s="177" t="s">
        <v>177</v>
      </c>
      <c r="AG12" s="177" t="s">
        <v>175</v>
      </c>
      <c r="AH12" s="177" t="s">
        <v>176</v>
      </c>
      <c r="AI12" s="177" t="s">
        <v>177</v>
      </c>
      <c r="AJ12" s="177" t="s">
        <v>175</v>
      </c>
      <c r="AK12" s="177" t="s">
        <v>176</v>
      </c>
      <c r="AL12" s="177" t="s">
        <v>177</v>
      </c>
      <c r="AM12" s="177" t="s">
        <v>175</v>
      </c>
      <c r="AN12" s="177" t="s">
        <v>176</v>
      </c>
      <c r="AO12" s="177" t="s">
        <v>177</v>
      </c>
      <c r="AP12" s="177" t="s">
        <v>175</v>
      </c>
      <c r="AQ12" s="177" t="s">
        <v>176</v>
      </c>
      <c r="AR12" s="177" t="s">
        <v>177</v>
      </c>
      <c r="AS12" s="177" t="s">
        <v>175</v>
      </c>
      <c r="AT12" s="177" t="s">
        <v>176</v>
      </c>
      <c r="AU12" s="177" t="s">
        <v>177</v>
      </c>
      <c r="AV12" s="177" t="s">
        <v>175</v>
      </c>
      <c r="AW12" s="177" t="s">
        <v>176</v>
      </c>
      <c r="AX12" s="177" t="s">
        <v>177</v>
      </c>
      <c r="AY12" s="177" t="s">
        <v>175</v>
      </c>
      <c r="AZ12" s="177" t="s">
        <v>176</v>
      </c>
      <c r="BA12" s="177" t="s">
        <v>177</v>
      </c>
      <c r="BB12" s="177"/>
      <c r="BC12" s="177"/>
      <c r="BD12" s="177"/>
      <c r="BE12" s="177" t="s">
        <v>178</v>
      </c>
      <c r="BF12" s="177" t="s">
        <v>176</v>
      </c>
      <c r="BG12" s="177" t="s">
        <v>177</v>
      </c>
      <c r="BH12" s="177" t="s">
        <v>175</v>
      </c>
      <c r="BI12" s="177" t="s">
        <v>176</v>
      </c>
      <c r="BJ12" s="177" t="s">
        <v>177</v>
      </c>
      <c r="BK12" s="177" t="s">
        <v>175</v>
      </c>
      <c r="BL12" s="177" t="s">
        <v>176</v>
      </c>
      <c r="BM12" s="177" t="s">
        <v>177</v>
      </c>
      <c r="BN12" s="177" t="s">
        <v>178</v>
      </c>
      <c r="BO12" s="177" t="s">
        <v>176</v>
      </c>
      <c r="BP12" s="177" t="s">
        <v>177</v>
      </c>
      <c r="BQ12" s="177" t="s">
        <v>178</v>
      </c>
      <c r="BR12" s="177" t="s">
        <v>176</v>
      </c>
      <c r="BS12" s="177" t="s">
        <v>177</v>
      </c>
      <c r="BT12" s="177" t="s">
        <v>178</v>
      </c>
      <c r="BU12" s="177" t="s">
        <v>176</v>
      </c>
      <c r="BV12" s="177" t="s">
        <v>177</v>
      </c>
      <c r="BW12" s="177" t="s">
        <v>178</v>
      </c>
      <c r="BX12" s="177" t="s">
        <v>176</v>
      </c>
      <c r="BY12" s="177" t="s">
        <v>177</v>
      </c>
      <c r="BZ12" s="177" t="s">
        <v>175</v>
      </c>
      <c r="CA12" s="177" t="s">
        <v>176</v>
      </c>
      <c r="CB12" s="177" t="s">
        <v>177</v>
      </c>
      <c r="CC12" s="177" t="s">
        <v>175</v>
      </c>
      <c r="CD12" s="177" t="s">
        <v>176</v>
      </c>
      <c r="CE12" s="177" t="s">
        <v>177</v>
      </c>
      <c r="CF12" s="177" t="s">
        <v>175</v>
      </c>
      <c r="CG12" s="177" t="s">
        <v>176</v>
      </c>
      <c r="CH12" s="177" t="s">
        <v>177</v>
      </c>
      <c r="CI12" s="177" t="s">
        <v>175</v>
      </c>
      <c r="CJ12" s="177" t="s">
        <v>176</v>
      </c>
      <c r="CK12" s="177" t="s">
        <v>177</v>
      </c>
      <c r="CL12" s="177" t="s">
        <v>175</v>
      </c>
      <c r="CM12" s="177" t="s">
        <v>176</v>
      </c>
      <c r="CN12" s="177" t="s">
        <v>177</v>
      </c>
      <c r="CO12" s="177" t="s">
        <v>175</v>
      </c>
      <c r="CP12" s="177" t="s">
        <v>176</v>
      </c>
      <c r="CQ12" s="177" t="s">
        <v>177</v>
      </c>
      <c r="CR12" s="177" t="s">
        <v>175</v>
      </c>
      <c r="CS12" s="177" t="s">
        <v>176</v>
      </c>
      <c r="CT12" s="177" t="s">
        <v>177</v>
      </c>
      <c r="CU12" s="177" t="s">
        <v>175</v>
      </c>
      <c r="CV12" s="177" t="s">
        <v>176</v>
      </c>
      <c r="CW12" s="177" t="s">
        <v>177</v>
      </c>
      <c r="CX12" s="177" t="s">
        <v>175</v>
      </c>
      <c r="CY12" s="177" t="s">
        <v>176</v>
      </c>
      <c r="CZ12" s="177" t="s">
        <v>177</v>
      </c>
      <c r="DA12" s="177" t="s">
        <v>175</v>
      </c>
      <c r="DB12" s="177" t="s">
        <v>176</v>
      </c>
      <c r="DC12" s="177" t="s">
        <v>177</v>
      </c>
      <c r="DD12" s="177" t="s">
        <v>175</v>
      </c>
      <c r="DE12" s="177" t="s">
        <v>176</v>
      </c>
      <c r="DF12" s="177" t="s">
        <v>177</v>
      </c>
      <c r="DG12" s="177" t="s">
        <v>175</v>
      </c>
      <c r="DH12" s="177" t="s">
        <v>176</v>
      </c>
      <c r="DI12" s="177" t="s">
        <v>177</v>
      </c>
      <c r="DJ12" s="177" t="s">
        <v>175</v>
      </c>
      <c r="DK12" s="177" t="s">
        <v>176</v>
      </c>
      <c r="DL12" s="177" t="s">
        <v>177</v>
      </c>
      <c r="DM12" s="177" t="s">
        <v>175</v>
      </c>
      <c r="DN12" s="177" t="s">
        <v>176</v>
      </c>
      <c r="DO12" s="177" t="s">
        <v>177</v>
      </c>
      <c r="DP12" s="177" t="s">
        <v>175</v>
      </c>
      <c r="DQ12" s="177" t="s">
        <v>176</v>
      </c>
      <c r="DR12" s="177" t="s">
        <v>177</v>
      </c>
      <c r="DS12" s="177" t="s">
        <v>175</v>
      </c>
      <c r="DT12" s="177" t="s">
        <v>176</v>
      </c>
      <c r="DU12" s="177" t="s">
        <v>177</v>
      </c>
      <c r="DV12" s="177" t="s">
        <v>175</v>
      </c>
      <c r="DW12" s="177" t="s">
        <v>176</v>
      </c>
      <c r="DX12" s="177" t="s">
        <v>177</v>
      </c>
      <c r="DY12" s="177" t="s">
        <v>175</v>
      </c>
      <c r="DZ12" s="177" t="s">
        <v>176</v>
      </c>
      <c r="EA12" s="177" t="s">
        <v>177</v>
      </c>
      <c r="EB12" s="177" t="s">
        <v>175</v>
      </c>
      <c r="EC12" s="177" t="s">
        <v>176</v>
      </c>
      <c r="ED12" s="177" t="s">
        <v>177</v>
      </c>
      <c r="EE12" s="177" t="s">
        <v>175</v>
      </c>
      <c r="EF12" s="177" t="s">
        <v>176</v>
      </c>
      <c r="EG12" s="177" t="s">
        <v>177</v>
      </c>
      <c r="EH12" s="177" t="s">
        <v>175</v>
      </c>
      <c r="EI12" s="177" t="s">
        <v>176</v>
      </c>
      <c r="EJ12" s="177" t="s">
        <v>177</v>
      </c>
      <c r="EK12" s="177" t="s">
        <v>175</v>
      </c>
      <c r="EL12" s="177" t="s">
        <v>176</v>
      </c>
      <c r="EM12" s="177" t="s">
        <v>177</v>
      </c>
      <c r="EN12" s="177" t="s">
        <v>175</v>
      </c>
      <c r="EO12" s="177" t="s">
        <v>176</v>
      </c>
      <c r="EP12" s="177" t="s">
        <v>177</v>
      </c>
      <c r="EQ12" s="177" t="s">
        <v>175</v>
      </c>
      <c r="ER12" s="177" t="s">
        <v>176</v>
      </c>
      <c r="ES12" s="177" t="s">
        <v>177</v>
      </c>
      <c r="ET12" s="177" t="s">
        <v>175</v>
      </c>
      <c r="EU12" s="177" t="s">
        <v>176</v>
      </c>
      <c r="EV12" s="177" t="s">
        <v>177</v>
      </c>
      <c r="EW12" s="177" t="s">
        <v>175</v>
      </c>
      <c r="EX12" s="177" t="s">
        <v>176</v>
      </c>
      <c r="EY12" s="177" t="s">
        <v>177</v>
      </c>
      <c r="FA12" s="174"/>
      <c r="FB12" s="174"/>
      <c r="FC12" s="174"/>
    </row>
    <row r="13" spans="1:159" s="169" customFormat="1" ht="14.25" customHeight="1">
      <c r="A13" s="165">
        <v>1</v>
      </c>
      <c r="B13" s="177">
        <v>2</v>
      </c>
      <c r="C13" s="165">
        <v>3</v>
      </c>
      <c r="D13" s="178">
        <v>4</v>
      </c>
      <c r="E13" s="165">
        <v>5</v>
      </c>
      <c r="F13" s="177">
        <v>6</v>
      </c>
      <c r="G13" s="165">
        <v>7</v>
      </c>
      <c r="H13" s="177">
        <v>8</v>
      </c>
      <c r="I13" s="165">
        <v>9</v>
      </c>
      <c r="J13" s="177">
        <v>10</v>
      </c>
      <c r="K13" s="165">
        <v>11</v>
      </c>
      <c r="L13" s="165">
        <v>12</v>
      </c>
      <c r="M13" s="165">
        <v>13</v>
      </c>
      <c r="N13" s="165">
        <v>14</v>
      </c>
      <c r="O13" s="165">
        <v>15</v>
      </c>
      <c r="P13" s="165">
        <v>16</v>
      </c>
      <c r="Q13" s="165">
        <v>17</v>
      </c>
      <c r="R13" s="165">
        <v>18</v>
      </c>
      <c r="S13" s="165">
        <v>19</v>
      </c>
      <c r="T13" s="165">
        <v>20</v>
      </c>
      <c r="U13" s="165">
        <v>21</v>
      </c>
      <c r="V13" s="165">
        <v>22</v>
      </c>
      <c r="W13" s="165">
        <v>23</v>
      </c>
      <c r="X13" s="177">
        <v>24</v>
      </c>
      <c r="Y13" s="165">
        <v>25</v>
      </c>
      <c r="Z13" s="177">
        <v>26</v>
      </c>
      <c r="AA13" s="165">
        <v>27</v>
      </c>
      <c r="AB13" s="177">
        <v>28</v>
      </c>
      <c r="AC13" s="165">
        <v>29</v>
      </c>
      <c r="AD13" s="177">
        <v>30</v>
      </c>
      <c r="AE13" s="165">
        <v>31</v>
      </c>
      <c r="AF13" s="177">
        <v>32</v>
      </c>
      <c r="AG13" s="165">
        <v>33</v>
      </c>
      <c r="AH13" s="177">
        <v>34</v>
      </c>
      <c r="AI13" s="165">
        <v>35</v>
      </c>
      <c r="AJ13" s="165">
        <v>36</v>
      </c>
      <c r="AK13" s="165">
        <v>37</v>
      </c>
      <c r="AL13" s="165">
        <v>38</v>
      </c>
      <c r="AM13" s="177">
        <v>39</v>
      </c>
      <c r="AN13" s="165">
        <v>40</v>
      </c>
      <c r="AO13" s="177">
        <v>41</v>
      </c>
      <c r="AP13" s="165">
        <v>42</v>
      </c>
      <c r="AQ13" s="177">
        <v>43</v>
      </c>
      <c r="AR13" s="165">
        <v>44</v>
      </c>
      <c r="AS13" s="165">
        <v>45</v>
      </c>
      <c r="AT13" s="177">
        <v>46</v>
      </c>
      <c r="AU13" s="165">
        <v>47</v>
      </c>
      <c r="AV13" s="165">
        <v>48</v>
      </c>
      <c r="AW13" s="177">
        <v>49</v>
      </c>
      <c r="AX13" s="165">
        <v>50</v>
      </c>
      <c r="AY13" s="165">
        <v>48</v>
      </c>
      <c r="AZ13" s="177">
        <v>49</v>
      </c>
      <c r="BA13" s="165">
        <v>50</v>
      </c>
      <c r="BB13" s="165">
        <v>51</v>
      </c>
      <c r="BC13" s="165">
        <v>52</v>
      </c>
      <c r="BD13" s="165">
        <v>56</v>
      </c>
      <c r="BE13" s="177">
        <v>51</v>
      </c>
      <c r="BF13" s="165">
        <v>52</v>
      </c>
      <c r="BG13" s="177">
        <v>53</v>
      </c>
      <c r="BH13" s="165">
        <v>60</v>
      </c>
      <c r="BI13" s="179">
        <v>61</v>
      </c>
      <c r="BJ13" s="180">
        <v>62</v>
      </c>
      <c r="BK13" s="165">
        <v>63</v>
      </c>
      <c r="BL13" s="165">
        <v>64</v>
      </c>
      <c r="BM13" s="165">
        <v>65</v>
      </c>
      <c r="BN13" s="165">
        <v>66</v>
      </c>
      <c r="BO13" s="165">
        <v>67</v>
      </c>
      <c r="BP13" s="165">
        <v>68</v>
      </c>
      <c r="BQ13" s="177">
        <v>54</v>
      </c>
      <c r="BR13" s="165">
        <v>55</v>
      </c>
      <c r="BS13" s="177">
        <v>56</v>
      </c>
      <c r="BT13" s="165">
        <v>72</v>
      </c>
      <c r="BU13" s="177">
        <v>73</v>
      </c>
      <c r="BV13" s="165">
        <v>74</v>
      </c>
      <c r="BW13" s="177">
        <v>75</v>
      </c>
      <c r="BX13" s="165">
        <v>76</v>
      </c>
      <c r="BY13" s="177">
        <v>77</v>
      </c>
      <c r="BZ13" s="165">
        <v>57</v>
      </c>
      <c r="CA13" s="177">
        <v>58</v>
      </c>
      <c r="CB13" s="165">
        <v>59</v>
      </c>
      <c r="CC13" s="177">
        <v>60</v>
      </c>
      <c r="CD13" s="165">
        <v>61</v>
      </c>
      <c r="CE13" s="177">
        <v>62</v>
      </c>
      <c r="CF13" s="165">
        <v>63</v>
      </c>
      <c r="CG13" s="177">
        <v>64</v>
      </c>
      <c r="CH13" s="165">
        <v>65</v>
      </c>
      <c r="CI13" s="177">
        <v>66</v>
      </c>
      <c r="CJ13" s="165">
        <v>67</v>
      </c>
      <c r="CK13" s="177">
        <v>68</v>
      </c>
      <c r="CL13" s="165">
        <v>69</v>
      </c>
      <c r="CM13" s="177">
        <v>70</v>
      </c>
      <c r="CN13" s="165">
        <v>71</v>
      </c>
      <c r="CO13" s="165">
        <v>72</v>
      </c>
      <c r="CP13" s="165">
        <v>73</v>
      </c>
      <c r="CQ13" s="165">
        <v>74</v>
      </c>
      <c r="CR13" s="165">
        <v>75</v>
      </c>
      <c r="CS13" s="165">
        <v>76</v>
      </c>
      <c r="CT13" s="165">
        <v>77</v>
      </c>
      <c r="CU13" s="165">
        <v>78</v>
      </c>
      <c r="CV13" s="165">
        <v>79</v>
      </c>
      <c r="CW13" s="165">
        <v>80</v>
      </c>
      <c r="CX13" s="177">
        <v>96</v>
      </c>
      <c r="CY13" s="165">
        <v>97</v>
      </c>
      <c r="CZ13" s="177">
        <v>98</v>
      </c>
      <c r="DA13" s="177">
        <v>99</v>
      </c>
      <c r="DB13" s="177">
        <v>100</v>
      </c>
      <c r="DC13" s="177">
        <v>101</v>
      </c>
      <c r="DD13" s="177">
        <v>102</v>
      </c>
      <c r="DE13" s="177">
        <v>103</v>
      </c>
      <c r="DF13" s="177">
        <v>104</v>
      </c>
      <c r="DG13" s="165">
        <v>81</v>
      </c>
      <c r="DH13" s="177">
        <v>82</v>
      </c>
      <c r="DI13" s="165">
        <v>83</v>
      </c>
      <c r="DJ13" s="177">
        <v>84</v>
      </c>
      <c r="DK13" s="165">
        <v>85</v>
      </c>
      <c r="DL13" s="177">
        <v>86</v>
      </c>
      <c r="DM13" s="165">
        <v>87</v>
      </c>
      <c r="DN13" s="177">
        <v>88</v>
      </c>
      <c r="DO13" s="165">
        <v>89</v>
      </c>
      <c r="DP13" s="177">
        <v>90</v>
      </c>
      <c r="DQ13" s="165">
        <v>91</v>
      </c>
      <c r="DR13" s="177">
        <v>92</v>
      </c>
      <c r="DS13" s="165">
        <v>93</v>
      </c>
      <c r="DT13" s="177">
        <v>94</v>
      </c>
      <c r="DU13" s="165">
        <v>95</v>
      </c>
      <c r="DV13" s="177">
        <v>96</v>
      </c>
      <c r="DW13" s="177">
        <v>97</v>
      </c>
      <c r="DX13" s="177">
        <v>98</v>
      </c>
      <c r="DY13" s="165">
        <v>99</v>
      </c>
      <c r="DZ13" s="177">
        <v>100</v>
      </c>
      <c r="EA13" s="165">
        <v>101</v>
      </c>
      <c r="EB13" s="177">
        <v>102</v>
      </c>
      <c r="EC13" s="165">
        <v>103</v>
      </c>
      <c r="ED13" s="177">
        <v>104</v>
      </c>
      <c r="EE13" s="165">
        <v>105</v>
      </c>
      <c r="EF13" s="177">
        <v>106</v>
      </c>
      <c r="EG13" s="165">
        <v>107</v>
      </c>
      <c r="EH13" s="177">
        <v>108</v>
      </c>
      <c r="EI13" s="165">
        <v>109</v>
      </c>
      <c r="EJ13" s="177">
        <v>110</v>
      </c>
      <c r="EK13" s="165">
        <v>111</v>
      </c>
      <c r="EL13" s="177">
        <v>112</v>
      </c>
      <c r="EM13" s="165">
        <v>113</v>
      </c>
      <c r="EN13" s="177">
        <v>114</v>
      </c>
      <c r="EO13" s="165">
        <v>115</v>
      </c>
      <c r="EP13" s="177">
        <v>116</v>
      </c>
      <c r="EQ13" s="165">
        <v>117</v>
      </c>
      <c r="ER13" s="177">
        <v>118</v>
      </c>
      <c r="ES13" s="165">
        <v>119</v>
      </c>
      <c r="ET13" s="177">
        <v>120</v>
      </c>
      <c r="EU13" s="165">
        <v>121</v>
      </c>
      <c r="EV13" s="177">
        <v>122</v>
      </c>
      <c r="EW13" s="165">
        <v>123</v>
      </c>
      <c r="EX13" s="177">
        <v>124</v>
      </c>
      <c r="EY13" s="165">
        <v>125</v>
      </c>
    </row>
    <row r="14" spans="1:159" s="169" customFormat="1" ht="15" customHeight="1">
      <c r="A14" s="181">
        <v>1</v>
      </c>
      <c r="B14" s="182" t="s">
        <v>303</v>
      </c>
      <c r="C14" s="429">
        <f>F14+BZ14</f>
        <v>3474.2301499999999</v>
      </c>
      <c r="D14" s="417">
        <f t="shared" ref="D14:D29" si="0">G14+CA14+CY14</f>
        <v>934.45000999999991</v>
      </c>
      <c r="E14" s="184">
        <f t="shared" ref="E14:E29" si="1">D14/C14*100</f>
        <v>26.89660643236315</v>
      </c>
      <c r="F14" s="185">
        <f t="shared" ref="F14:F29" si="2">I14+X14+AA14+AD14+AG14+AM14+AS14+BE14+BQ14+BN14+AJ14+AY14+L14+R14+O14+U14+AP14</f>
        <v>592.81500000000005</v>
      </c>
      <c r="G14" s="185">
        <f t="shared" ref="G14:G29" si="3">J14+Y14+AB14+AE14+AH14+AN14+AT14+BF14+AK14+BR14+BO14+AZ14+M14+S14+P14+V14+AQ14</f>
        <v>191.69001</v>
      </c>
      <c r="H14" s="184">
        <f>G14/F14*100</f>
        <v>32.33555325017079</v>
      </c>
      <c r="I14" s="288">
        <f>Але!C6</f>
        <v>68.849999999999994</v>
      </c>
      <c r="J14" s="290">
        <f>Але!D6</f>
        <v>31.202220000000001</v>
      </c>
      <c r="K14" s="184">
        <f>J14/I14*100</f>
        <v>45.319128540305016</v>
      </c>
      <c r="L14" s="184">
        <f>Але!C8</f>
        <v>82.8</v>
      </c>
      <c r="M14" s="184">
        <f>Але!D8</f>
        <v>38.585889999999999</v>
      </c>
      <c r="N14" s="184">
        <f>M14/L14*100</f>
        <v>46.601316425120778</v>
      </c>
      <c r="O14" s="184">
        <f>Але!C9</f>
        <v>0.86499999999999999</v>
      </c>
      <c r="P14" s="184">
        <f>Але!D9</f>
        <v>0.28164</v>
      </c>
      <c r="Q14" s="184">
        <f>P14/O14*100</f>
        <v>32.559537572254335</v>
      </c>
      <c r="R14" s="184">
        <f>Але!C10</f>
        <v>138.30000000000001</v>
      </c>
      <c r="S14" s="184">
        <f>Але!D10</f>
        <v>54.848039999999997</v>
      </c>
      <c r="T14" s="184">
        <f>S14/R14*100</f>
        <v>39.658741865509754</v>
      </c>
      <c r="U14" s="184">
        <f>Але!C11</f>
        <v>0</v>
      </c>
      <c r="V14" s="386">
        <f>Але!D11</f>
        <v>-7.9755900000000004</v>
      </c>
      <c r="W14" s="184" t="e">
        <f>V14/U14*100</f>
        <v>#DIV/0!</v>
      </c>
      <c r="X14" s="186">
        <f>Але!C13</f>
        <v>2</v>
      </c>
      <c r="Y14" s="186">
        <f>Але!D13</f>
        <v>40.129199999999997</v>
      </c>
      <c r="Z14" s="184">
        <f>Y14/X14*100</f>
        <v>2006.4599999999998</v>
      </c>
      <c r="AA14" s="186">
        <f>Але!C15</f>
        <v>40</v>
      </c>
      <c r="AB14" s="385">
        <f>Але!D15</f>
        <v>10.262420000000001</v>
      </c>
      <c r="AC14" s="184">
        <f>AB14/AA14*100</f>
        <v>25.656050000000004</v>
      </c>
      <c r="AD14" s="186">
        <f>Але!C16</f>
        <v>200</v>
      </c>
      <c r="AE14" s="186">
        <f>Але!D16</f>
        <v>17.671659999999999</v>
      </c>
      <c r="AF14" s="184">
        <f t="shared" ref="AF14:AF29" si="4">AE14/AD14*100</f>
        <v>8.8358299999999996</v>
      </c>
      <c r="AG14" s="184">
        <f>Але!C18</f>
        <v>5</v>
      </c>
      <c r="AH14" s="184">
        <f>Але!D18</f>
        <v>0.3</v>
      </c>
      <c r="AI14" s="184">
        <f>AH14/AG14*100</f>
        <v>6</v>
      </c>
      <c r="AJ14" s="184"/>
      <c r="AK14" s="184"/>
      <c r="AL14" s="187" t="e">
        <f t="shared" ref="AL14:AL23" si="5">AK14/AJ14*100</f>
        <v>#DIV/0!</v>
      </c>
      <c r="AM14" s="186">
        <v>0</v>
      </c>
      <c r="AN14" s="186">
        <v>0</v>
      </c>
      <c r="AO14" s="187" t="e">
        <f t="shared" ref="AO14:AO29" si="6">AN14/AM14*100</f>
        <v>#DIV/0!</v>
      </c>
      <c r="AP14" s="186">
        <f>Але!C27</f>
        <v>55</v>
      </c>
      <c r="AQ14" s="405">
        <f>Але!D27</f>
        <v>0</v>
      </c>
      <c r="AR14" s="184">
        <f>AQ14/AP14*100</f>
        <v>0</v>
      </c>
      <c r="AS14" s="188">
        <f>Але!C28</f>
        <v>0</v>
      </c>
      <c r="AT14" s="203">
        <f>Але!D28</f>
        <v>0</v>
      </c>
      <c r="AU14" s="184" t="e">
        <f>AT14/AS14*100</f>
        <v>#DIV/0!</v>
      </c>
      <c r="AV14" s="186"/>
      <c r="AW14" s="186"/>
      <c r="AX14" s="184" t="e">
        <f>AW14/AV14*100</f>
        <v>#DIV/0!</v>
      </c>
      <c r="AY14" s="184">
        <f>Але!C29</f>
        <v>0</v>
      </c>
      <c r="AZ14" s="225">
        <f>Але!D29</f>
        <v>6.3845299999999998</v>
      </c>
      <c r="BA14" s="184" t="e">
        <f>AZ14/AY14*100</f>
        <v>#DIV/0!</v>
      </c>
      <c r="BB14" s="184">
        <f>Але!C30</f>
        <v>0</v>
      </c>
      <c r="BC14" s="184">
        <f>Але!D30</f>
        <v>6.3845299999999998</v>
      </c>
      <c r="BD14" s="184" t="e">
        <f>BC14/BB14*100</f>
        <v>#DIV/0!</v>
      </c>
      <c r="BE14" s="184">
        <f>Але!C32</f>
        <v>0</v>
      </c>
      <c r="BF14" s="184">
        <f>Але!D31</f>
        <v>0</v>
      </c>
      <c r="BG14" s="184" t="e">
        <f>BF14/BE14*100</f>
        <v>#DIV/0!</v>
      </c>
      <c r="BH14" s="184"/>
      <c r="BI14" s="184"/>
      <c r="BJ14" s="184" t="e">
        <f>BI14/BH14*100</f>
        <v>#DIV/0!</v>
      </c>
      <c r="BK14" s="184"/>
      <c r="BL14" s="184"/>
      <c r="BM14" s="184"/>
      <c r="BN14" s="184"/>
      <c r="BO14" s="222"/>
      <c r="BP14" s="184" t="e">
        <f>BO14/BN14*100</f>
        <v>#DIV/0!</v>
      </c>
      <c r="BQ14" s="184">
        <f>Але!C34</f>
        <v>0</v>
      </c>
      <c r="BR14" s="184">
        <f>Але!D35</f>
        <v>0</v>
      </c>
      <c r="BS14" s="184" t="e">
        <f>BR14/BQ14*100</f>
        <v>#DIV/0!</v>
      </c>
      <c r="BT14" s="184"/>
      <c r="BU14" s="184"/>
      <c r="BV14" s="189" t="e">
        <f>BT14/BU14*100</f>
        <v>#DIV/0!</v>
      </c>
      <c r="BW14" s="189"/>
      <c r="BX14" s="189"/>
      <c r="BY14" s="189" t="e">
        <f>BW14/BX14*100</f>
        <v>#DIV/0!</v>
      </c>
      <c r="BZ14" s="186">
        <f>CC14+CF14+CI14+CL14+CR14+CO14</f>
        <v>2881.4151499999998</v>
      </c>
      <c r="CA14" s="186">
        <f>CD14+CG14+CJ14+CM14+CS14+CP14+CV14</f>
        <v>742.75999999999988</v>
      </c>
      <c r="CB14" s="184">
        <f>CA14/BZ14*100</f>
        <v>25.777611393484896</v>
      </c>
      <c r="CC14" s="187">
        <f>Але!C39</f>
        <v>1200.7</v>
      </c>
      <c r="CD14" s="187">
        <f>Але!D39</f>
        <v>400.23200000000003</v>
      </c>
      <c r="CE14" s="184">
        <f>CD14/CC14*100</f>
        <v>33.333222286999252</v>
      </c>
      <c r="CF14" s="184">
        <f>Але!C40</f>
        <v>340</v>
      </c>
      <c r="CG14" s="184">
        <f>Але!D40</f>
        <v>112.5</v>
      </c>
      <c r="CH14" s="184">
        <f>CG14/CF14*100</f>
        <v>33.088235294117645</v>
      </c>
      <c r="CI14" s="184">
        <f>Але!C41</f>
        <v>1188.7561900000001</v>
      </c>
      <c r="CJ14" s="184">
        <f>Але!D41</f>
        <v>139.75200000000001</v>
      </c>
      <c r="CK14" s="184">
        <f t="shared" ref="CK14:CK29" si="7">CJ14/CI14*100</f>
        <v>11.756153294983053</v>
      </c>
      <c r="CL14" s="184">
        <f>Але!C42</f>
        <v>91.480999999999995</v>
      </c>
      <c r="CM14" s="184">
        <f>Але!D42</f>
        <v>29.776</v>
      </c>
      <c r="CN14" s="184">
        <f t="shared" ref="CN14:CN31" si="8">CM14/CL14*100</f>
        <v>32.54883527727069</v>
      </c>
      <c r="CO14" s="184"/>
      <c r="CP14" s="184"/>
      <c r="CQ14" s="184"/>
      <c r="CR14" s="386">
        <f>Але!C43</f>
        <v>60.477960000000003</v>
      </c>
      <c r="CS14" s="184">
        <f>Але!D43</f>
        <v>60.5</v>
      </c>
      <c r="CT14" s="184">
        <f t="shared" ref="CT14:CT31" si="9">CS14/CR14*100</f>
        <v>100.03644302817092</v>
      </c>
      <c r="CU14" s="184"/>
      <c r="CV14" s="184">
        <f>Але!D45</f>
        <v>0</v>
      </c>
      <c r="CW14" s="184" t="e">
        <f>CV13:CV14/CU14*100</f>
        <v>#DIV/0!</v>
      </c>
      <c r="CX14" s="186"/>
      <c r="CY14" s="186"/>
      <c r="CZ14" s="184" t="e">
        <f>CY14/CX14*100</f>
        <v>#DIV/0!</v>
      </c>
      <c r="DA14" s="184"/>
      <c r="DB14" s="184"/>
      <c r="DC14" s="184"/>
      <c r="DD14" s="184"/>
      <c r="DE14" s="184"/>
      <c r="DF14" s="184"/>
      <c r="DG14" s="188">
        <f>DJ14+DY14+EB14+EE14+EH14+EK14+EN14+EQ14+ET14</f>
        <v>3688.06639</v>
      </c>
      <c r="DH14" s="188">
        <f>DK14+DZ14+EC14+EF14+EI14+EL14+EO14+ER14+EU14</f>
        <v>701.55525</v>
      </c>
      <c r="DI14" s="184">
        <f>DH14/DG14*100</f>
        <v>19.022305344129123</v>
      </c>
      <c r="DJ14" s="186">
        <f>DM14+DP14+DS14+DV14</f>
        <v>1083.4159999999999</v>
      </c>
      <c r="DK14" s="186">
        <f>DN14+DQ14+DT14+DW14</f>
        <v>329.76815999999997</v>
      </c>
      <c r="DL14" s="184">
        <f>DK14/DJ14*100</f>
        <v>30.437815206716536</v>
      </c>
      <c r="DM14" s="184">
        <f>Але!C54</f>
        <v>1076.0999999999999</v>
      </c>
      <c r="DN14" s="184">
        <f>Але!D54</f>
        <v>327.45265999999998</v>
      </c>
      <c r="DO14" s="184">
        <f>DN14/DM14*100</f>
        <v>30.429575318278975</v>
      </c>
      <c r="DP14" s="184">
        <f>Але!C57</f>
        <v>0</v>
      </c>
      <c r="DQ14" s="184">
        <f>Але!D57</f>
        <v>0</v>
      </c>
      <c r="DR14" s="184" t="e">
        <f>DQ14/DP14*100</f>
        <v>#DIV/0!</v>
      </c>
      <c r="DS14" s="184">
        <f>Але!C58</f>
        <v>5</v>
      </c>
      <c r="DT14" s="184">
        <f>Але!D58</f>
        <v>0</v>
      </c>
      <c r="DU14" s="184">
        <f>DT14/DS14*100</f>
        <v>0</v>
      </c>
      <c r="DV14" s="184">
        <f>Але!C59</f>
        <v>2.3159999999999998</v>
      </c>
      <c r="DW14" s="184">
        <f>Але!D59</f>
        <v>2.3155000000000001</v>
      </c>
      <c r="DX14" s="184">
        <f>DW14/DV14*100</f>
        <v>99.978411053540597</v>
      </c>
      <c r="DY14" s="184">
        <f>Але!C61</f>
        <v>89.944999999999993</v>
      </c>
      <c r="DZ14" s="184">
        <f>Але!D61</f>
        <v>29.768000000000001</v>
      </c>
      <c r="EA14" s="184">
        <f>DZ14/DY14*100</f>
        <v>33.095780754905782</v>
      </c>
      <c r="EB14" s="184">
        <f>Але!C62</f>
        <v>14</v>
      </c>
      <c r="EC14" s="184">
        <f>Але!D62</f>
        <v>0</v>
      </c>
      <c r="ED14" s="184">
        <f>EC14/EB14*100</f>
        <v>0</v>
      </c>
      <c r="EE14" s="186">
        <f>Але!C68</f>
        <v>1701.7858899999999</v>
      </c>
      <c r="EF14" s="186">
        <f>Але!D68</f>
        <v>158.80862999999999</v>
      </c>
      <c r="EG14" s="184">
        <f>EF14/EE14*100</f>
        <v>9.331880757337812</v>
      </c>
      <c r="EH14" s="186">
        <f>Але!C73</f>
        <v>518.81949999999995</v>
      </c>
      <c r="EI14" s="186">
        <f>Але!D73</f>
        <v>90.822460000000007</v>
      </c>
      <c r="EJ14" s="184">
        <f>EI14/EH14*100</f>
        <v>17.505598767972295</v>
      </c>
      <c r="EK14" s="186">
        <f>Але!C77</f>
        <v>276.10000000000002</v>
      </c>
      <c r="EL14" s="190">
        <f>Але!D77</f>
        <v>92.388000000000005</v>
      </c>
      <c r="EM14" s="184">
        <f t="shared" ref="EM14:EM29" si="10">EL14/EK14*100</f>
        <v>33.461789206809129</v>
      </c>
      <c r="EN14" s="184">
        <f>Але!C79</f>
        <v>0</v>
      </c>
      <c r="EO14" s="184">
        <f>Але!D79</f>
        <v>0</v>
      </c>
      <c r="EP14" s="184" t="e">
        <f t="shared" ref="EP14:EP29" si="11">EO14/EN14*100</f>
        <v>#DIV/0!</v>
      </c>
      <c r="EQ14" s="185">
        <f>Але!C84</f>
        <v>4</v>
      </c>
      <c r="ER14" s="185">
        <f>Але!D84</f>
        <v>0</v>
      </c>
      <c r="ES14" s="184">
        <f>ER14/EQ14*100</f>
        <v>0</v>
      </c>
      <c r="ET14" s="184">
        <f>Але!C90</f>
        <v>0</v>
      </c>
      <c r="EU14" s="184">
        <f>Але!D90</f>
        <v>0</v>
      </c>
      <c r="EV14" s="184" t="e">
        <f>EU14/ET14*100</f>
        <v>#DIV/0!</v>
      </c>
      <c r="EW14" s="191">
        <f t="shared" ref="EW14:EW29" si="12">SUM(C14-DG14)</f>
        <v>-213.83624000000009</v>
      </c>
      <c r="EX14" s="191">
        <f t="shared" ref="EX14:EX29" si="13">SUM(D14-DH14)</f>
        <v>232.89475999999991</v>
      </c>
      <c r="EY14" s="184">
        <f>EX14/EW14*100%</f>
        <v>-1.0891267074280759</v>
      </c>
      <c r="EZ14" s="192"/>
      <c r="FA14" s="193"/>
      <c r="FC14" s="193"/>
    </row>
    <row r="15" spans="1:159" s="199" customFormat="1" ht="15" customHeight="1">
      <c r="A15" s="181">
        <v>2</v>
      </c>
      <c r="B15" s="194" t="s">
        <v>304</v>
      </c>
      <c r="C15" s="429">
        <f t="shared" ref="C15:C29" si="14">F15+BZ15</f>
        <v>12055.44839</v>
      </c>
      <c r="D15" s="417">
        <f>G15+CA15+CY15</f>
        <v>2692.06194</v>
      </c>
      <c r="E15" s="187">
        <f t="shared" si="1"/>
        <v>22.330666209255781</v>
      </c>
      <c r="F15" s="185">
        <f t="shared" si="2"/>
        <v>3735.44</v>
      </c>
      <c r="G15" s="185">
        <f>J15+Y15+AB15+AE15+AH15+AN15+AT15+BF15+AK15+BR15+BO15+AZ15+M15+S15+P15+V15+AQ15</f>
        <v>763.93594000000007</v>
      </c>
      <c r="H15" s="187">
        <f t="shared" ref="H15:H29" si="15">G15/F15*100</f>
        <v>20.45102959758422</v>
      </c>
      <c r="I15" s="195">
        <f>Сун!C6</f>
        <v>443.71499999999997</v>
      </c>
      <c r="J15" s="188">
        <f>Сун!D6</f>
        <v>117.79398</v>
      </c>
      <c r="K15" s="187">
        <f t="shared" ref="K15:K29" si="16">J15/I15*100</f>
        <v>26.547216118454415</v>
      </c>
      <c r="L15" s="187">
        <f>Сун!C8</f>
        <v>237.12</v>
      </c>
      <c r="M15" s="187">
        <f>Сун!D8</f>
        <v>110.51293</v>
      </c>
      <c r="N15" s="184">
        <f t="shared" ref="N15:N29" si="17">M15/L15*100</f>
        <v>46.606330128205123</v>
      </c>
      <c r="O15" s="184">
        <f>Сун!C9</f>
        <v>2.5049999999999999</v>
      </c>
      <c r="P15" s="184">
        <f>Сун!D9</f>
        <v>0.80669000000000002</v>
      </c>
      <c r="Q15" s="184">
        <f t="shared" ref="Q15:Q29" si="18">P15/O15*100</f>
        <v>32.203193612774456</v>
      </c>
      <c r="R15" s="184">
        <f>Сун!C10</f>
        <v>396.1</v>
      </c>
      <c r="S15" s="184">
        <f>Сун!D10</f>
        <v>157.08904999999999</v>
      </c>
      <c r="T15" s="184">
        <f t="shared" ref="T15:T29" si="19">S15/R15*100</f>
        <v>39.658937137086589</v>
      </c>
      <c r="U15" s="184">
        <f>Сун!C11</f>
        <v>0</v>
      </c>
      <c r="V15" s="386">
        <f>Сун!D11</f>
        <v>-22.84272</v>
      </c>
      <c r="W15" s="184" t="e">
        <f t="shared" ref="W15:W29" si="20">V15/U15*100</f>
        <v>#DIV/0!</v>
      </c>
      <c r="X15" s="195">
        <f>Сун!C13</f>
        <v>40</v>
      </c>
      <c r="Y15" s="195">
        <f>Сун!D13</f>
        <v>36.720509999999997</v>
      </c>
      <c r="Z15" s="187">
        <f t="shared" ref="Z15:Z29" si="21">Y15/X15*100</f>
        <v>91.80127499999999</v>
      </c>
      <c r="AA15" s="195">
        <f>Сун!C15</f>
        <v>1098</v>
      </c>
      <c r="AB15" s="385">
        <f>Сун!D15</f>
        <v>27.99108</v>
      </c>
      <c r="AC15" s="187">
        <f t="shared" ref="AC15:AC29" si="22">AB15/AA15*100</f>
        <v>2.5492786885245899</v>
      </c>
      <c r="AD15" s="195">
        <f>Сун!C16</f>
        <v>1285</v>
      </c>
      <c r="AE15" s="195">
        <f>Сун!D16</f>
        <v>185.35064</v>
      </c>
      <c r="AF15" s="187">
        <f t="shared" si="4"/>
        <v>14.424174319066147</v>
      </c>
      <c r="AG15" s="187">
        <f>Сун!C18</f>
        <v>13</v>
      </c>
      <c r="AH15" s="187">
        <f>Сун!D18</f>
        <v>5.0199999999999996</v>
      </c>
      <c r="AI15" s="187">
        <f t="shared" ref="AI15:AI31" si="23">AH15/AG15*100</f>
        <v>38.615384615384613</v>
      </c>
      <c r="AJ15" s="187"/>
      <c r="AK15" s="187"/>
      <c r="AL15" s="187" t="e">
        <f t="shared" si="5"/>
        <v>#DIV/0!</v>
      </c>
      <c r="AM15" s="195">
        <f>Сун!C27</f>
        <v>0</v>
      </c>
      <c r="AN15" s="195">
        <f>Сун!D27</f>
        <v>0</v>
      </c>
      <c r="AO15" s="187" t="e">
        <f t="shared" si="6"/>
        <v>#DIV/0!</v>
      </c>
      <c r="AP15" s="195">
        <f>Сун!C28</f>
        <v>200</v>
      </c>
      <c r="AQ15" s="406">
        <f>Сун!D28</f>
        <v>27.2</v>
      </c>
      <c r="AR15" s="187">
        <f t="shared" ref="AR15:AR29" si="24">AQ15/AP15*100</f>
        <v>13.600000000000001</v>
      </c>
      <c r="AS15" s="188">
        <f>Сун!C29</f>
        <v>20</v>
      </c>
      <c r="AT15" s="384">
        <f>Сун!D29</f>
        <v>16.597999999999999</v>
      </c>
      <c r="AU15" s="187">
        <f t="shared" ref="AU15:AU29" si="25">AT15/AS15*100</f>
        <v>82.99</v>
      </c>
      <c r="AV15" s="195"/>
      <c r="AW15" s="195"/>
      <c r="AX15" s="187" t="e">
        <f t="shared" ref="AX15:AX29" si="26">AW15/AV15*100</f>
        <v>#DIV/0!</v>
      </c>
      <c r="AY15" s="187">
        <f>Сун!C31</f>
        <v>0</v>
      </c>
      <c r="AZ15" s="438">
        <f>Сун!D31</f>
        <v>101.69578</v>
      </c>
      <c r="BA15" s="187" t="e">
        <f t="shared" ref="BA15:BA31" si="27">AZ15/AY15*100</f>
        <v>#DIV/0!</v>
      </c>
      <c r="BB15" s="187"/>
      <c r="BC15" s="187"/>
      <c r="BD15" s="187"/>
      <c r="BE15" s="187">
        <f>Сун!C32</f>
        <v>0</v>
      </c>
      <c r="BF15" s="187">
        <f>Сун!D32</f>
        <v>0</v>
      </c>
      <c r="BG15" s="187" t="e">
        <f t="shared" ref="BG15:BG31" si="28">BF15/BE15*100</f>
        <v>#DIV/0!</v>
      </c>
      <c r="BH15" s="187"/>
      <c r="BI15" s="187"/>
      <c r="BJ15" s="187" t="e">
        <f t="shared" ref="BJ15:BJ29" si="29">BI15/BH15*100</f>
        <v>#DIV/0!</v>
      </c>
      <c r="BK15" s="187">
        <f>Сун!C35</f>
        <v>0</v>
      </c>
      <c r="BL15" s="187">
        <f>Сун!D35</f>
        <v>0</v>
      </c>
      <c r="BM15" s="187"/>
      <c r="BN15" s="187">
        <f>Сун!C35</f>
        <v>0</v>
      </c>
      <c r="BO15" s="355">
        <f>Сун!D35</f>
        <v>0</v>
      </c>
      <c r="BP15" s="187" t="e">
        <f t="shared" ref="BP15:BP29" si="30">BO15/BN15*100</f>
        <v>#DIV/0!</v>
      </c>
      <c r="BQ15" s="187">
        <f>Сун!C37</f>
        <v>0</v>
      </c>
      <c r="BR15" s="187">
        <f>Сун!D37</f>
        <v>0</v>
      </c>
      <c r="BS15" s="187" t="e">
        <f t="shared" ref="BS15:BS29" si="31">BR15/BQ15*100</f>
        <v>#DIV/0!</v>
      </c>
      <c r="BT15" s="187"/>
      <c r="BU15" s="187"/>
      <c r="BV15" s="196" t="e">
        <f t="shared" ref="BV15:BV29" si="32">BT15/BU15*100</f>
        <v>#DIV/0!</v>
      </c>
      <c r="BW15" s="196"/>
      <c r="BX15" s="196"/>
      <c r="BY15" s="196" t="e">
        <f t="shared" ref="BY15:BY29" si="33">BW15/BX15*100</f>
        <v>#DIV/0!</v>
      </c>
      <c r="BZ15" s="186">
        <f t="shared" ref="BZ15:BZ29" si="34">CC15+CF15+CI15+CL15+CR15+CO15</f>
        <v>8320.0083899999991</v>
      </c>
      <c r="CA15" s="186">
        <f t="shared" ref="CA15:CA29" si="35">CD15+CG15+CJ15+CM15+CS15+CP15+CV15</f>
        <v>1928.126</v>
      </c>
      <c r="CB15" s="187">
        <f>CA15/BZ15*100</f>
        <v>23.174567976607534</v>
      </c>
      <c r="CC15" s="187">
        <f>Сун!C42</f>
        <v>3003</v>
      </c>
      <c r="CD15" s="187">
        <f>Сун!D42</f>
        <v>1000.8</v>
      </c>
      <c r="CE15" s="187">
        <f t="shared" ref="CE15:CE29" si="36">CD15/CC15*100</f>
        <v>33.326673326673323</v>
      </c>
      <c r="CF15" s="187">
        <f>Сун!C43</f>
        <v>0</v>
      </c>
      <c r="CG15" s="187">
        <f>Сун!D43</f>
        <v>0</v>
      </c>
      <c r="CH15" s="187" t="e">
        <f t="shared" ref="CH15:CH29" si="37">CG15/CF15*100</f>
        <v>#DIV/0!</v>
      </c>
      <c r="CI15" s="235">
        <f>Сун!C44</f>
        <v>4805.0308999999997</v>
      </c>
      <c r="CJ15" s="187">
        <f>Сун!D44</f>
        <v>538.78700000000003</v>
      </c>
      <c r="CK15" s="187">
        <f t="shared" si="7"/>
        <v>11.212976798962938</v>
      </c>
      <c r="CL15" s="187">
        <f>Сун!C46</f>
        <v>183.01900000000001</v>
      </c>
      <c r="CM15" s="187">
        <f>Сун!D46</f>
        <v>59.548999999999999</v>
      </c>
      <c r="CN15" s="187">
        <f t="shared" si="8"/>
        <v>32.53705899387495</v>
      </c>
      <c r="CO15" s="187">
        <f>Сун!C47</f>
        <v>0</v>
      </c>
      <c r="CP15" s="187">
        <f>Сун!D47</f>
        <v>0</v>
      </c>
      <c r="CQ15" s="187" t="e">
        <f>CP15/CO15*100</f>
        <v>#DIV/0!</v>
      </c>
      <c r="CR15" s="391">
        <f>Сун!C48</f>
        <v>328.95848999999998</v>
      </c>
      <c r="CS15" s="187">
        <f>Сун!D48</f>
        <v>328.99</v>
      </c>
      <c r="CT15" s="187">
        <f t="shared" si="9"/>
        <v>100.00957871614744</v>
      </c>
      <c r="CU15" s="187"/>
      <c r="CV15" s="187"/>
      <c r="CW15" s="187"/>
      <c r="CX15" s="195"/>
      <c r="CY15" s="195"/>
      <c r="CZ15" s="187" t="e">
        <f t="shared" ref="CZ15:CZ29" si="38">CY15/CX15*100</f>
        <v>#DIV/0!</v>
      </c>
      <c r="DA15" s="187"/>
      <c r="DB15" s="187"/>
      <c r="DC15" s="187"/>
      <c r="DD15" s="187"/>
      <c r="DE15" s="187"/>
      <c r="DF15" s="187"/>
      <c r="DG15" s="188">
        <f>DJ15+DY15+EB15+EE15+EH15+EK15+EN15+EQ15+ET15</f>
        <v>13260.593069999999</v>
      </c>
      <c r="DH15" s="188">
        <f t="shared" ref="DG15:DH29" si="39">DK15+DZ15+EC15+EF15+EI15+EL15+EO15+ER15+EU15</f>
        <v>2897.9545699999999</v>
      </c>
      <c r="DI15" s="187">
        <f t="shared" ref="DI15:DI29" si="40">DH15/DG15*100</f>
        <v>21.853883568421725</v>
      </c>
      <c r="DJ15" s="195">
        <f>DM15+DP15+DS15+DV15</f>
        <v>1760.6429999999998</v>
      </c>
      <c r="DK15" s="195">
        <f t="shared" ref="DJ15:DK29" si="41">DN15+DQ15+DT15+DW15</f>
        <v>548.3820199999999</v>
      </c>
      <c r="DL15" s="187">
        <f t="shared" ref="DL15:DL29" si="42">DK15/DJ15*100</f>
        <v>31.14669015808429</v>
      </c>
      <c r="DM15" s="187">
        <f>Сун!C59</f>
        <v>1746.6</v>
      </c>
      <c r="DN15" s="187">
        <f>Сун!D59</f>
        <v>539.63951999999995</v>
      </c>
      <c r="DO15" s="187">
        <f t="shared" ref="DO15:DO29" si="43">DN15/DM15*100</f>
        <v>30.896571624871179</v>
      </c>
      <c r="DP15" s="187">
        <f>Сун!C62</f>
        <v>0</v>
      </c>
      <c r="DQ15" s="187">
        <f>Сун!D62</f>
        <v>0</v>
      </c>
      <c r="DR15" s="187" t="e">
        <f t="shared" ref="DR15:DR29" si="44">DQ15/DP15*100</f>
        <v>#DIV/0!</v>
      </c>
      <c r="DS15" s="187">
        <f>Сун!C63</f>
        <v>5</v>
      </c>
      <c r="DT15" s="187">
        <f>Сун!D63</f>
        <v>0</v>
      </c>
      <c r="DU15" s="187">
        <f t="shared" ref="DU15:DU29" si="45">DT15/DS15*100</f>
        <v>0</v>
      </c>
      <c r="DV15" s="187">
        <f>Сун!C64</f>
        <v>9.0429999999999993</v>
      </c>
      <c r="DW15" s="187">
        <f>Сун!D64</f>
        <v>8.7424999999999997</v>
      </c>
      <c r="DX15" s="187">
        <f t="shared" ref="DX15:DX29" si="46">DW15/DV15*100</f>
        <v>96.676987725312401</v>
      </c>
      <c r="DY15" s="187">
        <f>Сун!C66</f>
        <v>179.892</v>
      </c>
      <c r="DZ15" s="187">
        <f>Сун!D66</f>
        <v>55.920349999999999</v>
      </c>
      <c r="EA15" s="187">
        <f t="shared" ref="EA15:EA31" si="47">DZ15/DY15*100</f>
        <v>31.085512418562249</v>
      </c>
      <c r="EB15" s="187">
        <f>Сун!C67</f>
        <v>6.1</v>
      </c>
      <c r="EC15" s="187">
        <f>Сун!D67</f>
        <v>2.1</v>
      </c>
      <c r="ED15" s="187">
        <f t="shared" ref="ED15:ED31" si="48">EC15/EB15*100</f>
        <v>34.426229508196727</v>
      </c>
      <c r="EE15" s="195">
        <f>Сун!C73</f>
        <v>4773.1170399999992</v>
      </c>
      <c r="EF15" s="195">
        <f>Сун!D73</f>
        <v>936.85621000000003</v>
      </c>
      <c r="EG15" s="187">
        <f t="shared" ref="EG15:EG29" si="49">EF15/EE15*100</f>
        <v>19.627765297789558</v>
      </c>
      <c r="EH15" s="195">
        <f>Сун!C78</f>
        <v>3533.6530299999999</v>
      </c>
      <c r="EI15" s="195">
        <f>Сун!D78</f>
        <v>369.23027000000002</v>
      </c>
      <c r="EJ15" s="187">
        <f t="shared" ref="EJ15:EJ29" si="50">EI15/EH15*100</f>
        <v>10.448967877301751</v>
      </c>
      <c r="EK15" s="195">
        <f>Сун!C83</f>
        <v>2987.1880000000001</v>
      </c>
      <c r="EL15" s="197">
        <f>Сун!D83</f>
        <v>976.37572</v>
      </c>
      <c r="EM15" s="187">
        <f t="shared" si="10"/>
        <v>32.685445977956526</v>
      </c>
      <c r="EN15" s="187">
        <f>Сун!C86</f>
        <v>0</v>
      </c>
      <c r="EO15" s="187">
        <f>Сун!D86</f>
        <v>0</v>
      </c>
      <c r="EP15" s="187" t="e">
        <f t="shared" si="11"/>
        <v>#DIV/0!</v>
      </c>
      <c r="EQ15" s="198">
        <f>Сун!C91</f>
        <v>20</v>
      </c>
      <c r="ER15" s="198">
        <f>Сун!D91</f>
        <v>9.09</v>
      </c>
      <c r="ES15" s="187">
        <f t="shared" ref="ES15:ES29" si="51">ER15/EQ15*100</f>
        <v>45.45</v>
      </c>
      <c r="ET15" s="187">
        <f>Сун!C97</f>
        <v>0</v>
      </c>
      <c r="EU15" s="187">
        <f>Сун!D97</f>
        <v>0</v>
      </c>
      <c r="EV15" s="184" t="e">
        <f>EU15/ET15*100</f>
        <v>#DIV/0!</v>
      </c>
      <c r="EW15" s="191">
        <f t="shared" si="12"/>
        <v>-1205.1446799999994</v>
      </c>
      <c r="EX15" s="191">
        <f t="shared" si="13"/>
        <v>-205.89262999999983</v>
      </c>
      <c r="EY15" s="184">
        <f>EX15/EW15*100%</f>
        <v>0.17084474040079564</v>
      </c>
      <c r="EZ15" s="192"/>
      <c r="FA15" s="193"/>
      <c r="FC15" s="193"/>
    </row>
    <row r="16" spans="1:159" s="169" customFormat="1" ht="15" customHeight="1">
      <c r="A16" s="181">
        <v>3</v>
      </c>
      <c r="B16" s="194" t="s">
        <v>305</v>
      </c>
      <c r="C16" s="430">
        <f t="shared" si="14"/>
        <v>9079.2287100000012</v>
      </c>
      <c r="D16" s="417">
        <f t="shared" si="0"/>
        <v>1324.43163</v>
      </c>
      <c r="E16" s="187">
        <f t="shared" si="1"/>
        <v>14.587490549073301</v>
      </c>
      <c r="F16" s="185">
        <f t="shared" si="2"/>
        <v>1991.4749999999999</v>
      </c>
      <c r="G16" s="185">
        <f t="shared" si="3"/>
        <v>367.87563</v>
      </c>
      <c r="H16" s="187">
        <f t="shared" si="15"/>
        <v>18.472520619139082</v>
      </c>
      <c r="I16" s="289">
        <f>Иль!C6</f>
        <v>100.23</v>
      </c>
      <c r="J16" s="290">
        <f>Иль!D6</f>
        <v>19.418970000000002</v>
      </c>
      <c r="K16" s="187">
        <f t="shared" si="16"/>
        <v>19.374408859622868</v>
      </c>
      <c r="L16" s="187">
        <f>Иль!C8</f>
        <v>224.26</v>
      </c>
      <c r="M16" s="187">
        <f>Иль!D8</f>
        <v>104.51903</v>
      </c>
      <c r="N16" s="184">
        <f t="shared" si="17"/>
        <v>46.606184785516817</v>
      </c>
      <c r="O16" s="184">
        <f>Иль!C9</f>
        <v>2.4049999999999998</v>
      </c>
      <c r="P16" s="184">
        <f>Иль!D9</f>
        <v>0.76292000000000004</v>
      </c>
      <c r="Q16" s="184">
        <f t="shared" si="18"/>
        <v>31.722245322245328</v>
      </c>
      <c r="R16" s="184">
        <f>Иль!C10</f>
        <v>374.58</v>
      </c>
      <c r="S16" s="184">
        <f>Иль!D10</f>
        <v>148.56898000000001</v>
      </c>
      <c r="T16" s="184">
        <f t="shared" si="19"/>
        <v>39.662817021731009</v>
      </c>
      <c r="U16" s="184">
        <f>Иль!C11</f>
        <v>0</v>
      </c>
      <c r="V16" s="386">
        <f>Иль!D11</f>
        <v>-21.603809999999999</v>
      </c>
      <c r="W16" s="184" t="e">
        <f t="shared" si="20"/>
        <v>#DIV/0!</v>
      </c>
      <c r="X16" s="195">
        <f>Иль!C13</f>
        <v>7</v>
      </c>
      <c r="Y16" s="195">
        <f>Иль!D13</f>
        <v>7.8471299999999999</v>
      </c>
      <c r="Z16" s="187">
        <f t="shared" si="21"/>
        <v>112.10185714285714</v>
      </c>
      <c r="AA16" s="195">
        <f>Иль!C15</f>
        <v>248</v>
      </c>
      <c r="AB16" s="385">
        <f>Иль!D15</f>
        <v>4.8604000000000003</v>
      </c>
      <c r="AC16" s="187">
        <f t="shared" si="22"/>
        <v>1.9598387096774195</v>
      </c>
      <c r="AD16" s="195">
        <f>Иль!C16</f>
        <v>810</v>
      </c>
      <c r="AE16" s="195">
        <f>Иль!D16</f>
        <v>53.362369999999999</v>
      </c>
      <c r="AF16" s="187">
        <f t="shared" si="4"/>
        <v>6.5879469135802466</v>
      </c>
      <c r="AG16" s="187">
        <f>Иль!C18</f>
        <v>5</v>
      </c>
      <c r="AH16" s="187">
        <f>Иль!D18</f>
        <v>2</v>
      </c>
      <c r="AI16" s="187">
        <f t="shared" si="23"/>
        <v>40</v>
      </c>
      <c r="AJ16" s="187"/>
      <c r="AK16" s="187"/>
      <c r="AL16" s="187" t="e">
        <f t="shared" si="5"/>
        <v>#DIV/0!</v>
      </c>
      <c r="AM16" s="195">
        <f>Иль!C27</f>
        <v>0</v>
      </c>
      <c r="AN16" s="195">
        <f>Иль!D27</f>
        <v>0</v>
      </c>
      <c r="AO16" s="187" t="e">
        <f t="shared" si="6"/>
        <v>#DIV/0!</v>
      </c>
      <c r="AP16" s="195">
        <f>Иль!C28</f>
        <v>200</v>
      </c>
      <c r="AQ16" s="406">
        <f>Иль!D28</f>
        <v>12.2</v>
      </c>
      <c r="AR16" s="187">
        <f t="shared" si="24"/>
        <v>6.1</v>
      </c>
      <c r="AS16" s="188">
        <f>Иль!C29</f>
        <v>20</v>
      </c>
      <c r="AT16" s="384">
        <f>Иль!D29</f>
        <v>21.240600000000001</v>
      </c>
      <c r="AU16" s="187">
        <f t="shared" si="25"/>
        <v>106.203</v>
      </c>
      <c r="AV16" s="195"/>
      <c r="AW16" s="195"/>
      <c r="AX16" s="187" t="e">
        <f t="shared" si="26"/>
        <v>#DIV/0!</v>
      </c>
      <c r="AY16" s="187">
        <f>Иль!C30</f>
        <v>0</v>
      </c>
      <c r="AZ16" s="225">
        <f>Иль!D30</f>
        <v>14.69904</v>
      </c>
      <c r="BA16" s="187" t="e">
        <f t="shared" si="27"/>
        <v>#DIV/0!</v>
      </c>
      <c r="BB16" s="187"/>
      <c r="BC16" s="187"/>
      <c r="BD16" s="187"/>
      <c r="BE16" s="187">
        <f>Иль!C34</f>
        <v>0</v>
      </c>
      <c r="BF16" s="187">
        <f>Иль!D34</f>
        <v>0</v>
      </c>
      <c r="BG16" s="187" t="e">
        <f t="shared" si="28"/>
        <v>#DIV/0!</v>
      </c>
      <c r="BH16" s="187"/>
      <c r="BI16" s="187"/>
      <c r="BJ16" s="187" t="e">
        <f t="shared" si="29"/>
        <v>#DIV/0!</v>
      </c>
      <c r="BK16" s="187"/>
      <c r="BL16" s="187"/>
      <c r="BM16" s="187"/>
      <c r="BN16" s="187"/>
      <c r="BO16" s="355">
        <f>Иль!D35</f>
        <v>0</v>
      </c>
      <c r="BP16" s="187" t="e">
        <f t="shared" si="30"/>
        <v>#DIV/0!</v>
      </c>
      <c r="BQ16" s="187">
        <v>0</v>
      </c>
      <c r="BR16" s="187">
        <f>Иль!D37</f>
        <v>0</v>
      </c>
      <c r="BS16" s="187" t="e">
        <f t="shared" si="31"/>
        <v>#DIV/0!</v>
      </c>
      <c r="BT16" s="187"/>
      <c r="BU16" s="187"/>
      <c r="BV16" s="196" t="e">
        <f t="shared" si="32"/>
        <v>#DIV/0!</v>
      </c>
      <c r="BW16" s="196"/>
      <c r="BX16" s="196"/>
      <c r="BY16" s="196" t="e">
        <f t="shared" si="33"/>
        <v>#DIV/0!</v>
      </c>
      <c r="BZ16" s="186">
        <f t="shared" si="34"/>
        <v>7087.7537100000009</v>
      </c>
      <c r="CA16" s="186">
        <f t="shared" si="35"/>
        <v>956.55600000000004</v>
      </c>
      <c r="CB16" s="187">
        <f>CA16/BZ16*100</f>
        <v>13.495897842082325</v>
      </c>
      <c r="CC16" s="187">
        <f>Иль!C42</f>
        <v>1759.1</v>
      </c>
      <c r="CD16" s="187">
        <f>Иль!D42</f>
        <v>586.36800000000005</v>
      </c>
      <c r="CE16" s="187">
        <f t="shared" si="36"/>
        <v>33.333409129668581</v>
      </c>
      <c r="CF16" s="187">
        <f>Иль!C43</f>
        <v>270</v>
      </c>
      <c r="CG16" s="187">
        <f>Иль!D43</f>
        <v>60</v>
      </c>
      <c r="CH16" s="187">
        <f t="shared" si="37"/>
        <v>22.222222222222221</v>
      </c>
      <c r="CI16" s="184">
        <f>Иль!C44</f>
        <v>3964.4985700000002</v>
      </c>
      <c r="CJ16" s="187">
        <f>Иль!D44</f>
        <v>220</v>
      </c>
      <c r="CK16" s="187">
        <f t="shared" si="7"/>
        <v>5.5492515917340839</v>
      </c>
      <c r="CL16" s="187">
        <f>Иль!C46</f>
        <v>181.08199999999999</v>
      </c>
      <c r="CM16" s="187">
        <f>Иль!D46</f>
        <v>59.548999999999999</v>
      </c>
      <c r="CN16" s="187">
        <f t="shared" si="8"/>
        <v>32.885101777095457</v>
      </c>
      <c r="CO16" s="187">
        <f>Иль!C47</f>
        <v>641.37527999999998</v>
      </c>
      <c r="CP16" s="187">
        <f>Иль!D47</f>
        <v>0</v>
      </c>
      <c r="CQ16" s="187"/>
      <c r="CR16" s="391">
        <f>Иль!C51</f>
        <v>271.69785999999999</v>
      </c>
      <c r="CS16" s="187">
        <f>Иль!D51</f>
        <v>30.638999999999999</v>
      </c>
      <c r="CT16" s="187">
        <f t="shared" si="9"/>
        <v>11.276864676078052</v>
      </c>
      <c r="CU16" s="187"/>
      <c r="CV16" s="187"/>
      <c r="CW16" s="187"/>
      <c r="CX16" s="195"/>
      <c r="CY16" s="195"/>
      <c r="CZ16" s="187" t="e">
        <f t="shared" si="38"/>
        <v>#DIV/0!</v>
      </c>
      <c r="DA16" s="187"/>
      <c r="DB16" s="187"/>
      <c r="DC16" s="187"/>
      <c r="DD16" s="187"/>
      <c r="DE16" s="187"/>
      <c r="DF16" s="187">
        <v>0</v>
      </c>
      <c r="DG16" s="188">
        <f t="shared" si="39"/>
        <v>9593.1608899999992</v>
      </c>
      <c r="DH16" s="188">
        <f t="shared" si="39"/>
        <v>1509.76953</v>
      </c>
      <c r="DI16" s="187">
        <f t="shared" si="40"/>
        <v>15.737977787632</v>
      </c>
      <c r="DJ16" s="195">
        <f t="shared" si="41"/>
        <v>1256.1510000000001</v>
      </c>
      <c r="DK16" s="195">
        <f t="shared" si="41"/>
        <v>408.29978</v>
      </c>
      <c r="DL16" s="187">
        <f t="shared" si="42"/>
        <v>32.504036537008687</v>
      </c>
      <c r="DM16" s="187">
        <f>Иль!C59</f>
        <v>1247.4000000000001</v>
      </c>
      <c r="DN16" s="187">
        <f>Иль!D59</f>
        <v>404.54878000000002</v>
      </c>
      <c r="DO16" s="187">
        <f t="shared" si="43"/>
        <v>32.431359628026293</v>
      </c>
      <c r="DP16" s="187">
        <f>Иль!C62</f>
        <v>0</v>
      </c>
      <c r="DQ16" s="187">
        <f>Иль!D62</f>
        <v>0</v>
      </c>
      <c r="DR16" s="187" t="e">
        <f t="shared" si="44"/>
        <v>#DIV/0!</v>
      </c>
      <c r="DS16" s="187">
        <f>Иль!C63</f>
        <v>5</v>
      </c>
      <c r="DT16" s="187">
        <f>Иль!D63</f>
        <v>0</v>
      </c>
      <c r="DU16" s="187">
        <f t="shared" si="45"/>
        <v>0</v>
      </c>
      <c r="DV16" s="187">
        <f>Иль!C64</f>
        <v>3.7509999999999999</v>
      </c>
      <c r="DW16" s="187">
        <f>Иль!D64</f>
        <v>3.7509999999999999</v>
      </c>
      <c r="DX16" s="187">
        <f t="shared" si="46"/>
        <v>100</v>
      </c>
      <c r="DY16" s="187">
        <f>Иль!C66</f>
        <v>179.892</v>
      </c>
      <c r="DZ16" s="187">
        <f>Иль!D66</f>
        <v>59.527000000000001</v>
      </c>
      <c r="EA16" s="187">
        <f t="shared" si="47"/>
        <v>33.090409801436422</v>
      </c>
      <c r="EB16" s="187">
        <f>Иль!C67</f>
        <v>6</v>
      </c>
      <c r="EC16" s="187">
        <f>Иль!D67</f>
        <v>0</v>
      </c>
      <c r="ED16" s="187">
        <f t="shared" si="48"/>
        <v>0</v>
      </c>
      <c r="EE16" s="195">
        <f>Иль!C73</f>
        <v>5933.4492899999996</v>
      </c>
      <c r="EF16" s="195">
        <f>Иль!D73</f>
        <v>250</v>
      </c>
      <c r="EG16" s="187">
        <f t="shared" si="49"/>
        <v>4.2134008024866771</v>
      </c>
      <c r="EH16" s="195">
        <f>Иль!C80</f>
        <v>368.5686</v>
      </c>
      <c r="EI16" s="195">
        <f>Иль!D80</f>
        <v>150.49757</v>
      </c>
      <c r="EJ16" s="187">
        <f t="shared" si="50"/>
        <v>40.832987400445944</v>
      </c>
      <c r="EK16" s="195">
        <f>Иль!C84</f>
        <v>1847.1</v>
      </c>
      <c r="EL16" s="197">
        <f>Иль!D84</f>
        <v>641.44518000000005</v>
      </c>
      <c r="EM16" s="187">
        <f t="shared" si="10"/>
        <v>34.72714958583726</v>
      </c>
      <c r="EN16" s="187">
        <f>Иль!C86</f>
        <v>0</v>
      </c>
      <c r="EO16" s="187">
        <f>Иль!D86</f>
        <v>0</v>
      </c>
      <c r="EP16" s="187" t="e">
        <f t="shared" si="11"/>
        <v>#DIV/0!</v>
      </c>
      <c r="EQ16" s="198">
        <f>Иль!C91</f>
        <v>2</v>
      </c>
      <c r="ER16" s="198">
        <f>Иль!D91</f>
        <v>0</v>
      </c>
      <c r="ES16" s="187">
        <f t="shared" si="51"/>
        <v>0</v>
      </c>
      <c r="ET16" s="187">
        <f>Иль!C97</f>
        <v>0</v>
      </c>
      <c r="EU16" s="187">
        <f>Иль!D97</f>
        <v>0</v>
      </c>
      <c r="EV16" s="184" t="e">
        <f t="shared" ref="EV16:EV29" si="52">EU16/ET16*100</f>
        <v>#DIV/0!</v>
      </c>
      <c r="EW16" s="191">
        <f t="shared" si="12"/>
        <v>-513.93217999999797</v>
      </c>
      <c r="EX16" s="191">
        <f t="shared" si="13"/>
        <v>-185.33789999999999</v>
      </c>
      <c r="EY16" s="184">
        <f>EX16/EW16*100</f>
        <v>36.062715512385452</v>
      </c>
      <c r="EZ16" s="192"/>
      <c r="FA16" s="193"/>
      <c r="FC16" s="193"/>
    </row>
    <row r="17" spans="1:170" s="169" customFormat="1" ht="15" customHeight="1">
      <c r="A17" s="181">
        <v>4</v>
      </c>
      <c r="B17" s="194" t="s">
        <v>306</v>
      </c>
      <c r="C17" s="430">
        <f t="shared" si="14"/>
        <v>8679.4805799999995</v>
      </c>
      <c r="D17" s="417">
        <f t="shared" si="0"/>
        <v>1640.7024999999999</v>
      </c>
      <c r="E17" s="187">
        <f t="shared" si="1"/>
        <v>18.903233723232781</v>
      </c>
      <c r="F17" s="185">
        <f t="shared" si="2"/>
        <v>4420.4909999999991</v>
      </c>
      <c r="G17" s="185">
        <f t="shared" si="3"/>
        <v>852.65150000000006</v>
      </c>
      <c r="H17" s="187">
        <f t="shared" si="15"/>
        <v>19.288615223964946</v>
      </c>
      <c r="I17" s="195">
        <f>Кад!C6</f>
        <v>452.03100000000001</v>
      </c>
      <c r="J17" s="188">
        <f>Кад!D6</f>
        <v>130.15568999999999</v>
      </c>
      <c r="K17" s="187">
        <f t="shared" si="16"/>
        <v>28.793531859540604</v>
      </c>
      <c r="L17" s="187">
        <f>Кад!C8</f>
        <v>266.87</v>
      </c>
      <c r="M17" s="187">
        <f>Кад!D8</f>
        <v>124.37385999999999</v>
      </c>
      <c r="N17" s="184">
        <f t="shared" si="17"/>
        <v>46.604661445647686</v>
      </c>
      <c r="O17" s="184">
        <f>Кад!C9</f>
        <v>2.86</v>
      </c>
      <c r="P17" s="184">
        <f>Кад!D9</f>
        <v>0.90786</v>
      </c>
      <c r="Q17" s="184">
        <f t="shared" si="18"/>
        <v>31.743356643356645</v>
      </c>
      <c r="R17" s="184">
        <f>Кад!C10</f>
        <v>445.73</v>
      </c>
      <c r="S17" s="184">
        <f>Кад!D10</f>
        <v>176.79175000000001</v>
      </c>
      <c r="T17" s="184">
        <f t="shared" si="19"/>
        <v>39.66341731541516</v>
      </c>
      <c r="U17" s="184">
        <f>Кад!C11</f>
        <v>0</v>
      </c>
      <c r="V17" s="386">
        <f>Кад!D11</f>
        <v>-25.707730000000002</v>
      </c>
      <c r="W17" s="184" t="e">
        <f t="shared" si="20"/>
        <v>#DIV/0!</v>
      </c>
      <c r="X17" s="195">
        <f>Кад!C13</f>
        <v>50</v>
      </c>
      <c r="Y17" s="195">
        <f>Кад!D13</f>
        <v>21.569400000000002</v>
      </c>
      <c r="Z17" s="187">
        <f t="shared" si="21"/>
        <v>43.138800000000003</v>
      </c>
      <c r="AA17" s="195">
        <f>Кад!C15</f>
        <v>338</v>
      </c>
      <c r="AB17" s="385">
        <f>Кад!D15</f>
        <v>32.70673</v>
      </c>
      <c r="AC17" s="187">
        <f t="shared" si="22"/>
        <v>9.6765473372781052</v>
      </c>
      <c r="AD17" s="195">
        <f>Кад!C16</f>
        <v>2800</v>
      </c>
      <c r="AE17" s="195">
        <f>Кад!D16</f>
        <v>304.01963000000001</v>
      </c>
      <c r="AF17" s="187">
        <f t="shared" si="4"/>
        <v>10.857843928571429</v>
      </c>
      <c r="AG17" s="187">
        <f>Кад!C18</f>
        <v>25</v>
      </c>
      <c r="AH17" s="187">
        <f>Кад!D18</f>
        <v>8.1999999999999993</v>
      </c>
      <c r="AI17" s="187">
        <f t="shared" si="23"/>
        <v>32.799999999999997</v>
      </c>
      <c r="AJ17" s="187"/>
      <c r="AK17" s="187"/>
      <c r="AL17" s="187" t="e">
        <f t="shared" si="5"/>
        <v>#DIV/0!</v>
      </c>
      <c r="AM17" s="195">
        <v>0</v>
      </c>
      <c r="AN17" s="195">
        <v>0</v>
      </c>
      <c r="AO17" s="187" t="e">
        <f t="shared" si="6"/>
        <v>#DIV/0!</v>
      </c>
      <c r="AP17" s="195">
        <f>Кад!C27</f>
        <v>40</v>
      </c>
      <c r="AQ17" s="406">
        <f>Кад!D27</f>
        <v>66.080380000000005</v>
      </c>
      <c r="AR17" s="187">
        <f t="shared" si="24"/>
        <v>165.20095000000001</v>
      </c>
      <c r="AS17" s="188">
        <f>Кад!C28</f>
        <v>0</v>
      </c>
      <c r="AT17" s="384">
        <f>Кад!D28</f>
        <v>0</v>
      </c>
      <c r="AU17" s="187" t="e">
        <f t="shared" si="25"/>
        <v>#DIV/0!</v>
      </c>
      <c r="AV17" s="195"/>
      <c r="AW17" s="195"/>
      <c r="AX17" s="187" t="e">
        <f t="shared" si="26"/>
        <v>#DIV/0!</v>
      </c>
      <c r="AY17" s="187">
        <f>Кад!C30</f>
        <v>0</v>
      </c>
      <c r="AZ17" s="225">
        <f>Кад!D30</f>
        <v>13.553929999999999</v>
      </c>
      <c r="BA17" s="187" t="e">
        <f t="shared" si="27"/>
        <v>#DIV/0!</v>
      </c>
      <c r="BB17" s="187"/>
      <c r="BC17" s="187"/>
      <c r="BD17" s="187"/>
      <c r="BE17" s="187">
        <f>Кад!C33</f>
        <v>0</v>
      </c>
      <c r="BF17" s="187">
        <f>Кад!D33</f>
        <v>0</v>
      </c>
      <c r="BG17" s="187" t="e">
        <f t="shared" si="28"/>
        <v>#DIV/0!</v>
      </c>
      <c r="BH17" s="187"/>
      <c r="BI17" s="187"/>
      <c r="BJ17" s="187" t="e">
        <f t="shared" si="29"/>
        <v>#DIV/0!</v>
      </c>
      <c r="BK17" s="187"/>
      <c r="BL17" s="187"/>
      <c r="BM17" s="187"/>
      <c r="BN17" s="187"/>
      <c r="BO17" s="355">
        <f>Кад!D34</f>
        <v>0</v>
      </c>
      <c r="BP17" s="187" t="e">
        <f t="shared" si="30"/>
        <v>#DIV/0!</v>
      </c>
      <c r="BQ17" s="187">
        <f>Кад!C36</f>
        <v>0</v>
      </c>
      <c r="BR17" s="187">
        <f>Кад!D36</f>
        <v>0</v>
      </c>
      <c r="BS17" s="187" t="e">
        <f t="shared" si="31"/>
        <v>#DIV/0!</v>
      </c>
      <c r="BT17" s="187"/>
      <c r="BU17" s="187"/>
      <c r="BV17" s="196" t="e">
        <f t="shared" si="32"/>
        <v>#DIV/0!</v>
      </c>
      <c r="BW17" s="196"/>
      <c r="BX17" s="196"/>
      <c r="BY17" s="196" t="e">
        <f t="shared" si="33"/>
        <v>#DIV/0!</v>
      </c>
      <c r="BZ17" s="186">
        <f t="shared" si="34"/>
        <v>4258.9895800000004</v>
      </c>
      <c r="CA17" s="186">
        <f t="shared" si="35"/>
        <v>788.05099999999993</v>
      </c>
      <c r="CB17" s="187">
        <f>CA17/BZ17*100</f>
        <v>18.503238507571083</v>
      </c>
      <c r="CC17" s="187">
        <f>Кад!C41</f>
        <v>1101.0999999999999</v>
      </c>
      <c r="CD17" s="187">
        <f>Кад!D41</f>
        <v>367.03199999999998</v>
      </c>
      <c r="CE17" s="187">
        <f t="shared" si="36"/>
        <v>33.333212242303148</v>
      </c>
      <c r="CF17" s="187">
        <f>Кад!C42</f>
        <v>0</v>
      </c>
      <c r="CG17" s="187">
        <f>Кад!D42</f>
        <v>0</v>
      </c>
      <c r="CH17" s="187" t="e">
        <f t="shared" si="37"/>
        <v>#DIV/0!</v>
      </c>
      <c r="CI17" s="184">
        <f>Кад!C43</f>
        <v>2973.0091900000002</v>
      </c>
      <c r="CJ17" s="187">
        <f>Кад!D43</f>
        <v>361.47</v>
      </c>
      <c r="CK17" s="187">
        <f t="shared" si="7"/>
        <v>12.158388249045405</v>
      </c>
      <c r="CL17" s="187">
        <f>Кад!C45</f>
        <v>182.38900000000001</v>
      </c>
      <c r="CM17" s="187">
        <f>Кад!D45</f>
        <v>59.548999999999999</v>
      </c>
      <c r="CN17" s="187">
        <f t="shared" si="8"/>
        <v>32.649447060952141</v>
      </c>
      <c r="CO17" s="187"/>
      <c r="CP17" s="187"/>
      <c r="CQ17" s="187"/>
      <c r="CR17" s="391">
        <f>Кад!C47</f>
        <v>2.49139</v>
      </c>
      <c r="CS17" s="187">
        <f>Кад!D47</f>
        <v>0</v>
      </c>
      <c r="CT17" s="187">
        <f t="shared" si="9"/>
        <v>0</v>
      </c>
      <c r="CU17" s="187"/>
      <c r="CV17" s="187"/>
      <c r="CW17" s="187"/>
      <c r="CX17" s="195"/>
      <c r="CY17" s="195"/>
      <c r="CZ17" s="187" t="e">
        <f t="shared" si="38"/>
        <v>#DIV/0!</v>
      </c>
      <c r="DA17" s="187"/>
      <c r="DB17" s="187"/>
      <c r="DC17" s="187"/>
      <c r="DD17" s="187"/>
      <c r="DE17" s="187"/>
      <c r="DF17" s="187"/>
      <c r="DG17" s="188">
        <f t="shared" si="39"/>
        <v>9585.8661300000003</v>
      </c>
      <c r="DH17" s="188">
        <f t="shared" si="39"/>
        <v>2401.2879499999999</v>
      </c>
      <c r="DI17" s="187">
        <f t="shared" si="40"/>
        <v>25.050297150352545</v>
      </c>
      <c r="DJ17" s="195">
        <f t="shared" si="41"/>
        <v>1642.1209999999999</v>
      </c>
      <c r="DK17" s="195">
        <f t="shared" si="41"/>
        <v>520.90062999999998</v>
      </c>
      <c r="DL17" s="187">
        <f t="shared" si="42"/>
        <v>31.721208729441987</v>
      </c>
      <c r="DM17" s="187">
        <f>Кад!C57</f>
        <v>1582.0709999999999</v>
      </c>
      <c r="DN17" s="187">
        <f>Кад!D57</f>
        <v>465.85063000000002</v>
      </c>
      <c r="DO17" s="187">
        <f t="shared" si="43"/>
        <v>29.445620961385426</v>
      </c>
      <c r="DP17" s="187">
        <f>Кад!C60</f>
        <v>0</v>
      </c>
      <c r="DQ17" s="187">
        <f>Кад!D60</f>
        <v>0</v>
      </c>
      <c r="DR17" s="187" t="e">
        <f t="shared" si="44"/>
        <v>#DIV/0!</v>
      </c>
      <c r="DS17" s="187">
        <f>Кад!C61</f>
        <v>5</v>
      </c>
      <c r="DT17" s="187">
        <f>Кад!D61</f>
        <v>0</v>
      </c>
      <c r="DU17" s="187">
        <f t="shared" si="45"/>
        <v>0</v>
      </c>
      <c r="DV17" s="187">
        <f>Кад!C62</f>
        <v>55.05</v>
      </c>
      <c r="DW17" s="187">
        <f>Кад!D62</f>
        <v>55.05</v>
      </c>
      <c r="DX17" s="187">
        <f t="shared" si="46"/>
        <v>100</v>
      </c>
      <c r="DY17" s="187">
        <f>Кад!C64</f>
        <v>179.892</v>
      </c>
      <c r="DZ17" s="187">
        <f>Кад!D64</f>
        <v>59.5456</v>
      </c>
      <c r="EA17" s="187">
        <f t="shared" si="47"/>
        <v>33.100749338491987</v>
      </c>
      <c r="EB17" s="187">
        <f>Кад!C65</f>
        <v>6</v>
      </c>
      <c r="EC17" s="187">
        <f>Кад!D65</f>
        <v>0.6</v>
      </c>
      <c r="ED17" s="187">
        <f t="shared" si="48"/>
        <v>10</v>
      </c>
      <c r="EE17" s="195">
        <f>Кад!C71</f>
        <v>4631.5961299999999</v>
      </c>
      <c r="EF17" s="195">
        <f>Кад!D71</f>
        <v>757.36041</v>
      </c>
      <c r="EG17" s="187">
        <f t="shared" si="49"/>
        <v>16.352039097156773</v>
      </c>
      <c r="EH17" s="195">
        <f>Кад!C76</f>
        <v>833.45699999999999</v>
      </c>
      <c r="EI17" s="195">
        <f>Кад!D76</f>
        <v>495.88130999999998</v>
      </c>
      <c r="EJ17" s="187">
        <f t="shared" si="50"/>
        <v>59.496927855906179</v>
      </c>
      <c r="EK17" s="195">
        <f>Кад!C80</f>
        <v>2291.8000000000002</v>
      </c>
      <c r="EL17" s="197">
        <f>Кад!D80</f>
        <v>567</v>
      </c>
      <c r="EM17" s="187">
        <f t="shared" si="10"/>
        <v>24.740378741600484</v>
      </c>
      <c r="EN17" s="187">
        <f>Кад!C82</f>
        <v>0</v>
      </c>
      <c r="EO17" s="187">
        <f>Кад!D82</f>
        <v>0</v>
      </c>
      <c r="EP17" s="187" t="e">
        <f t="shared" si="11"/>
        <v>#DIV/0!</v>
      </c>
      <c r="EQ17" s="198">
        <f>Кад!C87</f>
        <v>1</v>
      </c>
      <c r="ER17" s="198">
        <f>Кад!D87</f>
        <v>0</v>
      </c>
      <c r="ES17" s="187">
        <f t="shared" si="51"/>
        <v>0</v>
      </c>
      <c r="ET17" s="187">
        <f>Кад!C93</f>
        <v>0</v>
      </c>
      <c r="EU17" s="187">
        <f>Кад!D93</f>
        <v>0</v>
      </c>
      <c r="EV17" s="184" t="e">
        <f t="shared" si="52"/>
        <v>#DIV/0!</v>
      </c>
      <c r="EW17" s="191">
        <f t="shared" si="12"/>
        <v>-906.38555000000088</v>
      </c>
      <c r="EX17" s="191">
        <f t="shared" si="13"/>
        <v>-760.58545000000004</v>
      </c>
      <c r="EY17" s="184">
        <f>EX17/EW17*100</f>
        <v>83.914119107481284</v>
      </c>
      <c r="EZ17" s="192"/>
      <c r="FA17" s="193"/>
      <c r="FC17" s="193"/>
    </row>
    <row r="18" spans="1:170" s="232" customFormat="1" ht="15" customHeight="1">
      <c r="A18" s="223">
        <v>5</v>
      </c>
      <c r="B18" s="224" t="s">
        <v>307</v>
      </c>
      <c r="C18" s="431">
        <f t="shared" si="14"/>
        <v>18510.652040000001</v>
      </c>
      <c r="D18" s="418">
        <f t="shared" si="0"/>
        <v>3583.95082</v>
      </c>
      <c r="E18" s="225">
        <f t="shared" si="1"/>
        <v>19.361559021558918</v>
      </c>
      <c r="F18" s="226">
        <f t="shared" si="2"/>
        <v>4744.2569999999996</v>
      </c>
      <c r="G18" s="226">
        <f t="shared" si="3"/>
        <v>1195.20706</v>
      </c>
      <c r="H18" s="225">
        <f t="shared" si="15"/>
        <v>25.192713210941147</v>
      </c>
      <c r="I18" s="290">
        <f>Мор!C6</f>
        <v>1755.837</v>
      </c>
      <c r="J18" s="290">
        <f>Мор!D6</f>
        <v>561.63734999999997</v>
      </c>
      <c r="K18" s="225">
        <f t="shared" si="16"/>
        <v>31.986872927270582</v>
      </c>
      <c r="L18" s="225">
        <f>Мор!C8</f>
        <v>131.83000000000001</v>
      </c>
      <c r="M18" s="225">
        <f>Мор!D8</f>
        <v>61.4377</v>
      </c>
      <c r="N18" s="225">
        <f t="shared" si="17"/>
        <v>46.603732079192895</v>
      </c>
      <c r="O18" s="225">
        <f>Мор!C9</f>
        <v>1.41</v>
      </c>
      <c r="P18" s="225">
        <f>Мор!D9</f>
        <v>0.44846000000000003</v>
      </c>
      <c r="Q18" s="225">
        <f t="shared" si="18"/>
        <v>31.80567375886525</v>
      </c>
      <c r="R18" s="225">
        <f>Мор!C10</f>
        <v>220.18</v>
      </c>
      <c r="S18" s="225">
        <f>Мор!D10</f>
        <v>87.330860000000001</v>
      </c>
      <c r="T18" s="225">
        <f t="shared" si="19"/>
        <v>39.66339358706513</v>
      </c>
      <c r="U18" s="225">
        <f>Мор!C11</f>
        <v>0</v>
      </c>
      <c r="V18" s="387">
        <f>Мор!D11</f>
        <v>-12.699</v>
      </c>
      <c r="W18" s="225" t="e">
        <f t="shared" si="20"/>
        <v>#DIV/0!</v>
      </c>
      <c r="X18" s="188">
        <f>Мор!C13</f>
        <v>75</v>
      </c>
      <c r="Y18" s="188">
        <f>Мор!D13</f>
        <v>67.296539999999993</v>
      </c>
      <c r="Z18" s="225">
        <f t="shared" si="21"/>
        <v>89.728719999999996</v>
      </c>
      <c r="AA18" s="188">
        <f>Мор!C15</f>
        <v>900</v>
      </c>
      <c r="AB18" s="385">
        <f>Мор!D15</f>
        <v>72.668279999999996</v>
      </c>
      <c r="AC18" s="225">
        <f t="shared" si="22"/>
        <v>8.0742533333333331</v>
      </c>
      <c r="AD18" s="188">
        <f>Мор!C16</f>
        <v>1660</v>
      </c>
      <c r="AE18" s="188">
        <f>Мор!D16</f>
        <v>357.08686999999998</v>
      </c>
      <c r="AF18" s="225">
        <f t="shared" si="4"/>
        <v>21.51125722891566</v>
      </c>
      <c r="AG18" s="225">
        <f>Мор!C18</f>
        <v>0</v>
      </c>
      <c r="AH18" s="225">
        <f>Мор!D18</f>
        <v>0</v>
      </c>
      <c r="AI18" s="225" t="e">
        <f t="shared" si="23"/>
        <v>#DIV/0!</v>
      </c>
      <c r="AJ18" s="225">
        <f>Мор!C22</f>
        <v>0</v>
      </c>
      <c r="AK18" s="225">
        <f>Мор!D22</f>
        <v>0</v>
      </c>
      <c r="AL18" s="225" t="e">
        <f t="shared" si="5"/>
        <v>#DIV/0!</v>
      </c>
      <c r="AM18" s="188">
        <v>0</v>
      </c>
      <c r="AN18" s="188"/>
      <c r="AO18" s="225" t="e">
        <f t="shared" si="6"/>
        <v>#DIV/0!</v>
      </c>
      <c r="AP18" s="188">
        <f>Мор!C27</f>
        <v>0</v>
      </c>
      <c r="AQ18" s="406">
        <f>Мор!D27</f>
        <v>0</v>
      </c>
      <c r="AR18" s="225" t="e">
        <f t="shared" si="24"/>
        <v>#DIV/0!</v>
      </c>
      <c r="AS18" s="188">
        <f>Мор!C28</f>
        <v>0</v>
      </c>
      <c r="AT18" s="385">
        <f>Мор!D28</f>
        <v>0</v>
      </c>
      <c r="AU18" s="225" t="e">
        <f t="shared" si="25"/>
        <v>#DIV/0!</v>
      </c>
      <c r="AV18" s="188"/>
      <c r="AW18" s="188"/>
      <c r="AX18" s="225" t="e">
        <f t="shared" si="26"/>
        <v>#DIV/0!</v>
      </c>
      <c r="AY18" s="225">
        <f>Мор!C29</f>
        <v>0</v>
      </c>
      <c r="AZ18" s="225">
        <f>Мор!D29</f>
        <v>0</v>
      </c>
      <c r="BA18" s="225" t="e">
        <f t="shared" si="27"/>
        <v>#DIV/0!</v>
      </c>
      <c r="BB18" s="225"/>
      <c r="BC18" s="225"/>
      <c r="BD18" s="225"/>
      <c r="BE18" s="225">
        <f>Мор!C33</f>
        <v>0</v>
      </c>
      <c r="BF18" s="225">
        <f>Мор!D33</f>
        <v>0</v>
      </c>
      <c r="BG18" s="225" t="e">
        <f>Мор!E33</f>
        <v>#DIV/0!</v>
      </c>
      <c r="BH18" s="225">
        <f>Мор!F33</f>
        <v>0</v>
      </c>
      <c r="BI18" s="225">
        <f>Мор!G33</f>
        <v>0</v>
      </c>
      <c r="BJ18" s="225">
        <f>Мор!H33</f>
        <v>0</v>
      </c>
      <c r="BK18" s="225">
        <f>Мор!I33</f>
        <v>0</v>
      </c>
      <c r="BL18" s="225">
        <f>Мор!J33</f>
        <v>0</v>
      </c>
      <c r="BM18" s="225">
        <f>Мор!K33</f>
        <v>0</v>
      </c>
      <c r="BN18" s="225">
        <f>Мор!C35</f>
        <v>0</v>
      </c>
      <c r="BO18" s="356">
        <f>Мор!D34</f>
        <v>0</v>
      </c>
      <c r="BP18" s="225" t="e">
        <f t="shared" si="30"/>
        <v>#DIV/0!</v>
      </c>
      <c r="BQ18" s="225">
        <f>Мор!C36</f>
        <v>0</v>
      </c>
      <c r="BR18" s="225">
        <f>Мор!D36</f>
        <v>0</v>
      </c>
      <c r="BS18" s="225" t="e">
        <f t="shared" si="31"/>
        <v>#DIV/0!</v>
      </c>
      <c r="BT18" s="225"/>
      <c r="BU18" s="225"/>
      <c r="BV18" s="227" t="e">
        <f t="shared" si="32"/>
        <v>#DIV/0!</v>
      </c>
      <c r="BW18" s="227"/>
      <c r="BX18" s="227"/>
      <c r="BY18" s="227" t="e">
        <f t="shared" si="33"/>
        <v>#DIV/0!</v>
      </c>
      <c r="BZ18" s="188">
        <f t="shared" si="34"/>
        <v>13766.395040000001</v>
      </c>
      <c r="CA18" s="186">
        <f t="shared" si="35"/>
        <v>2388.7437600000003</v>
      </c>
      <c r="CB18" s="225">
        <f t="shared" ref="CB18:CB31" si="53">CA18/BZ18*100</f>
        <v>17.35199195620352</v>
      </c>
      <c r="CC18" s="225">
        <f>Мор!C41</f>
        <v>4687.5</v>
      </c>
      <c r="CD18" s="225">
        <f>Мор!D41</f>
        <v>1562.5</v>
      </c>
      <c r="CE18" s="225">
        <f t="shared" si="36"/>
        <v>33.333333333333329</v>
      </c>
      <c r="CF18" s="225">
        <f>Мор!C42</f>
        <v>0</v>
      </c>
      <c r="CG18" s="225">
        <f>Мор!D42</f>
        <v>0</v>
      </c>
      <c r="CH18" s="225" t="e">
        <f t="shared" si="37"/>
        <v>#DIV/0!</v>
      </c>
      <c r="CI18" s="225">
        <f>Мор!C43</f>
        <v>8600.4907500000008</v>
      </c>
      <c r="CJ18" s="225">
        <f>Мор!D43</f>
        <v>380.34399999999999</v>
      </c>
      <c r="CK18" s="225">
        <f t="shared" si="7"/>
        <v>4.4223522942571609</v>
      </c>
      <c r="CL18" s="225">
        <f>Мор!C45</f>
        <v>9.2170000000000005</v>
      </c>
      <c r="CM18" s="225">
        <f>Мор!D45</f>
        <v>1.1948000000000001</v>
      </c>
      <c r="CN18" s="225">
        <f t="shared" si="8"/>
        <v>12.963003146359986</v>
      </c>
      <c r="CO18" s="225">
        <f>Мор!C46</f>
        <v>0</v>
      </c>
      <c r="CP18" s="225">
        <f>Мор!D46</f>
        <v>0</v>
      </c>
      <c r="CQ18" s="225" t="e">
        <f>CP18/CO18*100</f>
        <v>#DIV/0!</v>
      </c>
      <c r="CR18" s="387">
        <f>Мор!C48</f>
        <v>469.18729000000002</v>
      </c>
      <c r="CS18" s="225">
        <f>Мор!D48</f>
        <v>444.70496000000003</v>
      </c>
      <c r="CT18" s="225">
        <f t="shared" si="9"/>
        <v>94.781970756283712</v>
      </c>
      <c r="CU18" s="225"/>
      <c r="CV18" s="225"/>
      <c r="CW18" s="225"/>
      <c r="CX18" s="188"/>
      <c r="CY18" s="188"/>
      <c r="CZ18" s="225" t="e">
        <f t="shared" si="38"/>
        <v>#DIV/0!</v>
      </c>
      <c r="DA18" s="225"/>
      <c r="DB18" s="225"/>
      <c r="DC18" s="225"/>
      <c r="DD18" s="225"/>
      <c r="DE18" s="225"/>
      <c r="DF18" s="225"/>
      <c r="DG18" s="188">
        <f t="shared" si="39"/>
        <v>19065.462599999999</v>
      </c>
      <c r="DH18" s="188">
        <f t="shared" si="39"/>
        <v>3515.04844</v>
      </c>
      <c r="DI18" s="225">
        <f t="shared" si="40"/>
        <v>18.436733027395832</v>
      </c>
      <c r="DJ18" s="188">
        <f t="shared" si="41"/>
        <v>1884.018</v>
      </c>
      <c r="DK18" s="188">
        <f t="shared" si="41"/>
        <v>746.06948999999997</v>
      </c>
      <c r="DL18" s="225">
        <f t="shared" si="42"/>
        <v>39.599913058155494</v>
      </c>
      <c r="DM18" s="225">
        <f>Мор!C58</f>
        <v>1705.1</v>
      </c>
      <c r="DN18" s="225">
        <f>Мор!D58</f>
        <v>606.14341999999999</v>
      </c>
      <c r="DO18" s="225">
        <f t="shared" si="43"/>
        <v>35.548848747874032</v>
      </c>
      <c r="DP18" s="225">
        <f>Мор!C61</f>
        <v>0</v>
      </c>
      <c r="DQ18" s="225">
        <f>Мор!D61</f>
        <v>0</v>
      </c>
      <c r="DR18" s="225" t="e">
        <f t="shared" si="44"/>
        <v>#DIV/0!</v>
      </c>
      <c r="DS18" s="225">
        <f>Мор!C62</f>
        <v>5</v>
      </c>
      <c r="DT18" s="225">
        <f>Мор!D62</f>
        <v>0</v>
      </c>
      <c r="DU18" s="225">
        <f t="shared" si="45"/>
        <v>0</v>
      </c>
      <c r="DV18" s="225">
        <f>Мор!C63</f>
        <v>173.91800000000001</v>
      </c>
      <c r="DW18" s="225">
        <f>Мор!D63</f>
        <v>139.92607000000001</v>
      </c>
      <c r="DX18" s="225">
        <f t="shared" si="46"/>
        <v>80.455197276877612</v>
      </c>
      <c r="DY18" s="225">
        <f>Мор!C64</f>
        <v>0</v>
      </c>
      <c r="DZ18" s="225">
        <f>Мор!D64</f>
        <v>0</v>
      </c>
      <c r="EA18" s="225" t="e">
        <f t="shared" si="47"/>
        <v>#DIV/0!</v>
      </c>
      <c r="EB18" s="225">
        <f>Мор!C66</f>
        <v>6</v>
      </c>
      <c r="EC18" s="225">
        <f>Мор!D66</f>
        <v>0</v>
      </c>
      <c r="ED18" s="225">
        <f t="shared" si="48"/>
        <v>0</v>
      </c>
      <c r="EE18" s="188">
        <f>Мор!C72</f>
        <v>3403.7777000000001</v>
      </c>
      <c r="EF18" s="188">
        <f>Мор!D72</f>
        <v>642.39035000000001</v>
      </c>
      <c r="EG18" s="225">
        <f t="shared" si="49"/>
        <v>18.872864405921693</v>
      </c>
      <c r="EH18" s="188">
        <f>Мор!C77</f>
        <v>10031.6669</v>
      </c>
      <c r="EI18" s="188">
        <f>Мор!D77</f>
        <v>881.58860000000004</v>
      </c>
      <c r="EJ18" s="225">
        <f t="shared" si="50"/>
        <v>8.7880569479435167</v>
      </c>
      <c r="EK18" s="188">
        <f>Мор!C81</f>
        <v>3735</v>
      </c>
      <c r="EL18" s="228">
        <f>Мор!D81</f>
        <v>1245</v>
      </c>
      <c r="EM18" s="225">
        <f t="shared" si="10"/>
        <v>33.333333333333329</v>
      </c>
      <c r="EN18" s="225">
        <f>Мор!C84</f>
        <v>0</v>
      </c>
      <c r="EO18" s="225">
        <f>Мор!D84</f>
        <v>0</v>
      </c>
      <c r="EP18" s="225" t="e">
        <f t="shared" si="11"/>
        <v>#DIV/0!</v>
      </c>
      <c r="EQ18" s="226">
        <f>Мор!C89</f>
        <v>5</v>
      </c>
      <c r="ER18" s="226">
        <f>Мор!D89</f>
        <v>0</v>
      </c>
      <c r="ES18" s="225">
        <f t="shared" si="51"/>
        <v>0</v>
      </c>
      <c r="ET18" s="225">
        <f>Мор!C95</f>
        <v>0</v>
      </c>
      <c r="EU18" s="225">
        <f>Мор!D95</f>
        <v>0</v>
      </c>
      <c r="EV18" s="225" t="e">
        <f t="shared" si="52"/>
        <v>#DIV/0!</v>
      </c>
      <c r="EW18" s="229">
        <f t="shared" si="12"/>
        <v>-554.81055999999808</v>
      </c>
      <c r="EX18" s="229">
        <f t="shared" si="13"/>
        <v>68.902379999999994</v>
      </c>
      <c r="EY18" s="225">
        <f t="shared" ref="EY18:EY30" si="54">EX18/EW18*100</f>
        <v>-12.41908228999827</v>
      </c>
      <c r="EZ18" s="230"/>
      <c r="FA18" s="231"/>
      <c r="FC18" s="231"/>
    </row>
    <row r="19" spans="1:170" s="395" customFormat="1" ht="15" customHeight="1">
      <c r="A19" s="390">
        <v>6</v>
      </c>
      <c r="B19" s="194" t="s">
        <v>308</v>
      </c>
      <c r="C19" s="430">
        <f t="shared" si="14"/>
        <v>10569.22371</v>
      </c>
      <c r="D19" s="417">
        <f t="shared" si="0"/>
        <v>2289.3731600000001</v>
      </c>
      <c r="E19" s="187">
        <f t="shared" si="1"/>
        <v>21.660750333384705</v>
      </c>
      <c r="F19" s="198">
        <f t="shared" si="2"/>
        <v>4741.1550000000007</v>
      </c>
      <c r="G19" s="198">
        <f t="shared" si="3"/>
        <v>1165.9276900000002</v>
      </c>
      <c r="H19" s="187">
        <f t="shared" si="15"/>
        <v>24.591638324416731</v>
      </c>
      <c r="I19" s="195">
        <f>Мос!C6</f>
        <v>1300.26</v>
      </c>
      <c r="J19" s="188">
        <f>Мос!D6</f>
        <v>471.82778000000002</v>
      </c>
      <c r="K19" s="187">
        <f t="shared" si="16"/>
        <v>36.287187177949029</v>
      </c>
      <c r="L19" s="187">
        <f>Мос!C8</f>
        <v>248.38</v>
      </c>
      <c r="M19" s="187">
        <f>Мос!D8</f>
        <v>115.75762</v>
      </c>
      <c r="N19" s="187">
        <f t="shared" si="17"/>
        <v>46.605048715677597</v>
      </c>
      <c r="O19" s="187">
        <f>Мос!C9</f>
        <v>2.665</v>
      </c>
      <c r="P19" s="187">
        <f>Мос!D9</f>
        <v>0.84497</v>
      </c>
      <c r="Q19" s="187">
        <f t="shared" si="18"/>
        <v>31.706191369606003</v>
      </c>
      <c r="R19" s="187">
        <f>Мос!C10</f>
        <v>414.85</v>
      </c>
      <c r="S19" s="187">
        <f>Мос!D10</f>
        <v>164.54411999999999</v>
      </c>
      <c r="T19" s="187">
        <f t="shared" si="19"/>
        <v>39.663521754851146</v>
      </c>
      <c r="U19" s="187">
        <f>Мос!C11</f>
        <v>0</v>
      </c>
      <c r="V19" s="391">
        <f>Мос!D11</f>
        <v>-23.9268</v>
      </c>
      <c r="W19" s="187" t="e">
        <f t="shared" si="20"/>
        <v>#DIV/0!</v>
      </c>
      <c r="X19" s="195">
        <f>Мос!C13</f>
        <v>30</v>
      </c>
      <c r="Y19" s="195">
        <f>Мос!D13</f>
        <v>27.633299999999998</v>
      </c>
      <c r="Z19" s="187">
        <f t="shared" si="21"/>
        <v>92.111000000000004</v>
      </c>
      <c r="AA19" s="195">
        <f>Мос!C15</f>
        <v>495</v>
      </c>
      <c r="AB19" s="385">
        <f>Мос!D15</f>
        <v>10.32643</v>
      </c>
      <c r="AC19" s="187">
        <f t="shared" si="22"/>
        <v>2.0861474747474746</v>
      </c>
      <c r="AD19" s="195">
        <f>Мос!C16</f>
        <v>2240</v>
      </c>
      <c r="AE19" s="195">
        <f>Мос!D16</f>
        <v>378.00630999999998</v>
      </c>
      <c r="AF19" s="187">
        <f t="shared" si="4"/>
        <v>16.875281696428569</v>
      </c>
      <c r="AG19" s="187">
        <f>Мос!C18</f>
        <v>10</v>
      </c>
      <c r="AH19" s="187">
        <f>Мос!D18</f>
        <v>3.4</v>
      </c>
      <c r="AI19" s="187">
        <f t="shared" si="23"/>
        <v>34</v>
      </c>
      <c r="AJ19" s="187"/>
      <c r="AK19" s="187"/>
      <c r="AL19" s="187" t="e">
        <f t="shared" si="5"/>
        <v>#DIV/0!</v>
      </c>
      <c r="AM19" s="195">
        <f>Мос!C27</f>
        <v>0</v>
      </c>
      <c r="AN19" s="195">
        <f>Мос!D27</f>
        <v>0</v>
      </c>
      <c r="AO19" s="187" t="e">
        <f t="shared" si="6"/>
        <v>#DIV/0!</v>
      </c>
      <c r="AP19" s="195">
        <v>0</v>
      </c>
      <c r="AQ19" s="406">
        <f>Мос!D27</f>
        <v>0</v>
      </c>
      <c r="AR19" s="187" t="e">
        <f t="shared" si="24"/>
        <v>#DIV/0!</v>
      </c>
      <c r="AS19" s="195">
        <f>Мос!C26</f>
        <v>0</v>
      </c>
      <c r="AT19" s="384">
        <f>Мос!D28</f>
        <v>0</v>
      </c>
      <c r="AU19" s="187" t="e">
        <f t="shared" si="25"/>
        <v>#DIV/0!</v>
      </c>
      <c r="AV19" s="195"/>
      <c r="AW19" s="195"/>
      <c r="AX19" s="187" t="e">
        <f t="shared" si="26"/>
        <v>#DIV/0!</v>
      </c>
      <c r="AY19" s="187">
        <f>Мос!C30</f>
        <v>0</v>
      </c>
      <c r="AZ19" s="225">
        <f>Мос!D30</f>
        <v>0</v>
      </c>
      <c r="BA19" s="187" t="e">
        <f t="shared" si="27"/>
        <v>#DIV/0!</v>
      </c>
      <c r="BB19" s="187"/>
      <c r="BC19" s="187"/>
      <c r="BD19" s="187"/>
      <c r="BE19" s="187">
        <f>Мос!C33</f>
        <v>0</v>
      </c>
      <c r="BF19" s="187">
        <f>Мос!D33</f>
        <v>0</v>
      </c>
      <c r="BG19" s="187" t="e">
        <f t="shared" si="28"/>
        <v>#DIV/0!</v>
      </c>
      <c r="BH19" s="187"/>
      <c r="BI19" s="187"/>
      <c r="BJ19" s="187" t="e">
        <f t="shared" si="29"/>
        <v>#DIV/0!</v>
      </c>
      <c r="BK19" s="187"/>
      <c r="BL19" s="187"/>
      <c r="BM19" s="187"/>
      <c r="BN19" s="187"/>
      <c r="BO19" s="355">
        <f>Мос!D35</f>
        <v>17.513960000000001</v>
      </c>
      <c r="BP19" s="187" t="e">
        <f t="shared" si="30"/>
        <v>#DIV/0!</v>
      </c>
      <c r="BQ19" s="187">
        <f>Мос!C36</f>
        <v>0</v>
      </c>
      <c r="BR19" s="187">
        <f>Мос!D36</f>
        <v>0</v>
      </c>
      <c r="BS19" s="187" t="e">
        <f t="shared" si="31"/>
        <v>#DIV/0!</v>
      </c>
      <c r="BT19" s="187"/>
      <c r="BU19" s="187"/>
      <c r="BV19" s="196" t="e">
        <f t="shared" si="32"/>
        <v>#DIV/0!</v>
      </c>
      <c r="BW19" s="196"/>
      <c r="BX19" s="196"/>
      <c r="BY19" s="196" t="e">
        <f t="shared" si="33"/>
        <v>#DIV/0!</v>
      </c>
      <c r="BZ19" s="195">
        <f t="shared" si="34"/>
        <v>5828.0687099999996</v>
      </c>
      <c r="CA19" s="195">
        <f t="shared" si="35"/>
        <v>1123.4454700000001</v>
      </c>
      <c r="CB19" s="187">
        <f t="shared" si="53"/>
        <v>19.276462339442809</v>
      </c>
      <c r="CC19" s="187">
        <f>Мос!C41</f>
        <v>0</v>
      </c>
      <c r="CD19" s="187">
        <f>Мос!D41</f>
        <v>0</v>
      </c>
      <c r="CE19" s="187" t="e">
        <f>CD19/CC19*100</f>
        <v>#DIV/0!</v>
      </c>
      <c r="CF19" s="187">
        <f>Мос!C42</f>
        <v>0</v>
      </c>
      <c r="CG19" s="187">
        <f>Мос!D42</f>
        <v>0</v>
      </c>
      <c r="CH19" s="187" t="e">
        <f t="shared" si="37"/>
        <v>#DIV/0!</v>
      </c>
      <c r="CI19" s="187">
        <f>Мос!C43</f>
        <v>4758.9176399999997</v>
      </c>
      <c r="CJ19" s="187">
        <f>Мос!D43</f>
        <v>175.83</v>
      </c>
      <c r="CK19" s="187">
        <f t="shared" si="7"/>
        <v>3.6947476989746777</v>
      </c>
      <c r="CL19" s="187">
        <f>Мос!C45</f>
        <v>181.68199999999999</v>
      </c>
      <c r="CM19" s="187">
        <f>Мос!D45</f>
        <v>60.1464</v>
      </c>
      <c r="CN19" s="187">
        <f t="shared" si="8"/>
        <v>33.105315881595317</v>
      </c>
      <c r="CO19" s="187">
        <f>Мос!C48</f>
        <v>0</v>
      </c>
      <c r="CP19" s="187">
        <f>Мос!D46</f>
        <v>0</v>
      </c>
      <c r="CQ19" s="187" t="e">
        <f>CP19/CO19*100</f>
        <v>#DIV/0!</v>
      </c>
      <c r="CR19" s="391">
        <f>Мос!C51</f>
        <v>887.46906999999999</v>
      </c>
      <c r="CS19" s="187">
        <f>Мос!D51</f>
        <v>887.46906999999999</v>
      </c>
      <c r="CT19" s="187">
        <f t="shared" si="9"/>
        <v>100</v>
      </c>
      <c r="CU19" s="187"/>
      <c r="CV19" s="187"/>
      <c r="CW19" s="187"/>
      <c r="CX19" s="195"/>
      <c r="CY19" s="195"/>
      <c r="CZ19" s="187" t="e">
        <f t="shared" si="38"/>
        <v>#DIV/0!</v>
      </c>
      <c r="DA19" s="187"/>
      <c r="DB19" s="187"/>
      <c r="DC19" s="187"/>
      <c r="DD19" s="187"/>
      <c r="DE19" s="187"/>
      <c r="DF19" s="187"/>
      <c r="DG19" s="188">
        <f t="shared" si="39"/>
        <v>11354.41934</v>
      </c>
      <c r="DH19" s="188">
        <f t="shared" si="39"/>
        <v>1321.4793400000003</v>
      </c>
      <c r="DI19" s="187">
        <f t="shared" si="40"/>
        <v>11.63845812303776</v>
      </c>
      <c r="DJ19" s="195">
        <f t="shared" si="41"/>
        <v>2124.7999999999997</v>
      </c>
      <c r="DK19" s="195">
        <f t="shared" si="41"/>
        <v>588.76473999999996</v>
      </c>
      <c r="DL19" s="187">
        <f t="shared" si="42"/>
        <v>27.709183923192771</v>
      </c>
      <c r="DM19" s="187">
        <f>Мос!C59</f>
        <v>2115.3229999999999</v>
      </c>
      <c r="DN19" s="187">
        <f>Мос!D59</f>
        <v>588.76473999999996</v>
      </c>
      <c r="DO19" s="187">
        <f t="shared" si="43"/>
        <v>27.833325690686483</v>
      </c>
      <c r="DP19" s="187">
        <f>Мос!C62</f>
        <v>0</v>
      </c>
      <c r="DQ19" s="187">
        <f>Мос!D62</f>
        <v>0</v>
      </c>
      <c r="DR19" s="187" t="e">
        <f t="shared" si="44"/>
        <v>#DIV/0!</v>
      </c>
      <c r="DS19" s="187">
        <f>Мос!C63</f>
        <v>5</v>
      </c>
      <c r="DT19" s="187">
        <f>Мос!D63</f>
        <v>0</v>
      </c>
      <c r="DU19" s="187">
        <f t="shared" si="45"/>
        <v>0</v>
      </c>
      <c r="DV19" s="187">
        <f>Мос!C64</f>
        <v>4.4770000000000003</v>
      </c>
      <c r="DW19" s="187">
        <f>Мос!D64</f>
        <v>0</v>
      </c>
      <c r="DX19" s="187">
        <f t="shared" si="46"/>
        <v>0</v>
      </c>
      <c r="DY19" s="187">
        <f>Мос!C66</f>
        <v>179.892</v>
      </c>
      <c r="DZ19" s="187">
        <f>Мос!D66</f>
        <v>54.289560000000002</v>
      </c>
      <c r="EA19" s="187">
        <f t="shared" si="47"/>
        <v>30.178974051097327</v>
      </c>
      <c r="EB19" s="187">
        <f>Мос!C67</f>
        <v>9</v>
      </c>
      <c r="EC19" s="187">
        <f>Мос!D67</f>
        <v>0.6</v>
      </c>
      <c r="ED19" s="187">
        <f t="shared" si="48"/>
        <v>6.666666666666667</v>
      </c>
      <c r="EE19" s="195">
        <f>Мос!C73</f>
        <v>6768.4988400000002</v>
      </c>
      <c r="EF19" s="195">
        <f>Мос!D73</f>
        <v>290.17392000000001</v>
      </c>
      <c r="EG19" s="187">
        <f t="shared" si="49"/>
        <v>4.287123730968978</v>
      </c>
      <c r="EH19" s="195">
        <f>Мос!C78</f>
        <v>830.52850000000001</v>
      </c>
      <c r="EI19" s="195">
        <f>Мос!D78</f>
        <v>142.36712</v>
      </c>
      <c r="EJ19" s="187">
        <f t="shared" si="50"/>
        <v>17.141750102494978</v>
      </c>
      <c r="EK19" s="195">
        <f>Мос!C83</f>
        <v>1411.7</v>
      </c>
      <c r="EL19" s="197">
        <f>Мос!D83</f>
        <v>235.28399999999999</v>
      </c>
      <c r="EM19" s="187">
        <f t="shared" si="10"/>
        <v>16.666713891053337</v>
      </c>
      <c r="EN19" s="187">
        <f>Мос!C91</f>
        <v>0</v>
      </c>
      <c r="EO19" s="187">
        <f>Мос!D91</f>
        <v>0</v>
      </c>
      <c r="EP19" s="187" t="e">
        <f t="shared" si="11"/>
        <v>#DIV/0!</v>
      </c>
      <c r="EQ19" s="198">
        <f>Мос!C93</f>
        <v>30</v>
      </c>
      <c r="ER19" s="198">
        <f>Мос!D93</f>
        <v>10</v>
      </c>
      <c r="ES19" s="187">
        <f t="shared" si="51"/>
        <v>33.333333333333329</v>
      </c>
      <c r="ET19" s="187">
        <f>Мос!C99</f>
        <v>0</v>
      </c>
      <c r="EU19" s="187">
        <f>Мос!D99</f>
        <v>0</v>
      </c>
      <c r="EV19" s="187" t="e">
        <f t="shared" si="52"/>
        <v>#DIV/0!</v>
      </c>
      <c r="EW19" s="392">
        <f t="shared" si="12"/>
        <v>-785.19563000000016</v>
      </c>
      <c r="EX19" s="392">
        <f t="shared" si="13"/>
        <v>967.89381999999978</v>
      </c>
      <c r="EY19" s="187">
        <f t="shared" si="54"/>
        <v>-123.26785619018277</v>
      </c>
      <c r="EZ19" s="393"/>
      <c r="FA19" s="394"/>
      <c r="FC19" s="394"/>
    </row>
    <row r="20" spans="1:170" s="169" customFormat="1" ht="15" customHeight="1">
      <c r="A20" s="181">
        <v>7</v>
      </c>
      <c r="B20" s="194" t="s">
        <v>309</v>
      </c>
      <c r="C20" s="429">
        <f t="shared" si="14"/>
        <v>5644.6009999999997</v>
      </c>
      <c r="D20" s="417">
        <f t="shared" si="0"/>
        <v>1209.91328</v>
      </c>
      <c r="E20" s="187">
        <f t="shared" si="1"/>
        <v>21.434876973589454</v>
      </c>
      <c r="F20" s="185">
        <f t="shared" si="2"/>
        <v>2674.6179999999999</v>
      </c>
      <c r="G20" s="185">
        <f t="shared" si="3"/>
        <v>398.90727999999996</v>
      </c>
      <c r="H20" s="187">
        <f t="shared" si="15"/>
        <v>14.914551535957656</v>
      </c>
      <c r="I20" s="289">
        <f>Ори!C6</f>
        <v>244.083</v>
      </c>
      <c r="J20" s="290">
        <f>Ори!D6</f>
        <v>57.582340000000002</v>
      </c>
      <c r="K20" s="187">
        <f t="shared" si="16"/>
        <v>23.591294764485852</v>
      </c>
      <c r="L20" s="187">
        <f>Ори!C8</f>
        <v>158.35</v>
      </c>
      <c r="M20" s="187">
        <f>Ори!D8</f>
        <v>73.800160000000005</v>
      </c>
      <c r="N20" s="184">
        <f t="shared" si="17"/>
        <v>46.605721502999693</v>
      </c>
      <c r="O20" s="184">
        <f>Ори!C9</f>
        <v>1.6950000000000001</v>
      </c>
      <c r="P20" s="184">
        <f>Ори!D9</f>
        <v>0.53868000000000005</v>
      </c>
      <c r="Q20" s="184">
        <f t="shared" si="18"/>
        <v>31.780530973451327</v>
      </c>
      <c r="R20" s="184">
        <f>Ори!C10</f>
        <v>264.49</v>
      </c>
      <c r="S20" s="184">
        <f>Ори!D10</f>
        <v>104.90354000000001</v>
      </c>
      <c r="T20" s="184">
        <f t="shared" si="19"/>
        <v>39.662573254187308</v>
      </c>
      <c r="U20" s="184">
        <f>Ори!C11</f>
        <v>0</v>
      </c>
      <c r="V20" s="386">
        <f>Ори!D11</f>
        <v>-15.25427</v>
      </c>
      <c r="W20" s="184" t="e">
        <f t="shared" si="20"/>
        <v>#DIV/0!</v>
      </c>
      <c r="X20" s="195">
        <f>Ори!C13</f>
        <v>40</v>
      </c>
      <c r="Y20" s="195">
        <f>Ори!D13</f>
        <v>9.3778500000000005</v>
      </c>
      <c r="Z20" s="187">
        <f t="shared" si="21"/>
        <v>23.444625000000002</v>
      </c>
      <c r="AA20" s="195">
        <f>Ори!C15</f>
        <v>326</v>
      </c>
      <c r="AB20" s="385">
        <f>Ори!D15</f>
        <v>43.477440000000001</v>
      </c>
      <c r="AC20" s="187">
        <f t="shared" si="22"/>
        <v>13.336638036809816</v>
      </c>
      <c r="AD20" s="195">
        <f>Ори!C16</f>
        <v>1550</v>
      </c>
      <c r="AE20" s="195">
        <f>Ори!D16</f>
        <v>97.247489999999999</v>
      </c>
      <c r="AF20" s="187">
        <f t="shared" si="4"/>
        <v>6.2740316129032259</v>
      </c>
      <c r="AG20" s="187">
        <f>Ори!C18</f>
        <v>10</v>
      </c>
      <c r="AH20" s="187">
        <f>Ори!D18</f>
        <v>1.1399999999999999</v>
      </c>
      <c r="AI20" s="187">
        <f t="shared" si="23"/>
        <v>11.399999999999999</v>
      </c>
      <c r="AJ20" s="187"/>
      <c r="AK20" s="187"/>
      <c r="AL20" s="187" t="e">
        <f t="shared" si="5"/>
        <v>#DIV/0!</v>
      </c>
      <c r="AM20" s="195">
        <v>0</v>
      </c>
      <c r="AN20" s="195">
        <v>0</v>
      </c>
      <c r="AO20" s="187" t="e">
        <f t="shared" si="6"/>
        <v>#DIV/0!</v>
      </c>
      <c r="AP20" s="195">
        <f>Ори!C27</f>
        <v>50</v>
      </c>
      <c r="AQ20" s="406">
        <f>Ори!D27</f>
        <v>4.6500000000000004</v>
      </c>
      <c r="AR20" s="187">
        <f t="shared" si="24"/>
        <v>9.3000000000000007</v>
      </c>
      <c r="AS20" s="188">
        <f>Ори!C28</f>
        <v>30</v>
      </c>
      <c r="AT20" s="384">
        <f>Ори!D28</f>
        <v>13.5</v>
      </c>
      <c r="AU20" s="187">
        <f t="shared" si="25"/>
        <v>45</v>
      </c>
      <c r="AV20" s="195"/>
      <c r="AW20" s="195"/>
      <c r="AX20" s="187" t="e">
        <f t="shared" si="26"/>
        <v>#DIV/0!</v>
      </c>
      <c r="AY20" s="187">
        <f>Ори!C30</f>
        <v>0</v>
      </c>
      <c r="AZ20" s="225">
        <f>Ори!D30</f>
        <v>12.594049999999999</v>
      </c>
      <c r="BA20" s="187" t="e">
        <f t="shared" si="27"/>
        <v>#DIV/0!</v>
      </c>
      <c r="BB20" s="187"/>
      <c r="BC20" s="187"/>
      <c r="BD20" s="187"/>
      <c r="BE20" s="187">
        <f>Ори!C33</f>
        <v>0</v>
      </c>
      <c r="BF20" s="187">
        <f>Ори!D33</f>
        <v>0</v>
      </c>
      <c r="BG20" s="187" t="e">
        <f t="shared" si="28"/>
        <v>#DIV/0!</v>
      </c>
      <c r="BH20" s="187"/>
      <c r="BI20" s="187"/>
      <c r="BJ20" s="187" t="e">
        <f t="shared" si="29"/>
        <v>#DIV/0!</v>
      </c>
      <c r="BK20" s="187"/>
      <c r="BL20" s="187"/>
      <c r="BM20" s="187"/>
      <c r="BN20" s="187"/>
      <c r="BO20" s="355">
        <f>Ори!D34</f>
        <v>0</v>
      </c>
      <c r="BP20" s="187" t="e">
        <f t="shared" si="30"/>
        <v>#DIV/0!</v>
      </c>
      <c r="BQ20" s="187">
        <f>Ори!C36</f>
        <v>0</v>
      </c>
      <c r="BR20" s="187">
        <f>Ори!D36</f>
        <v>-4.6500000000000004</v>
      </c>
      <c r="BS20" s="187" t="e">
        <f t="shared" si="31"/>
        <v>#DIV/0!</v>
      </c>
      <c r="BT20" s="187"/>
      <c r="BU20" s="187"/>
      <c r="BV20" s="196" t="e">
        <f t="shared" si="32"/>
        <v>#DIV/0!</v>
      </c>
      <c r="BW20" s="196"/>
      <c r="BX20" s="196"/>
      <c r="BY20" s="196" t="e">
        <f t="shared" si="33"/>
        <v>#DIV/0!</v>
      </c>
      <c r="BZ20" s="186">
        <f t="shared" si="34"/>
        <v>2969.9829999999997</v>
      </c>
      <c r="CA20" s="186">
        <f t="shared" si="35"/>
        <v>811.00599999999997</v>
      </c>
      <c r="CB20" s="187">
        <f t="shared" si="53"/>
        <v>27.306755627894169</v>
      </c>
      <c r="CC20" s="187">
        <f>Ори!C41</f>
        <v>1462.5</v>
      </c>
      <c r="CD20" s="187">
        <f>Ори!D41</f>
        <v>487.5</v>
      </c>
      <c r="CE20" s="187">
        <f t="shared" si="36"/>
        <v>33.333333333333329</v>
      </c>
      <c r="CF20" s="187">
        <f>Ори!C42</f>
        <v>200</v>
      </c>
      <c r="CG20" s="187">
        <f>Ори!D42</f>
        <v>0</v>
      </c>
      <c r="CH20" s="187">
        <f t="shared" si="37"/>
        <v>0</v>
      </c>
      <c r="CI20" s="187">
        <f>Ори!C43</f>
        <v>1125.08</v>
      </c>
      <c r="CJ20" s="187">
        <f>Ори!D43</f>
        <v>263.95699999999999</v>
      </c>
      <c r="CK20" s="187">
        <f t="shared" si="7"/>
        <v>23.461176094144417</v>
      </c>
      <c r="CL20" s="187">
        <f>Ори!C45</f>
        <v>182.40299999999999</v>
      </c>
      <c r="CM20" s="187">
        <f>Ори!D45</f>
        <v>59.548999999999999</v>
      </c>
      <c r="CN20" s="187">
        <f t="shared" si="8"/>
        <v>32.646941113907118</v>
      </c>
      <c r="CO20" s="187">
        <f>Ори!C46</f>
        <v>0</v>
      </c>
      <c r="CP20" s="187">
        <f>Ори!D46</f>
        <v>0</v>
      </c>
      <c r="CQ20" s="187" t="e">
        <f>CP20/CO20*100</f>
        <v>#DIV/0!</v>
      </c>
      <c r="CR20" s="391">
        <f>Ори!C47</f>
        <v>0</v>
      </c>
      <c r="CS20" s="187">
        <f>Ори!D47</f>
        <v>0</v>
      </c>
      <c r="CT20" s="187" t="e">
        <f t="shared" si="9"/>
        <v>#DIV/0!</v>
      </c>
      <c r="CU20" s="187"/>
      <c r="CV20" s="187"/>
      <c r="CW20" s="187"/>
      <c r="CX20" s="195"/>
      <c r="CY20" s="195"/>
      <c r="CZ20" s="187" t="e">
        <f t="shared" si="38"/>
        <v>#DIV/0!</v>
      </c>
      <c r="DA20" s="187"/>
      <c r="DB20" s="187"/>
      <c r="DC20" s="187"/>
      <c r="DD20" s="187"/>
      <c r="DE20" s="187"/>
      <c r="DF20" s="187"/>
      <c r="DG20" s="188">
        <f t="shared" si="39"/>
        <v>6004.4174800000001</v>
      </c>
      <c r="DH20" s="188">
        <f t="shared" si="39"/>
        <v>1467.5791300000001</v>
      </c>
      <c r="DI20" s="187">
        <f t="shared" si="40"/>
        <v>24.441657078115096</v>
      </c>
      <c r="DJ20" s="195">
        <f t="shared" si="41"/>
        <v>1204.2350000000001</v>
      </c>
      <c r="DK20" s="195">
        <f t="shared" si="41"/>
        <v>387.34233999999998</v>
      </c>
      <c r="DL20" s="187">
        <f t="shared" si="42"/>
        <v>32.165012642881159</v>
      </c>
      <c r="DM20" s="187">
        <f>Ори!C58</f>
        <v>1195.0350000000001</v>
      </c>
      <c r="DN20" s="187">
        <f>Ори!D58</f>
        <v>383.30784</v>
      </c>
      <c r="DO20" s="187">
        <f t="shared" si="43"/>
        <v>32.075030438439036</v>
      </c>
      <c r="DP20" s="187">
        <f>Ори!C61</f>
        <v>0</v>
      </c>
      <c r="DQ20" s="187">
        <f>Ори!D61</f>
        <v>0</v>
      </c>
      <c r="DR20" s="187" t="e">
        <f t="shared" si="44"/>
        <v>#DIV/0!</v>
      </c>
      <c r="DS20" s="187">
        <f>Ори!C62</f>
        <v>5</v>
      </c>
      <c r="DT20" s="187">
        <f>Ори!D62</f>
        <v>0</v>
      </c>
      <c r="DU20" s="187">
        <f t="shared" si="45"/>
        <v>0</v>
      </c>
      <c r="DV20" s="187">
        <f>Ори!C63</f>
        <v>4.2</v>
      </c>
      <c r="DW20" s="187">
        <f>Ори!D63</f>
        <v>4.0345000000000004</v>
      </c>
      <c r="DX20" s="187">
        <f t="shared" si="46"/>
        <v>96.05952380952381</v>
      </c>
      <c r="DY20" s="187">
        <f>Ори!C65</f>
        <v>179.892</v>
      </c>
      <c r="DZ20" s="187">
        <f>Ори!D65</f>
        <v>58.756</v>
      </c>
      <c r="EA20" s="187">
        <f t="shared" si="47"/>
        <v>32.661819313810511</v>
      </c>
      <c r="EB20" s="187">
        <f>Ори!C66</f>
        <v>10</v>
      </c>
      <c r="EC20" s="187">
        <f>Ори!D66</f>
        <v>2.95</v>
      </c>
      <c r="ED20" s="187">
        <f t="shared" si="48"/>
        <v>29.500000000000004</v>
      </c>
      <c r="EE20" s="195">
        <f>Ори!C72</f>
        <v>1918.6814800000002</v>
      </c>
      <c r="EF20" s="195">
        <f>Ори!D72</f>
        <v>346.86745000000002</v>
      </c>
      <c r="EG20" s="187">
        <f t="shared" si="49"/>
        <v>18.078428004631597</v>
      </c>
      <c r="EH20" s="195">
        <f>Ори!C77</f>
        <v>1090.509</v>
      </c>
      <c r="EI20" s="195">
        <f>Ори!D77</f>
        <v>169.16134</v>
      </c>
      <c r="EJ20" s="187">
        <f t="shared" si="50"/>
        <v>15.512145245935614</v>
      </c>
      <c r="EK20" s="195">
        <f>Ори!C82</f>
        <v>1599.1</v>
      </c>
      <c r="EL20" s="197">
        <f>Ори!D82</f>
        <v>502.50200000000001</v>
      </c>
      <c r="EM20" s="187">
        <f t="shared" si="10"/>
        <v>31.424051028703648</v>
      </c>
      <c r="EN20" s="187">
        <f>Ори!C84</f>
        <v>0</v>
      </c>
      <c r="EO20" s="187">
        <f>Ори!D84</f>
        <v>0</v>
      </c>
      <c r="EP20" s="187" t="e">
        <f t="shared" si="11"/>
        <v>#DIV/0!</v>
      </c>
      <c r="EQ20" s="198">
        <f>Ори!C89</f>
        <v>2</v>
      </c>
      <c r="ER20" s="198">
        <f>Ори!D89</f>
        <v>0</v>
      </c>
      <c r="ES20" s="187">
        <f t="shared" si="51"/>
        <v>0</v>
      </c>
      <c r="ET20" s="187">
        <f>Ори!C95</f>
        <v>0</v>
      </c>
      <c r="EU20" s="187">
        <f>Ори!D95</f>
        <v>0</v>
      </c>
      <c r="EV20" s="184" t="e">
        <f t="shared" si="52"/>
        <v>#DIV/0!</v>
      </c>
      <c r="EW20" s="191">
        <f t="shared" si="12"/>
        <v>-359.81648000000041</v>
      </c>
      <c r="EX20" s="191">
        <f t="shared" si="13"/>
        <v>-257.66585000000009</v>
      </c>
      <c r="EY20" s="184">
        <f t="shared" si="54"/>
        <v>71.610352588630676</v>
      </c>
      <c r="EZ20" s="192"/>
      <c r="FA20" s="193"/>
      <c r="FC20" s="193"/>
      <c r="FF20" s="200"/>
      <c r="FG20" s="200"/>
      <c r="FH20" s="200"/>
      <c r="FI20" s="200"/>
      <c r="FJ20" s="200"/>
      <c r="FK20" s="200"/>
      <c r="FL20" s="200"/>
      <c r="FM20" s="200"/>
      <c r="FN20" s="200"/>
    </row>
    <row r="21" spans="1:170" s="169" customFormat="1" ht="15" customHeight="1">
      <c r="A21" s="181">
        <v>8</v>
      </c>
      <c r="B21" s="194" t="s">
        <v>310</v>
      </c>
      <c r="C21" s="429">
        <f t="shared" si="14"/>
        <v>7246.5149999999994</v>
      </c>
      <c r="D21" s="417">
        <f t="shared" si="0"/>
        <v>2178.00693</v>
      </c>
      <c r="E21" s="187">
        <f t="shared" si="1"/>
        <v>30.055922467558542</v>
      </c>
      <c r="F21" s="185">
        <f t="shared" si="2"/>
        <v>1917.2080000000001</v>
      </c>
      <c r="G21" s="185">
        <f t="shared" si="3"/>
        <v>542.37252999999998</v>
      </c>
      <c r="H21" s="187">
        <f t="shared" si="15"/>
        <v>28.289707220082533</v>
      </c>
      <c r="I21" s="195">
        <f>Сят!C6</f>
        <v>111.54300000000001</v>
      </c>
      <c r="J21" s="188">
        <f>Сят!D6</f>
        <v>48.75544</v>
      </c>
      <c r="K21" s="187">
        <f t="shared" si="16"/>
        <v>43.709995248469198</v>
      </c>
      <c r="L21" s="187">
        <f>Сят!C8</f>
        <v>195.33</v>
      </c>
      <c r="M21" s="187">
        <f>Сят!D8</f>
        <v>91.032669999999996</v>
      </c>
      <c r="N21" s="184">
        <f t="shared" si="17"/>
        <v>46.60455127220601</v>
      </c>
      <c r="O21" s="184">
        <f>Сят!C9</f>
        <v>2.0950000000000002</v>
      </c>
      <c r="P21" s="184">
        <f>Сят!D9</f>
        <v>0.66449999999999998</v>
      </c>
      <c r="Q21" s="184">
        <f t="shared" si="18"/>
        <v>31.718377088305484</v>
      </c>
      <c r="R21" s="184">
        <f>Сят!C10</f>
        <v>326.24</v>
      </c>
      <c r="S21" s="184">
        <f>Сят!D10</f>
        <v>129.39876000000001</v>
      </c>
      <c r="T21" s="184">
        <f t="shared" si="19"/>
        <v>39.663670917116235</v>
      </c>
      <c r="U21" s="184">
        <f>Сят!C11</f>
        <v>0</v>
      </c>
      <c r="V21" s="386">
        <f>Сят!D11</f>
        <v>-18.816210000000002</v>
      </c>
      <c r="W21" s="184" t="e">
        <f t="shared" si="20"/>
        <v>#DIV/0!</v>
      </c>
      <c r="X21" s="195">
        <f>Сят!C13</f>
        <v>45</v>
      </c>
      <c r="Y21" s="195">
        <f>Сят!D13</f>
        <v>98.752200000000002</v>
      </c>
      <c r="Z21" s="187">
        <f t="shared" si="21"/>
        <v>219.44933333333333</v>
      </c>
      <c r="AA21" s="195">
        <f>Сят!C15</f>
        <v>138</v>
      </c>
      <c r="AB21" s="385">
        <f>Сят!D15</f>
        <v>6.3902000000000001</v>
      </c>
      <c r="AC21" s="187">
        <f t="shared" si="22"/>
        <v>4.6305797101449278</v>
      </c>
      <c r="AD21" s="195">
        <f>Сят!C16</f>
        <v>1000</v>
      </c>
      <c r="AE21" s="195">
        <f>Сят!D16</f>
        <v>160.35204999999999</v>
      </c>
      <c r="AF21" s="187">
        <f t="shared" si="4"/>
        <v>16.035205000000001</v>
      </c>
      <c r="AG21" s="187">
        <f>Сят!C18</f>
        <v>10</v>
      </c>
      <c r="AH21" s="187">
        <f>Сят!D18</f>
        <v>2.5750000000000002</v>
      </c>
      <c r="AI21" s="187">
        <f t="shared" si="23"/>
        <v>25.75</v>
      </c>
      <c r="AJ21" s="187">
        <f>Сят!C22</f>
        <v>0</v>
      </c>
      <c r="AK21" s="187">
        <f>Сят!D20</f>
        <v>0</v>
      </c>
      <c r="AL21" s="187" t="e">
        <f t="shared" si="5"/>
        <v>#DIV/0!</v>
      </c>
      <c r="AM21" s="195">
        <v>0</v>
      </c>
      <c r="AN21" s="195">
        <v>0</v>
      </c>
      <c r="AO21" s="187" t="e">
        <f t="shared" si="6"/>
        <v>#DIV/0!</v>
      </c>
      <c r="AP21" s="195">
        <f>Сят!C27</f>
        <v>83</v>
      </c>
      <c r="AQ21" s="406">
        <f>Сят!D27</f>
        <v>21.01</v>
      </c>
      <c r="AR21" s="187">
        <f t="shared" si="24"/>
        <v>25.313253012048193</v>
      </c>
      <c r="AS21" s="188">
        <f>Сят!C28</f>
        <v>6</v>
      </c>
      <c r="AT21" s="384">
        <f>Сят!D28</f>
        <v>2.2579199999999999</v>
      </c>
      <c r="AU21" s="187">
        <f t="shared" si="25"/>
        <v>37.631999999999998</v>
      </c>
      <c r="AV21" s="195"/>
      <c r="AW21" s="195"/>
      <c r="AX21" s="187" t="e">
        <f t="shared" si="26"/>
        <v>#DIV/0!</v>
      </c>
      <c r="AY21" s="187">
        <f>Сят!C30</f>
        <v>0</v>
      </c>
      <c r="AZ21" s="225">
        <f>Сят!D30</f>
        <v>0</v>
      </c>
      <c r="BA21" s="187" t="e">
        <f t="shared" si="27"/>
        <v>#DIV/0!</v>
      </c>
      <c r="BB21" s="187"/>
      <c r="BC21" s="187"/>
      <c r="BD21" s="187"/>
      <c r="BE21" s="187">
        <f>Сят!C33</f>
        <v>0</v>
      </c>
      <c r="BF21" s="187">
        <f>Сят!D33</f>
        <v>0</v>
      </c>
      <c r="BG21" s="187" t="e">
        <f t="shared" si="28"/>
        <v>#DIV/0!</v>
      </c>
      <c r="BH21" s="187"/>
      <c r="BI21" s="187"/>
      <c r="BJ21" s="187" t="e">
        <f t="shared" si="29"/>
        <v>#DIV/0!</v>
      </c>
      <c r="BK21" s="187"/>
      <c r="BL21" s="187"/>
      <c r="BM21" s="187"/>
      <c r="BN21" s="187">
        <f>Сят!C34</f>
        <v>0</v>
      </c>
      <c r="BO21" s="355">
        <f>Сят!D34</f>
        <v>0</v>
      </c>
      <c r="BP21" s="187" t="e">
        <f t="shared" si="30"/>
        <v>#DIV/0!</v>
      </c>
      <c r="BQ21" s="187">
        <f>Сят!C36</f>
        <v>0</v>
      </c>
      <c r="BR21" s="187">
        <f>Сят!D36</f>
        <v>0</v>
      </c>
      <c r="BS21" s="187" t="e">
        <f t="shared" si="31"/>
        <v>#DIV/0!</v>
      </c>
      <c r="BT21" s="187"/>
      <c r="BU21" s="187"/>
      <c r="BV21" s="196" t="e">
        <f t="shared" si="32"/>
        <v>#DIV/0!</v>
      </c>
      <c r="BW21" s="196"/>
      <c r="BX21" s="196"/>
      <c r="BY21" s="196" t="e">
        <f t="shared" si="33"/>
        <v>#DIV/0!</v>
      </c>
      <c r="BZ21" s="186">
        <f t="shared" si="34"/>
        <v>5329.3069999999998</v>
      </c>
      <c r="CA21" s="186">
        <f t="shared" si="35"/>
        <v>1635.6344000000001</v>
      </c>
      <c r="CB21" s="187">
        <f t="shared" si="53"/>
        <v>30.691315024636417</v>
      </c>
      <c r="CC21" s="187">
        <f>Сят!C41</f>
        <v>2862</v>
      </c>
      <c r="CD21" s="187">
        <f>Сят!D41</f>
        <v>954</v>
      </c>
      <c r="CE21" s="187">
        <f t="shared" si="36"/>
        <v>33.333333333333329</v>
      </c>
      <c r="CF21" s="187">
        <f>Сят!C42</f>
        <v>0</v>
      </c>
      <c r="CG21" s="187">
        <f>Сят!D42</f>
        <v>0</v>
      </c>
      <c r="CH21" s="187" t="e">
        <f t="shared" si="37"/>
        <v>#DIV/0!</v>
      </c>
      <c r="CI21" s="187">
        <f>Сят!C43</f>
        <v>2060.44</v>
      </c>
      <c r="CJ21" s="187">
        <f>Сят!D43</f>
        <v>396.66399999999999</v>
      </c>
      <c r="CK21" s="187">
        <f t="shared" si="7"/>
        <v>19.251422026363301</v>
      </c>
      <c r="CL21" s="187">
        <f>Сят!C44</f>
        <v>182.04300000000001</v>
      </c>
      <c r="CM21" s="187">
        <f>Сят!D44</f>
        <v>60.1464</v>
      </c>
      <c r="CN21" s="187">
        <f t="shared" si="8"/>
        <v>33.039666452431568</v>
      </c>
      <c r="CO21" s="187">
        <f>Сят!C48</f>
        <v>0</v>
      </c>
      <c r="CP21" s="187">
        <f>Сят!D48</f>
        <v>0</v>
      </c>
      <c r="CQ21" s="187" t="e">
        <f>CP21/CO21*100</f>
        <v>#DIV/0!</v>
      </c>
      <c r="CR21" s="391">
        <f>Сят!C49</f>
        <v>224.82400000000001</v>
      </c>
      <c r="CS21" s="187">
        <f>Сят!D49</f>
        <v>224.82400000000001</v>
      </c>
      <c r="CT21" s="187">
        <f t="shared" si="9"/>
        <v>100</v>
      </c>
      <c r="CU21" s="187"/>
      <c r="CV21" s="187">
        <f>Сят!D50</f>
        <v>0</v>
      </c>
      <c r="CW21" s="187"/>
      <c r="CX21" s="195"/>
      <c r="CY21" s="195"/>
      <c r="CZ21" s="187" t="e">
        <f t="shared" si="38"/>
        <v>#DIV/0!</v>
      </c>
      <c r="DA21" s="187"/>
      <c r="DB21" s="187"/>
      <c r="DC21" s="187"/>
      <c r="DD21" s="187"/>
      <c r="DE21" s="187"/>
      <c r="DF21" s="187"/>
      <c r="DG21" s="188">
        <f t="shared" si="39"/>
        <v>7535.0388499999999</v>
      </c>
      <c r="DH21" s="188">
        <f t="shared" si="39"/>
        <v>1752.8626999999999</v>
      </c>
      <c r="DI21" s="187">
        <f t="shared" si="40"/>
        <v>23.262822327717657</v>
      </c>
      <c r="DJ21" s="195">
        <f t="shared" si="41"/>
        <v>1357.5060000000001</v>
      </c>
      <c r="DK21" s="195">
        <f>Сят!D56</f>
        <v>436.32247000000001</v>
      </c>
      <c r="DL21" s="187">
        <f t="shared" si="42"/>
        <v>32.141476354432321</v>
      </c>
      <c r="DM21" s="187">
        <f>Сят!C58</f>
        <v>1348</v>
      </c>
      <c r="DN21" s="187">
        <f>Сят!D58</f>
        <v>431.81697000000003</v>
      </c>
      <c r="DO21" s="187">
        <f t="shared" si="43"/>
        <v>32.03389985163205</v>
      </c>
      <c r="DP21" s="187">
        <f>Сят!C61</f>
        <v>0</v>
      </c>
      <c r="DQ21" s="187">
        <f>Сят!D61</f>
        <v>0</v>
      </c>
      <c r="DR21" s="187" t="e">
        <f t="shared" si="44"/>
        <v>#DIV/0!</v>
      </c>
      <c r="DS21" s="187">
        <f>Сят!C62</f>
        <v>5</v>
      </c>
      <c r="DT21" s="187">
        <f>Сят!D62</f>
        <v>0</v>
      </c>
      <c r="DU21" s="187">
        <f t="shared" si="45"/>
        <v>0</v>
      </c>
      <c r="DV21" s="187">
        <f>Сят!C63</f>
        <v>4.5060000000000002</v>
      </c>
      <c r="DW21" s="187">
        <f>Сят!D63</f>
        <v>4.5054999999999996</v>
      </c>
      <c r="DX21" s="187">
        <f t="shared" si="46"/>
        <v>99.988903683976901</v>
      </c>
      <c r="DY21" s="187">
        <f>Сят!C65</f>
        <v>179.892</v>
      </c>
      <c r="DZ21" s="187">
        <f>Сят!D65</f>
        <v>59.827770000000001</v>
      </c>
      <c r="EA21" s="187">
        <f t="shared" si="47"/>
        <v>33.25760456273764</v>
      </c>
      <c r="EB21" s="187">
        <f>Сят!C66</f>
        <v>6</v>
      </c>
      <c r="EC21" s="187">
        <f>Сят!D66</f>
        <v>0</v>
      </c>
      <c r="ED21" s="187">
        <f t="shared" si="48"/>
        <v>0</v>
      </c>
      <c r="EE21" s="195">
        <f>Сят!C72</f>
        <v>3450.3148500000002</v>
      </c>
      <c r="EF21" s="195">
        <f>Сят!D72</f>
        <v>507.84730999999999</v>
      </c>
      <c r="EG21" s="187">
        <f t="shared" si="49"/>
        <v>14.718868627308026</v>
      </c>
      <c r="EH21" s="195">
        <f>Сят!C77</f>
        <v>492.63799999999998</v>
      </c>
      <c r="EI21" s="195">
        <f>Сят!D77</f>
        <v>21.85</v>
      </c>
      <c r="EJ21" s="187">
        <f t="shared" si="50"/>
        <v>4.4353054372581902</v>
      </c>
      <c r="EK21" s="195">
        <f>Сят!C81</f>
        <v>2028.6880000000001</v>
      </c>
      <c r="EL21" s="197">
        <f>Сят!D81</f>
        <v>725.41615000000002</v>
      </c>
      <c r="EM21" s="187">
        <f t="shared" si="10"/>
        <v>35.757896236385292</v>
      </c>
      <c r="EN21" s="187">
        <f>Сят!C83</f>
        <v>0</v>
      </c>
      <c r="EO21" s="187">
        <f>Сят!D83</f>
        <v>0</v>
      </c>
      <c r="EP21" s="187" t="e">
        <f t="shared" si="11"/>
        <v>#DIV/0!</v>
      </c>
      <c r="EQ21" s="198">
        <f>Сят!C88</f>
        <v>20</v>
      </c>
      <c r="ER21" s="198">
        <f>Сят!D88</f>
        <v>1.599</v>
      </c>
      <c r="ES21" s="187">
        <f t="shared" si="51"/>
        <v>7.9949999999999992</v>
      </c>
      <c r="ET21" s="187">
        <f>Сят!C94</f>
        <v>0</v>
      </c>
      <c r="EU21" s="187">
        <f>Сят!D94</f>
        <v>0</v>
      </c>
      <c r="EV21" s="184" t="e">
        <f t="shared" si="52"/>
        <v>#DIV/0!</v>
      </c>
      <c r="EW21" s="191">
        <f t="shared" si="12"/>
        <v>-288.52385000000049</v>
      </c>
      <c r="EX21" s="191">
        <f t="shared" si="13"/>
        <v>425.14423000000011</v>
      </c>
      <c r="EY21" s="184">
        <f t="shared" si="54"/>
        <v>-147.35150317729344</v>
      </c>
      <c r="EZ21" s="192"/>
      <c r="FA21" s="193"/>
      <c r="FB21" s="200"/>
      <c r="FC21" s="193"/>
      <c r="FD21" s="200"/>
      <c r="FE21" s="200"/>
      <c r="FF21" s="200"/>
      <c r="FG21" s="200"/>
      <c r="FH21" s="200"/>
      <c r="FI21" s="200"/>
      <c r="FJ21" s="200"/>
      <c r="FK21" s="200"/>
      <c r="FL21" s="200"/>
      <c r="FM21" s="200"/>
      <c r="FN21" s="200"/>
    </row>
    <row r="22" spans="1:170" s="232" customFormat="1" ht="15" customHeight="1">
      <c r="A22" s="223">
        <v>9</v>
      </c>
      <c r="B22" s="224" t="s">
        <v>311</v>
      </c>
      <c r="C22" s="431">
        <f>F22+BZ22</f>
        <v>7662.29943</v>
      </c>
      <c r="D22" s="418">
        <f t="shared" si="0"/>
        <v>1471.50758</v>
      </c>
      <c r="E22" s="225">
        <f t="shared" si="1"/>
        <v>19.204516783025273</v>
      </c>
      <c r="F22" s="226">
        <f>I22+X22+AA22+AD22+AG22+AM22+AS22+BE22+BQ22+BN22+AJ22+AY22+L22+R22+O22+U22+AP22</f>
        <v>1839.3039999999999</v>
      </c>
      <c r="G22" s="226">
        <f t="shared" si="3"/>
        <v>524.31658000000004</v>
      </c>
      <c r="H22" s="225">
        <f t="shared" si="15"/>
        <v>28.506249102921544</v>
      </c>
      <c r="I22" s="188">
        <f>Тор!C6</f>
        <v>105.069</v>
      </c>
      <c r="J22" s="188">
        <f>Тор!D6</f>
        <v>33.860190000000003</v>
      </c>
      <c r="K22" s="225">
        <f t="shared" si="16"/>
        <v>32.226622505210862</v>
      </c>
      <c r="L22" s="225">
        <f>Тор!C8</f>
        <v>270.89</v>
      </c>
      <c r="M22" s="225">
        <f>Тор!D8</f>
        <v>126.24697</v>
      </c>
      <c r="N22" s="225">
        <f t="shared" si="17"/>
        <v>46.604514747683567</v>
      </c>
      <c r="O22" s="225">
        <f>Тор!C9</f>
        <v>2.9049999999999998</v>
      </c>
      <c r="P22" s="225">
        <f>Тор!D9</f>
        <v>0.92152999999999996</v>
      </c>
      <c r="Q22" s="225">
        <f t="shared" si="18"/>
        <v>31.722203098106718</v>
      </c>
      <c r="R22" s="225">
        <f>Тор!C10</f>
        <v>452.44</v>
      </c>
      <c r="S22" s="225">
        <f>Тор!D10</f>
        <v>179.45428000000001</v>
      </c>
      <c r="T22" s="225">
        <f t="shared" si="19"/>
        <v>39.66366369021307</v>
      </c>
      <c r="U22" s="225">
        <f>Тор!C11</f>
        <v>0</v>
      </c>
      <c r="V22" s="387">
        <f>Тор!D11</f>
        <v>-26.094909999999999</v>
      </c>
      <c r="W22" s="225" t="e">
        <f t="shared" si="20"/>
        <v>#DIV/0!</v>
      </c>
      <c r="X22" s="188">
        <f>Тор!C13</f>
        <v>25</v>
      </c>
      <c r="Y22" s="188">
        <f>Тор!D13</f>
        <v>52.619700000000002</v>
      </c>
      <c r="Z22" s="225">
        <f t="shared" si="21"/>
        <v>210.47880000000001</v>
      </c>
      <c r="AA22" s="188">
        <f>Тор!C15</f>
        <v>153</v>
      </c>
      <c r="AB22" s="385">
        <f>Тор!D15</f>
        <v>6.4527599999999996</v>
      </c>
      <c r="AC22" s="225">
        <f t="shared" si="22"/>
        <v>4.2174901960784315</v>
      </c>
      <c r="AD22" s="188">
        <f>Тор!C16</f>
        <v>470</v>
      </c>
      <c r="AE22" s="188">
        <f>Тор!D16</f>
        <v>-93.734639999999999</v>
      </c>
      <c r="AF22" s="225">
        <f t="shared" si="4"/>
        <v>-19.943540425531914</v>
      </c>
      <c r="AG22" s="225">
        <f>Тор!C18</f>
        <v>10</v>
      </c>
      <c r="AH22" s="225">
        <f>Тор!D18</f>
        <v>3.9</v>
      </c>
      <c r="AI22" s="225">
        <f t="shared" si="23"/>
        <v>39</v>
      </c>
      <c r="AJ22" s="225"/>
      <c r="AK22" s="225">
        <f>Тор!D20</f>
        <v>0</v>
      </c>
      <c r="AL22" s="225" t="e">
        <f t="shared" si="5"/>
        <v>#DIV/0!</v>
      </c>
      <c r="AM22" s="188">
        <v>0</v>
      </c>
      <c r="AN22" s="188">
        <v>0</v>
      </c>
      <c r="AO22" s="225" t="e">
        <f t="shared" si="6"/>
        <v>#DIV/0!</v>
      </c>
      <c r="AP22" s="188">
        <f>Тор!C27</f>
        <v>300</v>
      </c>
      <c r="AQ22" s="407">
        <f>Тор!D27</f>
        <v>203.77209999999999</v>
      </c>
      <c r="AR22" s="225">
        <f t="shared" si="24"/>
        <v>67.924033333333327</v>
      </c>
      <c r="AS22" s="188">
        <f>Тор!C28</f>
        <v>50</v>
      </c>
      <c r="AT22" s="385">
        <f>Тор!D28</f>
        <v>19.80311</v>
      </c>
      <c r="AU22" s="225">
        <f t="shared" si="25"/>
        <v>39.60622</v>
      </c>
      <c r="AV22" s="188"/>
      <c r="AW22" s="188"/>
      <c r="AX22" s="225" t="e">
        <f t="shared" si="26"/>
        <v>#DIV/0!</v>
      </c>
      <c r="AY22" s="225">
        <f>Тор!C29</f>
        <v>0</v>
      </c>
      <c r="AZ22" s="225">
        <f>Тор!D29</f>
        <v>17.115490000000001</v>
      </c>
      <c r="BA22" s="225" t="e">
        <f t="shared" si="27"/>
        <v>#DIV/0!</v>
      </c>
      <c r="BB22" s="225"/>
      <c r="BC22" s="225"/>
      <c r="BD22" s="225"/>
      <c r="BE22" s="225">
        <f>Тор!C34+Тор!C33</f>
        <v>0</v>
      </c>
      <c r="BF22" s="225">
        <f>Тор!D32</f>
        <v>0</v>
      </c>
      <c r="BG22" s="225" t="e">
        <f t="shared" si="28"/>
        <v>#DIV/0!</v>
      </c>
      <c r="BH22" s="225"/>
      <c r="BI22" s="225"/>
      <c r="BJ22" s="225" t="e">
        <f t="shared" si="29"/>
        <v>#DIV/0!</v>
      </c>
      <c r="BK22" s="225"/>
      <c r="BL22" s="225"/>
      <c r="BM22" s="225"/>
      <c r="BN22" s="225"/>
      <c r="BO22" s="356">
        <f>Тор!D35</f>
        <v>0</v>
      </c>
      <c r="BP22" s="225" t="e">
        <f t="shared" si="30"/>
        <v>#DIV/0!</v>
      </c>
      <c r="BQ22" s="225">
        <f>Тор!C37</f>
        <v>0</v>
      </c>
      <c r="BR22" s="225">
        <f>Тор!D37</f>
        <v>0</v>
      </c>
      <c r="BS22" s="225" t="e">
        <f t="shared" si="31"/>
        <v>#DIV/0!</v>
      </c>
      <c r="BT22" s="225"/>
      <c r="BU22" s="225"/>
      <c r="BV22" s="227" t="e">
        <f t="shared" si="32"/>
        <v>#DIV/0!</v>
      </c>
      <c r="BW22" s="227"/>
      <c r="BX22" s="227"/>
      <c r="BY22" s="227" t="e">
        <f t="shared" si="33"/>
        <v>#DIV/0!</v>
      </c>
      <c r="BZ22" s="188">
        <f t="shared" si="34"/>
        <v>5822.9954299999999</v>
      </c>
      <c r="CA22" s="186">
        <f t="shared" si="35"/>
        <v>947.19099999999992</v>
      </c>
      <c r="CB22" s="225">
        <f t="shared" si="53"/>
        <v>16.266387487101287</v>
      </c>
      <c r="CC22" s="225">
        <f>Тор!C42</f>
        <v>1424.6</v>
      </c>
      <c r="CD22" s="225">
        <f>Тор!D42</f>
        <v>474.86799999999999</v>
      </c>
      <c r="CE22" s="225">
        <f t="shared" si="36"/>
        <v>33.33342692685666</v>
      </c>
      <c r="CF22" s="225">
        <f>Тор!C43</f>
        <v>260</v>
      </c>
      <c r="CG22" s="225">
        <f>Тор!D43</f>
        <v>130</v>
      </c>
      <c r="CH22" s="225">
        <f t="shared" si="37"/>
        <v>50</v>
      </c>
      <c r="CI22" s="225">
        <f>Тор!C44</f>
        <v>3448.5478199999998</v>
      </c>
      <c r="CJ22" s="225">
        <f>Тор!D44</f>
        <v>282.774</v>
      </c>
      <c r="CK22" s="225">
        <f t="shared" si="7"/>
        <v>8.1997992998687774</v>
      </c>
      <c r="CL22" s="225">
        <f>Тор!C45</f>
        <v>181.68199999999999</v>
      </c>
      <c r="CM22" s="225">
        <f>Тор!D45</f>
        <v>59.548999999999999</v>
      </c>
      <c r="CN22" s="225">
        <f t="shared" si="8"/>
        <v>32.776499598199052</v>
      </c>
      <c r="CO22" s="225">
        <f>Тор!C46</f>
        <v>0</v>
      </c>
      <c r="CP22" s="225">
        <f>Тор!D46</f>
        <v>0</v>
      </c>
      <c r="CQ22" s="225"/>
      <c r="CR22" s="387">
        <f>Тор!C48</f>
        <v>508.16561000000002</v>
      </c>
      <c r="CS22" s="225">
        <f>Тор!D48</f>
        <v>0</v>
      </c>
      <c r="CT22" s="225">
        <f t="shared" si="9"/>
        <v>0</v>
      </c>
      <c r="CU22" s="225"/>
      <c r="CV22" s="225">
        <f>Тор!D49</f>
        <v>0</v>
      </c>
      <c r="CW22" s="225"/>
      <c r="CX22" s="188"/>
      <c r="CY22" s="188"/>
      <c r="CZ22" s="225" t="e">
        <f t="shared" si="38"/>
        <v>#DIV/0!</v>
      </c>
      <c r="DA22" s="225"/>
      <c r="DB22" s="225"/>
      <c r="DC22" s="225"/>
      <c r="DD22" s="225"/>
      <c r="DE22" s="225"/>
      <c r="DF22" s="225"/>
      <c r="DG22" s="188">
        <f t="shared" si="39"/>
        <v>8096.5230700000011</v>
      </c>
      <c r="DH22" s="188">
        <f t="shared" si="39"/>
        <v>1217.8121900000001</v>
      </c>
      <c r="DI22" s="225">
        <f t="shared" si="40"/>
        <v>15.041174828641598</v>
      </c>
      <c r="DJ22" s="188">
        <f t="shared" si="41"/>
        <v>1089.4089999999999</v>
      </c>
      <c r="DK22" s="188">
        <f t="shared" si="41"/>
        <v>315.43708000000004</v>
      </c>
      <c r="DL22" s="225">
        <f t="shared" si="42"/>
        <v>28.954881041004811</v>
      </c>
      <c r="DM22" s="225">
        <f>Тор!C58</f>
        <v>1079.2149999999999</v>
      </c>
      <c r="DN22" s="225">
        <f>Тор!D58</f>
        <v>310.24308000000002</v>
      </c>
      <c r="DO22" s="225">
        <f t="shared" si="43"/>
        <v>28.747105998341393</v>
      </c>
      <c r="DP22" s="225">
        <f>Тор!C61</f>
        <v>0</v>
      </c>
      <c r="DQ22" s="225">
        <f>Тор!D61</f>
        <v>0</v>
      </c>
      <c r="DR22" s="225" t="e">
        <f t="shared" si="44"/>
        <v>#DIV/0!</v>
      </c>
      <c r="DS22" s="225">
        <f>Тор!C62</f>
        <v>5</v>
      </c>
      <c r="DT22" s="225">
        <f>Тор!D62</f>
        <v>0</v>
      </c>
      <c r="DU22" s="225">
        <f t="shared" si="45"/>
        <v>0</v>
      </c>
      <c r="DV22" s="225">
        <f>Тор!C63</f>
        <v>5.194</v>
      </c>
      <c r="DW22" s="225">
        <f>Тор!D63</f>
        <v>5.194</v>
      </c>
      <c r="DX22" s="225">
        <f t="shared" si="46"/>
        <v>100</v>
      </c>
      <c r="DY22" s="225">
        <f>Тор!C65</f>
        <v>179.892</v>
      </c>
      <c r="DZ22" s="225">
        <f>+Тор!D64</f>
        <v>59.543120000000002</v>
      </c>
      <c r="EA22" s="225">
        <f t="shared" si="47"/>
        <v>33.09937073355124</v>
      </c>
      <c r="EB22" s="225">
        <f>Тор!C66</f>
        <v>38.99</v>
      </c>
      <c r="EC22" s="225">
        <f>Тор!D66</f>
        <v>34.79</v>
      </c>
      <c r="ED22" s="225">
        <f t="shared" si="48"/>
        <v>89.228007181328536</v>
      </c>
      <c r="EE22" s="188">
        <f>Тор!C72</f>
        <v>5083.4035700000004</v>
      </c>
      <c r="EF22" s="188">
        <f>Тор!D72</f>
        <v>345.45700999999997</v>
      </c>
      <c r="EG22" s="225">
        <f t="shared" si="49"/>
        <v>6.7957817089072847</v>
      </c>
      <c r="EH22" s="188">
        <f>Тор!C78</f>
        <v>439.7285</v>
      </c>
      <c r="EI22" s="188">
        <f>Тор!D78</f>
        <v>48.454979999999999</v>
      </c>
      <c r="EJ22" s="225">
        <f t="shared" si="50"/>
        <v>11.01929486035133</v>
      </c>
      <c r="EK22" s="188">
        <f>Тор!C82</f>
        <v>1260.0999999999999</v>
      </c>
      <c r="EL22" s="228">
        <f>Тор!D82</f>
        <v>414.13</v>
      </c>
      <c r="EM22" s="225">
        <f t="shared" si="10"/>
        <v>32.864851995873344</v>
      </c>
      <c r="EN22" s="225">
        <f>Тор!C84</f>
        <v>0</v>
      </c>
      <c r="EO22" s="225">
        <f>Тор!D84</f>
        <v>0</v>
      </c>
      <c r="EP22" s="225" t="e">
        <f t="shared" si="11"/>
        <v>#DIV/0!</v>
      </c>
      <c r="EQ22" s="226">
        <f>Тор!C97</f>
        <v>5</v>
      </c>
      <c r="ER22" s="226">
        <f>Тор!D97</f>
        <v>0</v>
      </c>
      <c r="ES22" s="225">
        <f t="shared" si="51"/>
        <v>0</v>
      </c>
      <c r="ET22" s="225">
        <f>Тор!C95</f>
        <v>0</v>
      </c>
      <c r="EU22" s="225">
        <f>Тор!D95</f>
        <v>0</v>
      </c>
      <c r="EV22" s="225" t="e">
        <f t="shared" si="52"/>
        <v>#DIV/0!</v>
      </c>
      <c r="EW22" s="229">
        <f t="shared" si="12"/>
        <v>-434.22364000000107</v>
      </c>
      <c r="EX22" s="229">
        <f t="shared" si="13"/>
        <v>253.69538999999986</v>
      </c>
      <c r="EY22" s="225">
        <f t="shared" si="54"/>
        <v>-58.425052583502648</v>
      </c>
      <c r="EZ22" s="230"/>
      <c r="FA22" s="231"/>
      <c r="FC22" s="231"/>
      <c r="FF22" s="322"/>
      <c r="FG22" s="322"/>
      <c r="FH22" s="322"/>
      <c r="FI22" s="322"/>
      <c r="FJ22" s="322"/>
      <c r="FK22" s="322"/>
      <c r="FL22" s="322"/>
      <c r="FM22" s="322"/>
      <c r="FN22" s="322"/>
    </row>
    <row r="23" spans="1:170" s="169" customFormat="1" ht="15" customHeight="1">
      <c r="A23" s="181">
        <v>10</v>
      </c>
      <c r="B23" s="194" t="s">
        <v>312</v>
      </c>
      <c r="C23" s="429">
        <f t="shared" si="14"/>
        <v>5031.2496300000003</v>
      </c>
      <c r="D23" s="417">
        <f t="shared" si="0"/>
        <v>1177.6992700000001</v>
      </c>
      <c r="E23" s="187">
        <f t="shared" si="1"/>
        <v>23.407689075447447</v>
      </c>
      <c r="F23" s="185">
        <f t="shared" si="2"/>
        <v>1029.2919999999999</v>
      </c>
      <c r="G23" s="185">
        <f t="shared" si="3"/>
        <v>514.10006999999996</v>
      </c>
      <c r="H23" s="187">
        <f t="shared" si="15"/>
        <v>49.946960629248068</v>
      </c>
      <c r="I23" s="195">
        <f>Хор!C6</f>
        <v>79.421999999999997</v>
      </c>
      <c r="J23" s="188">
        <f>Хор!D6</f>
        <v>17.85491</v>
      </c>
      <c r="K23" s="187">
        <f t="shared" si="16"/>
        <v>22.481063181486238</v>
      </c>
      <c r="L23" s="187">
        <f>Хор!C8</f>
        <v>123.79</v>
      </c>
      <c r="M23" s="187">
        <f>Хор!D8</f>
        <v>57.691490000000002</v>
      </c>
      <c r="N23" s="184">
        <f t="shared" si="17"/>
        <v>46.604321835366349</v>
      </c>
      <c r="O23" s="184">
        <f>Хор!C9</f>
        <v>1.33</v>
      </c>
      <c r="P23" s="184">
        <f>Хор!D9</f>
        <v>0.42110999999999998</v>
      </c>
      <c r="Q23" s="184">
        <f t="shared" si="18"/>
        <v>31.662406015037593</v>
      </c>
      <c r="R23" s="184">
        <f>Хор!C10</f>
        <v>206.75</v>
      </c>
      <c r="S23" s="184">
        <f>Хор!D10</f>
        <v>82.005799999999994</v>
      </c>
      <c r="T23" s="184">
        <f t="shared" si="19"/>
        <v>39.664232164449814</v>
      </c>
      <c r="U23" s="184">
        <f>Хор!C11</f>
        <v>0</v>
      </c>
      <c r="V23" s="386">
        <f>Хор!D11</f>
        <v>-11.92468</v>
      </c>
      <c r="W23" s="184" t="e">
        <f t="shared" si="20"/>
        <v>#DIV/0!</v>
      </c>
      <c r="X23" s="195">
        <f>Хор!C13</f>
        <v>5</v>
      </c>
      <c r="Y23" s="195">
        <f>Хор!D13</f>
        <v>1.6605000000000001</v>
      </c>
      <c r="Z23" s="187">
        <f t="shared" si="21"/>
        <v>33.21</v>
      </c>
      <c r="AA23" s="195">
        <f>Хор!C15</f>
        <v>179</v>
      </c>
      <c r="AB23" s="385">
        <f>Хор!D15</f>
        <v>244.00111000000001</v>
      </c>
      <c r="AC23" s="187">
        <f t="shared" si="22"/>
        <v>136.31346927374301</v>
      </c>
      <c r="AD23" s="195">
        <f>Хор!C16</f>
        <v>392</v>
      </c>
      <c r="AE23" s="195">
        <f>Хор!D16</f>
        <v>43.622439999999997</v>
      </c>
      <c r="AF23" s="187">
        <f t="shared" si="4"/>
        <v>11.128173469387754</v>
      </c>
      <c r="AG23" s="187">
        <f>Хор!C18</f>
        <v>10</v>
      </c>
      <c r="AH23" s="187">
        <f>Хор!D18</f>
        <v>1.8</v>
      </c>
      <c r="AI23" s="187">
        <f t="shared" si="23"/>
        <v>18</v>
      </c>
      <c r="AJ23" s="187"/>
      <c r="AK23" s="187"/>
      <c r="AL23" s="187" t="e">
        <f t="shared" si="5"/>
        <v>#DIV/0!</v>
      </c>
      <c r="AM23" s="195">
        <v>0</v>
      </c>
      <c r="AN23" s="195">
        <v>0</v>
      </c>
      <c r="AO23" s="187" t="e">
        <f t="shared" si="6"/>
        <v>#DIV/0!</v>
      </c>
      <c r="AP23" s="195">
        <f>Хор!C27</f>
        <v>32</v>
      </c>
      <c r="AQ23" s="406">
        <f>Хор!D27</f>
        <v>76.967389999999995</v>
      </c>
      <c r="AR23" s="187">
        <f t="shared" si="24"/>
        <v>240.52309374999999</v>
      </c>
      <c r="AS23" s="188">
        <f>Хор!C28</f>
        <v>0</v>
      </c>
      <c r="AT23" s="384">
        <f>Хор!D28</f>
        <v>0</v>
      </c>
      <c r="AU23" s="187" t="e">
        <f t="shared" si="25"/>
        <v>#DIV/0!</v>
      </c>
      <c r="AV23" s="195"/>
      <c r="AW23" s="195"/>
      <c r="AX23" s="187" t="e">
        <f t="shared" si="26"/>
        <v>#DIV/0!</v>
      </c>
      <c r="AY23" s="187">
        <f>Хор!C29</f>
        <v>0</v>
      </c>
      <c r="AZ23" s="225">
        <f>Хор!D29</f>
        <v>0</v>
      </c>
      <c r="BA23" s="187" t="e">
        <f t="shared" si="27"/>
        <v>#DIV/0!</v>
      </c>
      <c r="BB23" s="187"/>
      <c r="BC23" s="187"/>
      <c r="BD23" s="187"/>
      <c r="BE23" s="187">
        <f>Хор!C33</f>
        <v>0</v>
      </c>
      <c r="BF23" s="187">
        <f>Хор!D33</f>
        <v>0</v>
      </c>
      <c r="BG23" s="187" t="e">
        <f t="shared" si="28"/>
        <v>#DIV/0!</v>
      </c>
      <c r="BH23" s="187"/>
      <c r="BI23" s="187"/>
      <c r="BJ23" s="187" t="e">
        <f t="shared" si="29"/>
        <v>#DIV/0!</v>
      </c>
      <c r="BK23" s="187"/>
      <c r="BL23" s="187"/>
      <c r="BM23" s="187"/>
      <c r="BN23" s="187"/>
      <c r="BO23" s="355"/>
      <c r="BP23" s="187" t="e">
        <f t="shared" si="30"/>
        <v>#DIV/0!</v>
      </c>
      <c r="BQ23" s="187">
        <f>Хор!C34</f>
        <v>0</v>
      </c>
      <c r="BR23" s="187">
        <f>Хор!D34</f>
        <v>0</v>
      </c>
      <c r="BS23" s="187" t="e">
        <f t="shared" si="31"/>
        <v>#DIV/0!</v>
      </c>
      <c r="BT23" s="187"/>
      <c r="BU23" s="187"/>
      <c r="BV23" s="196" t="e">
        <f t="shared" si="32"/>
        <v>#DIV/0!</v>
      </c>
      <c r="BW23" s="196"/>
      <c r="BX23" s="196"/>
      <c r="BY23" s="196" t="e">
        <f t="shared" si="33"/>
        <v>#DIV/0!</v>
      </c>
      <c r="BZ23" s="186">
        <f t="shared" si="34"/>
        <v>4001.9576300000003</v>
      </c>
      <c r="CA23" s="186">
        <f t="shared" si="35"/>
        <v>663.5992</v>
      </c>
      <c r="CB23" s="187">
        <f t="shared" si="53"/>
        <v>16.581864711046425</v>
      </c>
      <c r="CC23" s="187">
        <f>Хор!C39</f>
        <v>1275.4000000000001</v>
      </c>
      <c r="CD23" s="187">
        <f>Хор!D39</f>
        <v>425.13200000000001</v>
      </c>
      <c r="CE23" s="187">
        <f t="shared" si="36"/>
        <v>33.333228790967539</v>
      </c>
      <c r="CF23" s="187">
        <f>Хор!C41</f>
        <v>90</v>
      </c>
      <c r="CG23" s="187">
        <f>Хор!D41</f>
        <v>45</v>
      </c>
      <c r="CH23" s="187">
        <f t="shared" si="37"/>
        <v>50</v>
      </c>
      <c r="CI23" s="187">
        <f>Хор!C42</f>
        <v>1537.9304299999999</v>
      </c>
      <c r="CJ23" s="187">
        <f>Хор!D42</f>
        <v>157.52000000000001</v>
      </c>
      <c r="CK23" s="187">
        <f t="shared" si="7"/>
        <v>10.242335864308245</v>
      </c>
      <c r="CL23" s="187">
        <f>Хор!C43</f>
        <v>92.456000000000003</v>
      </c>
      <c r="CM23" s="187">
        <f>Хор!D43</f>
        <v>29.776</v>
      </c>
      <c r="CN23" s="187">
        <f t="shared" si="8"/>
        <v>32.205589685904648</v>
      </c>
      <c r="CO23" s="187">
        <f>Хор!C44</f>
        <v>1000</v>
      </c>
      <c r="CP23" s="187">
        <f>Хор!D44</f>
        <v>0</v>
      </c>
      <c r="CQ23" s="187"/>
      <c r="CR23" s="391">
        <f>Хор!C45</f>
        <v>6.1711999999999998</v>
      </c>
      <c r="CS23" s="187">
        <f>Хор!D45</f>
        <v>6.1711999999999998</v>
      </c>
      <c r="CT23" s="187">
        <f t="shared" si="9"/>
        <v>100</v>
      </c>
      <c r="CU23" s="187"/>
      <c r="CV23" s="187"/>
      <c r="CW23" s="187"/>
      <c r="CX23" s="195"/>
      <c r="CY23" s="195"/>
      <c r="CZ23" s="187" t="e">
        <f t="shared" si="38"/>
        <v>#DIV/0!</v>
      </c>
      <c r="DA23" s="187"/>
      <c r="DB23" s="187"/>
      <c r="DC23" s="187"/>
      <c r="DD23" s="187"/>
      <c r="DE23" s="187">
        <f>Хор!D48</f>
        <v>0</v>
      </c>
      <c r="DF23" s="187"/>
      <c r="DG23" s="188">
        <f t="shared" si="39"/>
        <v>5314.80213</v>
      </c>
      <c r="DH23" s="188">
        <f t="shared" si="39"/>
        <v>887.75554999999997</v>
      </c>
      <c r="DI23" s="187">
        <f t="shared" si="40"/>
        <v>16.703454395582547</v>
      </c>
      <c r="DJ23" s="195">
        <f t="shared" si="41"/>
        <v>992.09100000000001</v>
      </c>
      <c r="DK23" s="195">
        <f t="shared" si="41"/>
        <v>307.40037000000001</v>
      </c>
      <c r="DL23" s="187">
        <f t="shared" si="42"/>
        <v>30.985098141198741</v>
      </c>
      <c r="DM23" s="187">
        <f>Хор!C56</f>
        <v>984.4</v>
      </c>
      <c r="DN23" s="187">
        <f>Хор!D56</f>
        <v>304.70987000000002</v>
      </c>
      <c r="DO23" s="187">
        <f t="shared" si="43"/>
        <v>30.953867330353518</v>
      </c>
      <c r="DP23" s="187">
        <f>Хор!C59</f>
        <v>0</v>
      </c>
      <c r="DQ23" s="187">
        <f>Хор!D59</f>
        <v>0</v>
      </c>
      <c r="DR23" s="187" t="e">
        <f t="shared" si="44"/>
        <v>#DIV/0!</v>
      </c>
      <c r="DS23" s="187">
        <f>Хор!C60</f>
        <v>5</v>
      </c>
      <c r="DT23" s="187">
        <f>Хор!D60</f>
        <v>0</v>
      </c>
      <c r="DU23" s="187">
        <f t="shared" si="45"/>
        <v>0</v>
      </c>
      <c r="DV23" s="187">
        <f>Хор!C61</f>
        <v>2.6909999999999998</v>
      </c>
      <c r="DW23" s="187">
        <f>Хор!D61</f>
        <v>2.6905000000000001</v>
      </c>
      <c r="DX23" s="187">
        <f t="shared" si="46"/>
        <v>99.981419546636957</v>
      </c>
      <c r="DY23" s="187">
        <f>Хор!C63</f>
        <v>89.944999999999993</v>
      </c>
      <c r="DZ23" s="187">
        <f>Хор!D63</f>
        <v>29.38</v>
      </c>
      <c r="EA23" s="187">
        <f t="shared" si="47"/>
        <v>32.664406025904718</v>
      </c>
      <c r="EB23" s="187">
        <f>Хор!C64</f>
        <v>6</v>
      </c>
      <c r="EC23" s="187">
        <f>Хор!D64</f>
        <v>0</v>
      </c>
      <c r="ED23" s="187">
        <f t="shared" si="48"/>
        <v>0</v>
      </c>
      <c r="EE23" s="195">
        <f>Хор!C70</f>
        <v>2148.5418299999997</v>
      </c>
      <c r="EF23" s="195">
        <f>Хор!D70</f>
        <v>192.83500000000001</v>
      </c>
      <c r="EG23" s="187">
        <f t="shared" si="49"/>
        <v>8.9751568858214892</v>
      </c>
      <c r="EH23" s="195">
        <f>Хор!C75</f>
        <v>210.52430000000001</v>
      </c>
      <c r="EI23" s="195">
        <f>Хор!D75</f>
        <v>68.140180000000001</v>
      </c>
      <c r="EJ23" s="187">
        <f t="shared" si="50"/>
        <v>32.366895413023578</v>
      </c>
      <c r="EK23" s="195">
        <f>Хор!C79</f>
        <v>1863.7</v>
      </c>
      <c r="EL23" s="197">
        <f>Хор!D79</f>
        <v>288</v>
      </c>
      <c r="EM23" s="187">
        <f t="shared" si="10"/>
        <v>15.453130868702045</v>
      </c>
      <c r="EN23" s="187">
        <f>Хор!C81</f>
        <v>0</v>
      </c>
      <c r="EO23" s="187">
        <f>Хор!D81</f>
        <v>0</v>
      </c>
      <c r="EP23" s="187" t="e">
        <f t="shared" si="11"/>
        <v>#DIV/0!</v>
      </c>
      <c r="EQ23" s="198">
        <f>Хор!C86</f>
        <v>4</v>
      </c>
      <c r="ER23" s="198">
        <f>Хор!D86</f>
        <v>2</v>
      </c>
      <c r="ES23" s="187">
        <f t="shared" si="51"/>
        <v>50</v>
      </c>
      <c r="ET23" s="187">
        <f>Хор!C92</f>
        <v>0</v>
      </c>
      <c r="EU23" s="187">
        <f>Хор!D92</f>
        <v>0</v>
      </c>
      <c r="EV23" s="184" t="e">
        <f t="shared" si="52"/>
        <v>#DIV/0!</v>
      </c>
      <c r="EW23" s="191">
        <f t="shared" si="12"/>
        <v>-283.55249999999978</v>
      </c>
      <c r="EX23" s="191">
        <f t="shared" si="13"/>
        <v>289.9437200000001</v>
      </c>
      <c r="EY23" s="184">
        <f t="shared" si="54"/>
        <v>-102.25398118514219</v>
      </c>
      <c r="EZ23" s="192"/>
      <c r="FA23" s="193"/>
      <c r="FC23" s="193"/>
    </row>
    <row r="24" spans="1:170" s="395" customFormat="1" ht="15" customHeight="1">
      <c r="A24" s="390">
        <v>11</v>
      </c>
      <c r="B24" s="194" t="s">
        <v>313</v>
      </c>
      <c r="C24" s="430">
        <f t="shared" si="14"/>
        <v>5983.9151000000011</v>
      </c>
      <c r="D24" s="417">
        <f t="shared" si="0"/>
        <v>1554.3461299999997</v>
      </c>
      <c r="E24" s="187">
        <f t="shared" si="1"/>
        <v>25.975404129647483</v>
      </c>
      <c r="F24" s="198">
        <f t="shared" si="2"/>
        <v>1081.296</v>
      </c>
      <c r="G24" s="198">
        <f t="shared" si="3"/>
        <v>327.29712999999998</v>
      </c>
      <c r="H24" s="187">
        <f t="shared" si="15"/>
        <v>30.268967054349595</v>
      </c>
      <c r="I24" s="195">
        <f>Чум!C6</f>
        <v>86.510999999999996</v>
      </c>
      <c r="J24" s="188">
        <f>Чум!D6</f>
        <v>28.277259999999998</v>
      </c>
      <c r="K24" s="187">
        <f t="shared" si="16"/>
        <v>32.686317346926977</v>
      </c>
      <c r="L24" s="187">
        <f>Чум!C8</f>
        <v>118.16</v>
      </c>
      <c r="M24" s="187">
        <f>Чум!D8</f>
        <v>55.06915</v>
      </c>
      <c r="N24" s="187">
        <f t="shared" si="17"/>
        <v>46.60557718348003</v>
      </c>
      <c r="O24" s="187">
        <f>Чум!C9</f>
        <v>1.2649999999999999</v>
      </c>
      <c r="P24" s="187">
        <f>Чум!D9</f>
        <v>0.40196999999999999</v>
      </c>
      <c r="Q24" s="187">
        <f t="shared" si="18"/>
        <v>31.776284584980242</v>
      </c>
      <c r="R24" s="187">
        <f>Чум!C10</f>
        <v>197.36</v>
      </c>
      <c r="S24" s="187">
        <f>Чум!D10</f>
        <v>78.278270000000006</v>
      </c>
      <c r="T24" s="187">
        <f t="shared" si="19"/>
        <v>39.662682407782732</v>
      </c>
      <c r="U24" s="187">
        <f>Чум!C11</f>
        <v>0</v>
      </c>
      <c r="V24" s="391">
        <f>Чум!D11</f>
        <v>-11.38265</v>
      </c>
      <c r="W24" s="187" t="e">
        <f t="shared" si="20"/>
        <v>#DIV/0!</v>
      </c>
      <c r="X24" s="195">
        <f>Чум!C13</f>
        <v>65</v>
      </c>
      <c r="Y24" s="195">
        <f>Чум!D13</f>
        <v>69.128699999999995</v>
      </c>
      <c r="Z24" s="187">
        <f t="shared" si="21"/>
        <v>106.35184615384614</v>
      </c>
      <c r="AA24" s="195">
        <f>Чум!C15</f>
        <v>88</v>
      </c>
      <c r="AB24" s="385">
        <f>Чум!D15</f>
        <v>3.79379</v>
      </c>
      <c r="AC24" s="187">
        <f t="shared" si="22"/>
        <v>4.3111249999999997</v>
      </c>
      <c r="AD24" s="195">
        <f>Чум!C16</f>
        <v>460</v>
      </c>
      <c r="AE24" s="195">
        <f>Чум!D16</f>
        <v>50.291539999999998</v>
      </c>
      <c r="AF24" s="187">
        <f t="shared" si="4"/>
        <v>10.932943478260869</v>
      </c>
      <c r="AG24" s="187">
        <f>Чум!C18</f>
        <v>10</v>
      </c>
      <c r="AH24" s="187">
        <f>Чум!D18</f>
        <v>1.95</v>
      </c>
      <c r="AI24" s="187">
        <f t="shared" si="23"/>
        <v>19.5</v>
      </c>
      <c r="AJ24" s="187">
        <f>Чум!C22</f>
        <v>0</v>
      </c>
      <c r="AK24" s="187">
        <f>Чум!D20</f>
        <v>0</v>
      </c>
      <c r="AL24" s="187" t="e">
        <f>AK24/AJ24*100</f>
        <v>#DIV/0!</v>
      </c>
      <c r="AM24" s="195">
        <v>0</v>
      </c>
      <c r="AN24" s="195"/>
      <c r="AO24" s="187" t="e">
        <f t="shared" si="6"/>
        <v>#DIV/0!</v>
      </c>
      <c r="AP24" s="195">
        <f>Чум!C27</f>
        <v>55</v>
      </c>
      <c r="AQ24" s="406">
        <f>Чум!D27</f>
        <v>43.258000000000003</v>
      </c>
      <c r="AR24" s="187">
        <f t="shared" si="24"/>
        <v>78.650909090909096</v>
      </c>
      <c r="AS24" s="195">
        <f>Чум!C28</f>
        <v>0</v>
      </c>
      <c r="AT24" s="384">
        <f>Чум!D28</f>
        <v>0</v>
      </c>
      <c r="AU24" s="187" t="e">
        <f t="shared" si="25"/>
        <v>#DIV/0!</v>
      </c>
      <c r="AV24" s="195"/>
      <c r="AW24" s="195"/>
      <c r="AX24" s="187" t="e">
        <f t="shared" si="26"/>
        <v>#DIV/0!</v>
      </c>
      <c r="AY24" s="187">
        <f>Чум!C30</f>
        <v>0</v>
      </c>
      <c r="AZ24" s="225">
        <f>Чум!D30</f>
        <v>8.2310999999999996</v>
      </c>
      <c r="BA24" s="187" t="e">
        <f t="shared" si="27"/>
        <v>#DIV/0!</v>
      </c>
      <c r="BB24" s="187"/>
      <c r="BC24" s="187"/>
      <c r="BD24" s="187"/>
      <c r="BE24" s="187">
        <f>Чум!C33</f>
        <v>0</v>
      </c>
      <c r="BF24" s="187">
        <f>Чум!D33</f>
        <v>0</v>
      </c>
      <c r="BG24" s="187" t="e">
        <f t="shared" si="28"/>
        <v>#DIV/0!</v>
      </c>
      <c r="BH24" s="187"/>
      <c r="BI24" s="187"/>
      <c r="BJ24" s="187" t="e">
        <f t="shared" si="29"/>
        <v>#DIV/0!</v>
      </c>
      <c r="BK24" s="187"/>
      <c r="BL24" s="187"/>
      <c r="BM24" s="187"/>
      <c r="BN24" s="187"/>
      <c r="BO24" s="355">
        <f>Чум!D34</f>
        <v>0</v>
      </c>
      <c r="BP24" s="187" t="e">
        <f t="shared" si="30"/>
        <v>#DIV/0!</v>
      </c>
      <c r="BQ24" s="187">
        <f>Чум!C37</f>
        <v>0</v>
      </c>
      <c r="BR24" s="187">
        <f>Чум!D37</f>
        <v>0</v>
      </c>
      <c r="BS24" s="187" t="e">
        <f t="shared" si="31"/>
        <v>#DIV/0!</v>
      </c>
      <c r="BT24" s="187"/>
      <c r="BU24" s="187"/>
      <c r="BV24" s="196" t="e">
        <f t="shared" si="32"/>
        <v>#DIV/0!</v>
      </c>
      <c r="BW24" s="196"/>
      <c r="BX24" s="196"/>
      <c r="BY24" s="196" t="e">
        <f t="shared" si="33"/>
        <v>#DIV/0!</v>
      </c>
      <c r="BZ24" s="195">
        <f t="shared" si="34"/>
        <v>4902.6191000000008</v>
      </c>
      <c r="CA24" s="195">
        <f t="shared" si="35"/>
        <v>1227.0489999999998</v>
      </c>
      <c r="CB24" s="187">
        <f t="shared" si="53"/>
        <v>25.028438370829164</v>
      </c>
      <c r="CC24" s="187">
        <f>Чум!C42</f>
        <v>1969.9</v>
      </c>
      <c r="CD24" s="187">
        <f>Чум!D42</f>
        <v>656.63199999999995</v>
      </c>
      <c r="CE24" s="187">
        <f t="shared" si="36"/>
        <v>33.333265648002431</v>
      </c>
      <c r="CF24" s="187">
        <f>Чум!C43</f>
        <v>650</v>
      </c>
      <c r="CG24" s="187">
        <f>Чум!D43</f>
        <v>0</v>
      </c>
      <c r="CH24" s="187">
        <f t="shared" si="37"/>
        <v>0</v>
      </c>
      <c r="CI24" s="187">
        <f>Чум!C44</f>
        <v>1825.30438</v>
      </c>
      <c r="CJ24" s="187">
        <f>Чум!D44</f>
        <v>211.2</v>
      </c>
      <c r="CK24" s="187">
        <f t="shared" si="7"/>
        <v>11.570672941682197</v>
      </c>
      <c r="CL24" s="187">
        <f>Чум!C45</f>
        <v>92.710999999999999</v>
      </c>
      <c r="CM24" s="187">
        <f>Чум!D45</f>
        <v>29.776</v>
      </c>
      <c r="CN24" s="187">
        <f t="shared" si="8"/>
        <v>32.117008769185965</v>
      </c>
      <c r="CO24" s="187">
        <f>Чум!C46</f>
        <v>35.26285</v>
      </c>
      <c r="CP24" s="187">
        <f>Чум!D46</f>
        <v>0</v>
      </c>
      <c r="CQ24" s="187"/>
      <c r="CR24" s="391">
        <f>Чум!C50</f>
        <v>329.44087000000002</v>
      </c>
      <c r="CS24" s="187">
        <f>Чум!D50</f>
        <v>329.44099999999997</v>
      </c>
      <c r="CT24" s="187">
        <f t="shared" si="9"/>
        <v>100.00003946079912</v>
      </c>
      <c r="CU24" s="187"/>
      <c r="CV24" s="187"/>
      <c r="CW24" s="187"/>
      <c r="CX24" s="195"/>
      <c r="CY24" s="195"/>
      <c r="CZ24" s="187" t="e">
        <f t="shared" si="38"/>
        <v>#DIV/0!</v>
      </c>
      <c r="DA24" s="187"/>
      <c r="DB24" s="187"/>
      <c r="DC24" s="187"/>
      <c r="DD24" s="187"/>
      <c r="DE24" s="187"/>
      <c r="DF24" s="187"/>
      <c r="DG24" s="188">
        <f t="shared" si="39"/>
        <v>6153.9986200000003</v>
      </c>
      <c r="DH24" s="188">
        <f t="shared" si="39"/>
        <v>1196.6269400000001</v>
      </c>
      <c r="DI24" s="187">
        <f t="shared" si="40"/>
        <v>19.444706017824881</v>
      </c>
      <c r="DJ24" s="195">
        <f t="shared" si="41"/>
        <v>1288.2380000000001</v>
      </c>
      <c r="DK24" s="195">
        <f t="shared" si="41"/>
        <v>445.25004000000001</v>
      </c>
      <c r="DL24" s="187">
        <f t="shared" si="42"/>
        <v>34.562715895665242</v>
      </c>
      <c r="DM24" s="187">
        <f>Чум!C58</f>
        <v>1280</v>
      </c>
      <c r="DN24" s="187">
        <f>Чум!D58</f>
        <v>442.01204000000001</v>
      </c>
      <c r="DO24" s="187">
        <f t="shared" si="43"/>
        <v>34.532190625000005</v>
      </c>
      <c r="DP24" s="187">
        <f>Чум!C61</f>
        <v>0</v>
      </c>
      <c r="DQ24" s="187">
        <f>Чум!D61</f>
        <v>0</v>
      </c>
      <c r="DR24" s="187" t="e">
        <f t="shared" si="44"/>
        <v>#DIV/0!</v>
      </c>
      <c r="DS24" s="187">
        <f>Чум!C62</f>
        <v>5</v>
      </c>
      <c r="DT24" s="187">
        <f>Чум!D62</f>
        <v>0</v>
      </c>
      <c r="DU24" s="187">
        <f t="shared" si="45"/>
        <v>0</v>
      </c>
      <c r="DV24" s="187">
        <f>Чум!C63</f>
        <v>3.238</v>
      </c>
      <c r="DW24" s="187">
        <f>Чум!D63</f>
        <v>3.238</v>
      </c>
      <c r="DX24" s="187">
        <f t="shared" si="46"/>
        <v>100</v>
      </c>
      <c r="DY24" s="187">
        <f>Чум!C65</f>
        <v>89.945999999999998</v>
      </c>
      <c r="DZ24" s="187">
        <f>Чум!D65</f>
        <v>29.725560000000002</v>
      </c>
      <c r="EA24" s="187">
        <f t="shared" si="47"/>
        <v>33.048228937362417</v>
      </c>
      <c r="EB24" s="187">
        <f>Чум!C66</f>
        <v>6</v>
      </c>
      <c r="EC24" s="187">
        <f>Чум!D66</f>
        <v>0.6</v>
      </c>
      <c r="ED24" s="187">
        <f t="shared" si="48"/>
        <v>10</v>
      </c>
      <c r="EE24" s="195">
        <f>Чум!C72</f>
        <v>2540.0608400000001</v>
      </c>
      <c r="EF24" s="195">
        <f>Чум!D72</f>
        <v>328.25734</v>
      </c>
      <c r="EG24" s="187">
        <f t="shared" si="49"/>
        <v>12.92320777639326</v>
      </c>
      <c r="EH24" s="195">
        <f>Чум!C77</f>
        <v>612.35378000000003</v>
      </c>
      <c r="EI24" s="195">
        <f>Чум!D77</f>
        <v>72.593999999999994</v>
      </c>
      <c r="EJ24" s="187">
        <f t="shared" si="50"/>
        <v>11.854911714597401</v>
      </c>
      <c r="EK24" s="195">
        <f>Чум!C81</f>
        <v>1615.4</v>
      </c>
      <c r="EL24" s="197">
        <f>Чум!D81</f>
        <v>319.2</v>
      </c>
      <c r="EM24" s="187">
        <f t="shared" si="10"/>
        <v>19.75981181131608</v>
      </c>
      <c r="EN24" s="187">
        <f>Чум!C83</f>
        <v>0</v>
      </c>
      <c r="EO24" s="187">
        <f>Чум!D83</f>
        <v>0</v>
      </c>
      <c r="EP24" s="187" t="e">
        <f t="shared" si="11"/>
        <v>#DIV/0!</v>
      </c>
      <c r="EQ24" s="198">
        <f>Чум!C88</f>
        <v>2</v>
      </c>
      <c r="ER24" s="198">
        <f>Чум!D88</f>
        <v>1</v>
      </c>
      <c r="ES24" s="187">
        <f t="shared" si="51"/>
        <v>50</v>
      </c>
      <c r="ET24" s="187">
        <f>Чум!C94</f>
        <v>0</v>
      </c>
      <c r="EU24" s="187">
        <f>Чум!D94</f>
        <v>0</v>
      </c>
      <c r="EV24" s="187" t="e">
        <f t="shared" si="52"/>
        <v>#DIV/0!</v>
      </c>
      <c r="EW24" s="392">
        <f t="shared" si="12"/>
        <v>-170.08351999999923</v>
      </c>
      <c r="EX24" s="392">
        <f t="shared" si="13"/>
        <v>357.71918999999957</v>
      </c>
      <c r="EY24" s="187">
        <f t="shared" si="54"/>
        <v>-210.31972409790271</v>
      </c>
      <c r="EZ24" s="393"/>
      <c r="FA24" s="394"/>
      <c r="FC24" s="394"/>
    </row>
    <row r="25" spans="1:170" s="232" customFormat="1" ht="15" customHeight="1">
      <c r="A25" s="223">
        <v>12</v>
      </c>
      <c r="B25" s="224" t="s">
        <v>314</v>
      </c>
      <c r="C25" s="431">
        <f t="shared" si="14"/>
        <v>3894.6331199999995</v>
      </c>
      <c r="D25" s="418">
        <f t="shared" si="0"/>
        <v>1066.4950199999998</v>
      </c>
      <c r="E25" s="225">
        <f t="shared" si="1"/>
        <v>27.383709508432464</v>
      </c>
      <c r="F25" s="226">
        <f t="shared" si="2"/>
        <v>833.452</v>
      </c>
      <c r="G25" s="226">
        <f t="shared" si="3"/>
        <v>269.16701999999998</v>
      </c>
      <c r="H25" s="225">
        <f t="shared" si="15"/>
        <v>32.295443528841489</v>
      </c>
      <c r="I25" s="188">
        <f>Шать!C6</f>
        <v>37.046999999999997</v>
      </c>
      <c r="J25" s="188">
        <f>Шать!D6</f>
        <v>12.276439999999999</v>
      </c>
      <c r="K25" s="225">
        <f t="shared" si="16"/>
        <v>33.137474019488756</v>
      </c>
      <c r="L25" s="225">
        <f>Шать!C8</f>
        <v>121.37</v>
      </c>
      <c r="M25" s="225">
        <f>Шать!D8</f>
        <v>56.56765</v>
      </c>
      <c r="N25" s="225">
        <f t="shared" si="17"/>
        <v>46.607604844689796</v>
      </c>
      <c r="O25" s="225">
        <f>Шать!C9</f>
        <v>1.3049999999999999</v>
      </c>
      <c r="P25" s="225">
        <f>Шать!D9</f>
        <v>0.41291</v>
      </c>
      <c r="Q25" s="225">
        <f t="shared" si="18"/>
        <v>31.640613026819924</v>
      </c>
      <c r="R25" s="225">
        <f>Шать!C10</f>
        <v>202.73</v>
      </c>
      <c r="S25" s="225">
        <f>Шать!D10</f>
        <v>80.408299999999997</v>
      </c>
      <c r="T25" s="225">
        <f t="shared" si="19"/>
        <v>39.662753415873333</v>
      </c>
      <c r="U25" s="225">
        <f>Шать!C11</f>
        <v>0</v>
      </c>
      <c r="V25" s="387">
        <f>Шать!D11</f>
        <v>-11.69238</v>
      </c>
      <c r="W25" s="225" t="e">
        <f t="shared" si="20"/>
        <v>#DIV/0!</v>
      </c>
      <c r="X25" s="188">
        <f>Шать!C13</f>
        <v>10</v>
      </c>
      <c r="Y25" s="188">
        <f>Шать!D13</f>
        <v>41.775889999999997</v>
      </c>
      <c r="Z25" s="225">
        <f t="shared" si="21"/>
        <v>417.75889999999993</v>
      </c>
      <c r="AA25" s="188">
        <f>Шать!C15</f>
        <v>42</v>
      </c>
      <c r="AB25" s="385">
        <f>Шать!D15</f>
        <v>1.6997899999999999</v>
      </c>
      <c r="AC25" s="225">
        <f t="shared" si="22"/>
        <v>4.0471190476190477</v>
      </c>
      <c r="AD25" s="188">
        <f>Шать!C16</f>
        <v>305</v>
      </c>
      <c r="AE25" s="188">
        <f>Шать!D16</f>
        <v>20.7211</v>
      </c>
      <c r="AF25" s="225">
        <f t="shared" si="4"/>
        <v>6.7938032786885243</v>
      </c>
      <c r="AG25" s="225">
        <f>Шать!C18</f>
        <v>5</v>
      </c>
      <c r="AH25" s="225">
        <f>Шать!D18</f>
        <v>1.55</v>
      </c>
      <c r="AI25" s="225">
        <f t="shared" si="23"/>
        <v>31</v>
      </c>
      <c r="AJ25" s="225"/>
      <c r="AK25" s="225"/>
      <c r="AL25" s="225" t="e">
        <f>AJ25/AK25*100</f>
        <v>#DIV/0!</v>
      </c>
      <c r="AM25" s="188">
        <v>0</v>
      </c>
      <c r="AN25" s="188">
        <f>0</f>
        <v>0</v>
      </c>
      <c r="AO25" s="225" t="e">
        <f t="shared" si="6"/>
        <v>#DIV/0!</v>
      </c>
      <c r="AP25" s="188">
        <f>Шать!C27</f>
        <v>62</v>
      </c>
      <c r="AQ25" s="406">
        <f>Шать!D27</f>
        <v>51.997799999999998</v>
      </c>
      <c r="AR25" s="225">
        <f t="shared" si="24"/>
        <v>83.867419354838702</v>
      </c>
      <c r="AS25" s="188">
        <f>Шать!C28</f>
        <v>17</v>
      </c>
      <c r="AT25" s="385">
        <f>Шать!D28</f>
        <v>8.6704000000000008</v>
      </c>
      <c r="AU25" s="225">
        <f t="shared" si="25"/>
        <v>51.002352941176476</v>
      </c>
      <c r="AV25" s="188"/>
      <c r="AW25" s="188"/>
      <c r="AX25" s="225" t="e">
        <f t="shared" si="26"/>
        <v>#DIV/0!</v>
      </c>
      <c r="AY25" s="225">
        <f>Шать!C29</f>
        <v>30</v>
      </c>
      <c r="AZ25" s="225">
        <f>Шать!D29</f>
        <v>4.7791199999999998</v>
      </c>
      <c r="BA25" s="225">
        <f t="shared" si="27"/>
        <v>15.930400000000001</v>
      </c>
      <c r="BB25" s="225"/>
      <c r="BC25" s="225"/>
      <c r="BD25" s="225"/>
      <c r="BE25" s="225">
        <f>Шать!C33</f>
        <v>0</v>
      </c>
      <c r="BF25" s="225">
        <f>Шать!D33</f>
        <v>0</v>
      </c>
      <c r="BG25" s="225" t="e">
        <f t="shared" si="28"/>
        <v>#DIV/0!</v>
      </c>
      <c r="BH25" s="225"/>
      <c r="BI25" s="225"/>
      <c r="BJ25" s="225" t="e">
        <f t="shared" si="29"/>
        <v>#DIV/0!</v>
      </c>
      <c r="BK25" s="225"/>
      <c r="BL25" s="225"/>
      <c r="BM25" s="225"/>
      <c r="BN25" s="225">
        <f>Шать!C34</f>
        <v>0</v>
      </c>
      <c r="BO25" s="356">
        <f>Шать!D34</f>
        <v>0</v>
      </c>
      <c r="BP25" s="225" t="e">
        <f t="shared" si="30"/>
        <v>#DIV/0!</v>
      </c>
      <c r="BQ25" s="225">
        <f>Шать!C37</f>
        <v>0</v>
      </c>
      <c r="BR25" s="225">
        <f>Шать!D39</f>
        <v>0</v>
      </c>
      <c r="BS25" s="225" t="e">
        <f t="shared" si="31"/>
        <v>#DIV/0!</v>
      </c>
      <c r="BT25" s="225"/>
      <c r="BU25" s="225"/>
      <c r="BV25" s="227" t="e">
        <f t="shared" si="32"/>
        <v>#DIV/0!</v>
      </c>
      <c r="BW25" s="227"/>
      <c r="BX25" s="227"/>
      <c r="BY25" s="227" t="e">
        <f t="shared" si="33"/>
        <v>#DIV/0!</v>
      </c>
      <c r="BZ25" s="188">
        <f t="shared" si="34"/>
        <v>3061.1811199999997</v>
      </c>
      <c r="CA25" s="186">
        <f t="shared" si="35"/>
        <v>797.32799999999986</v>
      </c>
      <c r="CB25" s="225">
        <f t="shared" si="53"/>
        <v>26.046417011744801</v>
      </c>
      <c r="CC25" s="225">
        <f>Шать!C42</f>
        <v>1347.9</v>
      </c>
      <c r="CD25" s="225">
        <f>Шать!D42</f>
        <v>449.3</v>
      </c>
      <c r="CE25" s="225">
        <f t="shared" si="36"/>
        <v>33.333333333333329</v>
      </c>
      <c r="CF25" s="225">
        <f>Шать!C43</f>
        <v>290</v>
      </c>
      <c r="CG25" s="225">
        <f>Шать!D43</f>
        <v>145</v>
      </c>
      <c r="CH25" s="225">
        <f t="shared" si="37"/>
        <v>50</v>
      </c>
      <c r="CI25" s="225">
        <f>Шать!C44</f>
        <v>1213.53934</v>
      </c>
      <c r="CJ25" s="225">
        <f>Шать!D44</f>
        <v>173.25200000000001</v>
      </c>
      <c r="CK25" s="225">
        <f t="shared" si="7"/>
        <v>14.276587028484796</v>
      </c>
      <c r="CL25" s="225">
        <f>Шать!C45</f>
        <v>91.480999999999995</v>
      </c>
      <c r="CM25" s="225">
        <f>Шать!D45</f>
        <v>29.776</v>
      </c>
      <c r="CN25" s="225">
        <f t="shared" si="8"/>
        <v>32.54883527727069</v>
      </c>
      <c r="CO25" s="225">
        <f>Шать!C46</f>
        <v>0</v>
      </c>
      <c r="CP25" s="225">
        <f>Шать!D46</f>
        <v>0</v>
      </c>
      <c r="CQ25" s="225"/>
      <c r="CR25" s="387">
        <f>Шать!C50</f>
        <v>118.26078</v>
      </c>
      <c r="CS25" s="225">
        <f>Шать!D50</f>
        <v>0</v>
      </c>
      <c r="CT25" s="225">
        <f t="shared" si="9"/>
        <v>0</v>
      </c>
      <c r="CU25" s="225"/>
      <c r="CV25" s="225"/>
      <c r="CW25" s="225"/>
      <c r="CX25" s="188"/>
      <c r="CY25" s="188"/>
      <c r="CZ25" s="225" t="e">
        <f t="shared" si="38"/>
        <v>#DIV/0!</v>
      </c>
      <c r="DA25" s="225"/>
      <c r="DB25" s="225"/>
      <c r="DC25" s="225"/>
      <c r="DD25" s="225"/>
      <c r="DE25" s="225"/>
      <c r="DF25" s="225"/>
      <c r="DG25" s="188">
        <f t="shared" si="39"/>
        <v>4064.7824900000001</v>
      </c>
      <c r="DH25" s="188">
        <f t="shared" si="39"/>
        <v>880.03846999999996</v>
      </c>
      <c r="DI25" s="225">
        <f>DH25/DG25*100</f>
        <v>21.650321318915147</v>
      </c>
      <c r="DJ25" s="188">
        <f t="shared" si="41"/>
        <v>1086.1780000000001</v>
      </c>
      <c r="DK25" s="188">
        <f t="shared" si="41"/>
        <v>314.50788</v>
      </c>
      <c r="DL25" s="225">
        <f t="shared" si="42"/>
        <v>28.955464021550792</v>
      </c>
      <c r="DM25" s="225">
        <f>Шать!C58</f>
        <v>1078.4780000000001</v>
      </c>
      <c r="DN25" s="225">
        <f>Шать!D58</f>
        <v>311.92988000000003</v>
      </c>
      <c r="DO25" s="225">
        <f t="shared" si="43"/>
        <v>28.923156522432542</v>
      </c>
      <c r="DP25" s="225">
        <f>Шать!C61</f>
        <v>0</v>
      </c>
      <c r="DQ25" s="225">
        <f>Шать!D61</f>
        <v>0</v>
      </c>
      <c r="DR25" s="225" t="e">
        <f t="shared" si="44"/>
        <v>#DIV/0!</v>
      </c>
      <c r="DS25" s="225">
        <f>Шать!C62</f>
        <v>5</v>
      </c>
      <c r="DT25" s="225">
        <f>Шать!D62</f>
        <v>0</v>
      </c>
      <c r="DU25" s="225">
        <f t="shared" si="45"/>
        <v>0</v>
      </c>
      <c r="DV25" s="225">
        <f>Шать!C63</f>
        <v>2.7</v>
      </c>
      <c r="DW25" s="225">
        <f>Шать!D63</f>
        <v>2.5779999999999998</v>
      </c>
      <c r="DX25" s="225">
        <f t="shared" si="46"/>
        <v>95.481481481481467</v>
      </c>
      <c r="DY25" s="225">
        <f>Шать!C65</f>
        <v>89.944999999999993</v>
      </c>
      <c r="DZ25" s="225">
        <f>Шать!D65</f>
        <v>29.962039999999998</v>
      </c>
      <c r="EA25" s="225">
        <f t="shared" si="47"/>
        <v>33.311512591027856</v>
      </c>
      <c r="EB25" s="225">
        <f>Шать!C66</f>
        <v>8</v>
      </c>
      <c r="EC25" s="225">
        <f>Шать!D66</f>
        <v>0</v>
      </c>
      <c r="ED25" s="225">
        <f t="shared" si="48"/>
        <v>0</v>
      </c>
      <c r="EE25" s="188">
        <f>Шать!C72</f>
        <v>1767.7594900000001</v>
      </c>
      <c r="EF25" s="188">
        <f>Шать!D72</f>
        <v>214.97809999999998</v>
      </c>
      <c r="EG25" s="225">
        <f t="shared" si="49"/>
        <v>12.16104912552329</v>
      </c>
      <c r="EH25" s="188">
        <f>Шать!C77</f>
        <v>310.5</v>
      </c>
      <c r="EI25" s="188">
        <f>Шать!D77</f>
        <v>50.390450000000001</v>
      </c>
      <c r="EJ25" s="225">
        <f t="shared" si="50"/>
        <v>16.228808373590983</v>
      </c>
      <c r="EK25" s="188">
        <f>Шать!C81</f>
        <v>801.4</v>
      </c>
      <c r="EL25" s="228">
        <f>Шать!D81</f>
        <v>270.2</v>
      </c>
      <c r="EM25" s="225">
        <f t="shared" si="10"/>
        <v>33.71599700524083</v>
      </c>
      <c r="EN25" s="225">
        <f>Шать!C83</f>
        <v>0</v>
      </c>
      <c r="EO25" s="225">
        <f>Шать!D83</f>
        <v>0</v>
      </c>
      <c r="EP25" s="225" t="e">
        <f t="shared" si="11"/>
        <v>#DIV/0!</v>
      </c>
      <c r="EQ25" s="226">
        <f>Шать!C88</f>
        <v>1</v>
      </c>
      <c r="ER25" s="226">
        <f>Шать!D88</f>
        <v>0</v>
      </c>
      <c r="ES25" s="225">
        <f t="shared" si="51"/>
        <v>0</v>
      </c>
      <c r="ET25" s="225">
        <f>Шать!C94</f>
        <v>0</v>
      </c>
      <c r="EU25" s="225">
        <f>Шать!D94</f>
        <v>0</v>
      </c>
      <c r="EV25" s="225" t="e">
        <f t="shared" si="52"/>
        <v>#DIV/0!</v>
      </c>
      <c r="EW25" s="229">
        <f t="shared" si="12"/>
        <v>-170.14937000000054</v>
      </c>
      <c r="EX25" s="229">
        <f t="shared" si="13"/>
        <v>186.45654999999988</v>
      </c>
      <c r="EY25" s="225">
        <f t="shared" si="54"/>
        <v>-109.58403783687196</v>
      </c>
      <c r="EZ25" s="230"/>
      <c r="FA25" s="231"/>
      <c r="FC25" s="231"/>
    </row>
    <row r="26" spans="1:170" s="395" customFormat="1" ht="15" customHeight="1">
      <c r="A26" s="396">
        <v>13</v>
      </c>
      <c r="B26" s="194" t="s">
        <v>315</v>
      </c>
      <c r="C26" s="430">
        <f t="shared" si="14"/>
        <v>5774.0306199999995</v>
      </c>
      <c r="D26" s="417">
        <f t="shared" si="0"/>
        <v>1335.5852199999999</v>
      </c>
      <c r="E26" s="187">
        <f t="shared" si="1"/>
        <v>23.130899503265884</v>
      </c>
      <c r="F26" s="198">
        <f t="shared" si="2"/>
        <v>2888.6920000000005</v>
      </c>
      <c r="G26" s="198">
        <f t="shared" si="3"/>
        <v>775.82321999999999</v>
      </c>
      <c r="H26" s="187">
        <f t="shared" si="15"/>
        <v>26.857249578702053</v>
      </c>
      <c r="I26" s="195">
        <f>Юнг!C6</f>
        <v>132.63200000000001</v>
      </c>
      <c r="J26" s="188">
        <f>Юнг!D6</f>
        <v>39.612940000000002</v>
      </c>
      <c r="K26" s="187">
        <f t="shared" si="16"/>
        <v>29.866804391097173</v>
      </c>
      <c r="L26" s="187">
        <f>Юнг!C8</f>
        <v>186.49</v>
      </c>
      <c r="M26" s="187">
        <f>Юнг!D8</f>
        <v>86.911869999999993</v>
      </c>
      <c r="N26" s="187">
        <f t="shared" si="17"/>
        <v>46.604037750013397</v>
      </c>
      <c r="O26" s="187">
        <f>Юнг!C9</f>
        <v>2</v>
      </c>
      <c r="P26" s="187">
        <f>Юнг!D9</f>
        <v>0.63441999999999998</v>
      </c>
      <c r="Q26" s="187">
        <f t="shared" si="18"/>
        <v>31.721</v>
      </c>
      <c r="R26" s="187">
        <f>Юнг!C10</f>
        <v>311.47000000000003</v>
      </c>
      <c r="S26" s="187">
        <f>Юнг!D10</f>
        <v>123.54124</v>
      </c>
      <c r="T26" s="187">
        <f t="shared" si="19"/>
        <v>39.663929110347702</v>
      </c>
      <c r="U26" s="187">
        <f>Юнг!C11</f>
        <v>0</v>
      </c>
      <c r="V26" s="391">
        <f>Юнг!D11</f>
        <v>-17.964469999999999</v>
      </c>
      <c r="W26" s="187" t="e">
        <f t="shared" si="20"/>
        <v>#DIV/0!</v>
      </c>
      <c r="X26" s="195">
        <f>Юнг!C13</f>
        <v>40</v>
      </c>
      <c r="Y26" s="195">
        <f>Юнг!D13</f>
        <v>13.89498</v>
      </c>
      <c r="Z26" s="187">
        <f t="shared" si="21"/>
        <v>34.737450000000003</v>
      </c>
      <c r="AA26" s="195">
        <f>Юнг!C15</f>
        <v>229</v>
      </c>
      <c r="AB26" s="385">
        <f>Юнг!D15</f>
        <v>7.1509600000000004</v>
      </c>
      <c r="AC26" s="187">
        <f t="shared" si="22"/>
        <v>3.122689956331878</v>
      </c>
      <c r="AD26" s="195">
        <f>Юнг!C16</f>
        <v>1700</v>
      </c>
      <c r="AE26" s="195">
        <f>Юнг!D16</f>
        <v>364.27924000000002</v>
      </c>
      <c r="AF26" s="187">
        <f t="shared" si="4"/>
        <v>21.428190588235296</v>
      </c>
      <c r="AG26" s="187">
        <f>Юнг!C18</f>
        <v>12</v>
      </c>
      <c r="AH26" s="187">
        <f>Юнг!D18</f>
        <v>5.2</v>
      </c>
      <c r="AI26" s="187">
        <f t="shared" si="23"/>
        <v>43.333333333333336</v>
      </c>
      <c r="AJ26" s="187"/>
      <c r="AK26" s="187"/>
      <c r="AL26" s="187" t="e">
        <f>AJ26/AK26*100</f>
        <v>#DIV/0!</v>
      </c>
      <c r="AM26" s="195">
        <v>0</v>
      </c>
      <c r="AN26" s="195"/>
      <c r="AO26" s="187" t="e">
        <f t="shared" si="6"/>
        <v>#DIV/0!</v>
      </c>
      <c r="AP26" s="195">
        <f>Юнг!C27</f>
        <v>224.4</v>
      </c>
      <c r="AQ26" s="406">
        <f>Юнг!D27</f>
        <v>82.555300000000003</v>
      </c>
      <c r="AR26" s="187">
        <f t="shared" si="24"/>
        <v>36.789349376114082</v>
      </c>
      <c r="AS26" s="195">
        <f>Юнг!C28</f>
        <v>50.7</v>
      </c>
      <c r="AT26" s="384">
        <f>Юнг!D28</f>
        <v>29.859000000000002</v>
      </c>
      <c r="AU26" s="187">
        <f t="shared" si="25"/>
        <v>58.893491124260358</v>
      </c>
      <c r="AV26" s="195"/>
      <c r="AW26" s="195"/>
      <c r="AX26" s="187" t="e">
        <f t="shared" si="26"/>
        <v>#DIV/0!</v>
      </c>
      <c r="AY26" s="187">
        <f>Юнг!C30</f>
        <v>0</v>
      </c>
      <c r="AZ26" s="225">
        <f>Юнг!D30</f>
        <v>40.147739999999999</v>
      </c>
      <c r="BA26" s="187" t="e">
        <f t="shared" si="27"/>
        <v>#DIV/0!</v>
      </c>
      <c r="BB26" s="187"/>
      <c r="BC26" s="187"/>
      <c r="BD26" s="187"/>
      <c r="BE26" s="187">
        <f>Юнг!C33</f>
        <v>0</v>
      </c>
      <c r="BF26" s="187">
        <f>Юнг!D31</f>
        <v>0</v>
      </c>
      <c r="BG26" s="187" t="e">
        <f t="shared" si="28"/>
        <v>#DIV/0!</v>
      </c>
      <c r="BH26" s="187"/>
      <c r="BI26" s="187"/>
      <c r="BJ26" s="187" t="e">
        <f t="shared" si="29"/>
        <v>#DIV/0!</v>
      </c>
      <c r="BK26" s="187"/>
      <c r="BL26" s="187"/>
      <c r="BM26" s="187"/>
      <c r="BN26" s="187"/>
      <c r="BO26" s="355">
        <f>Юнг!D34</f>
        <v>0</v>
      </c>
      <c r="BP26" s="187" t="e">
        <f t="shared" si="30"/>
        <v>#DIV/0!</v>
      </c>
      <c r="BQ26" s="187">
        <f>Юнг!C36</f>
        <v>0</v>
      </c>
      <c r="BR26" s="187">
        <f>Юнг!D36</f>
        <v>0</v>
      </c>
      <c r="BS26" s="187" t="e">
        <f t="shared" si="31"/>
        <v>#DIV/0!</v>
      </c>
      <c r="BT26" s="187"/>
      <c r="BU26" s="187"/>
      <c r="BV26" s="196" t="e">
        <f t="shared" si="32"/>
        <v>#DIV/0!</v>
      </c>
      <c r="BW26" s="196"/>
      <c r="BX26" s="196"/>
      <c r="BY26" s="196" t="e">
        <f t="shared" si="33"/>
        <v>#DIV/0!</v>
      </c>
      <c r="BZ26" s="195">
        <f t="shared" si="34"/>
        <v>2885.3386199999995</v>
      </c>
      <c r="CA26" s="195">
        <f t="shared" si="35"/>
        <v>559.76199999999994</v>
      </c>
      <c r="CB26" s="187">
        <f t="shared" si="53"/>
        <v>19.400218612815713</v>
      </c>
      <c r="CC26" s="187">
        <f>Юнг!C41</f>
        <v>767.8</v>
      </c>
      <c r="CD26" s="187">
        <f>Юнг!D41</f>
        <v>255.93199999999999</v>
      </c>
      <c r="CE26" s="187">
        <f t="shared" si="36"/>
        <v>33.333159676999216</v>
      </c>
      <c r="CF26" s="187">
        <f>Юнг!C42</f>
        <v>170</v>
      </c>
      <c r="CG26" s="187">
        <f>Юнг!D42</f>
        <v>0</v>
      </c>
      <c r="CH26" s="187">
        <f t="shared" si="37"/>
        <v>0</v>
      </c>
      <c r="CI26" s="187">
        <f>Юнг!C43</f>
        <v>1855.8026199999999</v>
      </c>
      <c r="CJ26" s="187">
        <f>Юнг!D43</f>
        <v>274.05399999999997</v>
      </c>
      <c r="CK26" s="187">
        <f t="shared" si="7"/>
        <v>14.767410986842986</v>
      </c>
      <c r="CL26" s="187">
        <f>Юнг!C44</f>
        <v>91.736000000000004</v>
      </c>
      <c r="CM26" s="187">
        <f>Юнг!D44</f>
        <v>29.776</v>
      </c>
      <c r="CN26" s="187">
        <f t="shared" si="8"/>
        <v>32.458358768640444</v>
      </c>
      <c r="CO26" s="187">
        <f>Юнг!C45</f>
        <v>0</v>
      </c>
      <c r="CP26" s="187">
        <f>Юнг!D45</f>
        <v>0</v>
      </c>
      <c r="CQ26" s="187"/>
      <c r="CR26" s="391">
        <f>Юнг!C48</f>
        <v>0</v>
      </c>
      <c r="CS26" s="187">
        <f>Юнг!D48</f>
        <v>0</v>
      </c>
      <c r="CT26" s="187" t="e">
        <f t="shared" si="9"/>
        <v>#DIV/0!</v>
      </c>
      <c r="CU26" s="187"/>
      <c r="CV26" s="187">
        <f>Юнг!D47</f>
        <v>0</v>
      </c>
      <c r="CW26" s="187"/>
      <c r="CX26" s="195"/>
      <c r="CY26" s="195"/>
      <c r="CZ26" s="187" t="e">
        <f t="shared" si="38"/>
        <v>#DIV/0!</v>
      </c>
      <c r="DA26" s="187"/>
      <c r="DB26" s="187"/>
      <c r="DC26" s="187"/>
      <c r="DD26" s="187"/>
      <c r="DE26" s="187"/>
      <c r="DF26" s="187"/>
      <c r="DG26" s="188">
        <f t="shared" si="39"/>
        <v>5956.9311399999988</v>
      </c>
      <c r="DH26" s="188">
        <f t="shared" si="39"/>
        <v>1303.1198499999998</v>
      </c>
      <c r="DI26" s="187">
        <f t="shared" si="40"/>
        <v>21.87569101226844</v>
      </c>
      <c r="DJ26" s="195">
        <f t="shared" si="41"/>
        <v>1434.2819999999999</v>
      </c>
      <c r="DK26" s="195">
        <f t="shared" si="41"/>
        <v>449.18475000000001</v>
      </c>
      <c r="DL26" s="187">
        <f t="shared" si="42"/>
        <v>31.317742954314426</v>
      </c>
      <c r="DM26" s="187">
        <f>Юнг!C57</f>
        <v>1425.6</v>
      </c>
      <c r="DN26" s="187">
        <f>Юнг!D57</f>
        <v>445.50274999999999</v>
      </c>
      <c r="DO26" s="187">
        <f t="shared" si="43"/>
        <v>31.25019290123457</v>
      </c>
      <c r="DP26" s="187">
        <f>Юнг!C60</f>
        <v>0</v>
      </c>
      <c r="DQ26" s="187">
        <f>Юнг!D60</f>
        <v>0</v>
      </c>
      <c r="DR26" s="187" t="e">
        <f t="shared" si="44"/>
        <v>#DIV/0!</v>
      </c>
      <c r="DS26" s="187">
        <f>Юнг!C61</f>
        <v>5</v>
      </c>
      <c r="DT26" s="187">
        <f>Юнг!D61</f>
        <v>0</v>
      </c>
      <c r="DU26" s="187">
        <f t="shared" si="45"/>
        <v>0</v>
      </c>
      <c r="DV26" s="187">
        <f>Юнг!C62</f>
        <v>3.6819999999999999</v>
      </c>
      <c r="DW26" s="187">
        <f>Юнг!D62</f>
        <v>3.6819999999999999</v>
      </c>
      <c r="DX26" s="187">
        <f t="shared" si="46"/>
        <v>100</v>
      </c>
      <c r="DY26" s="187">
        <f>Юнг!C64</f>
        <v>89.945999999999998</v>
      </c>
      <c r="DZ26" s="187">
        <f>Юнг!D64</f>
        <v>29.509599999999999</v>
      </c>
      <c r="EA26" s="187">
        <f t="shared" si="47"/>
        <v>32.808129322037665</v>
      </c>
      <c r="EB26" s="187">
        <f>Юнг!C65</f>
        <v>19.715</v>
      </c>
      <c r="EC26" s="187">
        <f>Юнг!D65</f>
        <v>3.6</v>
      </c>
      <c r="ED26" s="187">
        <f t="shared" si="48"/>
        <v>18.260207963479587</v>
      </c>
      <c r="EE26" s="195">
        <f>Юнг!C71</f>
        <v>2999.12104</v>
      </c>
      <c r="EF26" s="195">
        <f>Юнг!D71</f>
        <v>425.73274000000004</v>
      </c>
      <c r="EG26" s="187">
        <f t="shared" si="49"/>
        <v>14.195250352416588</v>
      </c>
      <c r="EH26" s="195">
        <f>Юнг!C76</f>
        <v>370.6671</v>
      </c>
      <c r="EI26" s="195">
        <f>Юнг!D76</f>
        <v>45.409759999999999</v>
      </c>
      <c r="EJ26" s="187">
        <f t="shared" si="50"/>
        <v>12.250820210372055</v>
      </c>
      <c r="EK26" s="195">
        <f>Юнг!C80</f>
        <v>1028.2</v>
      </c>
      <c r="EL26" s="197">
        <f>Юнг!D80</f>
        <v>341.39</v>
      </c>
      <c r="EM26" s="187">
        <f t="shared" si="10"/>
        <v>33.202684302664849</v>
      </c>
      <c r="EN26" s="187">
        <f>Юнг!C82</f>
        <v>0</v>
      </c>
      <c r="EO26" s="187">
        <f>Юнг!D82</f>
        <v>0</v>
      </c>
      <c r="EP26" s="187" t="e">
        <f t="shared" si="11"/>
        <v>#DIV/0!</v>
      </c>
      <c r="EQ26" s="198">
        <f>Юнг!C87</f>
        <v>15</v>
      </c>
      <c r="ER26" s="198">
        <f>Юнг!D87</f>
        <v>8.2929999999999993</v>
      </c>
      <c r="ES26" s="187">
        <f t="shared" si="51"/>
        <v>55.286666666666662</v>
      </c>
      <c r="ET26" s="187">
        <f>Юнг!C93</f>
        <v>0</v>
      </c>
      <c r="EU26" s="187">
        <f>Юнг!D93</f>
        <v>0</v>
      </c>
      <c r="EV26" s="187" t="e">
        <f t="shared" si="52"/>
        <v>#DIV/0!</v>
      </c>
      <c r="EW26" s="392">
        <f t="shared" si="12"/>
        <v>-182.90051999999923</v>
      </c>
      <c r="EX26" s="392">
        <f t="shared" si="13"/>
        <v>32.465370000000121</v>
      </c>
      <c r="EY26" s="187">
        <f t="shared" si="54"/>
        <v>-17.750288517495878</v>
      </c>
      <c r="EZ26" s="393"/>
      <c r="FA26" s="394"/>
      <c r="FC26" s="394"/>
    </row>
    <row r="27" spans="1:170" s="169" customFormat="1" ht="15" customHeight="1">
      <c r="A27" s="181">
        <v>14</v>
      </c>
      <c r="B27" s="194" t="s">
        <v>316</v>
      </c>
      <c r="C27" s="429">
        <f t="shared" si="14"/>
        <v>7298.5956400000005</v>
      </c>
      <c r="D27" s="417">
        <f t="shared" si="0"/>
        <v>1795.6040800000001</v>
      </c>
      <c r="E27" s="187">
        <f t="shared" si="1"/>
        <v>24.602049059399597</v>
      </c>
      <c r="F27" s="185">
        <f>I27+X27+AA27+AD27+AG27+AM27+AS27+BE27+BQ27+BN27+AJ27+AY27+L27+R27+O27+U27+AP27</f>
        <v>1522.8040000000001</v>
      </c>
      <c r="G27" s="185">
        <f t="shared" si="3"/>
        <v>467.66708000000006</v>
      </c>
      <c r="H27" s="187">
        <f t="shared" si="15"/>
        <v>30.710917491679822</v>
      </c>
      <c r="I27" s="195">
        <f>Юсь!C6</f>
        <v>132.44399999999999</v>
      </c>
      <c r="J27" s="188">
        <f>Юсь!D6</f>
        <v>27.945640000000001</v>
      </c>
      <c r="K27" s="187">
        <f t="shared" si="16"/>
        <v>21.099966778412011</v>
      </c>
      <c r="L27" s="187">
        <f>Юсь!C8</f>
        <v>250.79</v>
      </c>
      <c r="M27" s="187">
        <f>Юсь!D8</f>
        <v>116.88146</v>
      </c>
      <c r="N27" s="184">
        <f t="shared" si="17"/>
        <v>46.605311216555691</v>
      </c>
      <c r="O27" s="184">
        <f>Юсь!C9</f>
        <v>2.69</v>
      </c>
      <c r="P27" s="184">
        <f>Юсь!D9</f>
        <v>0.85316000000000003</v>
      </c>
      <c r="Q27" s="184">
        <f t="shared" si="18"/>
        <v>31.715985130111523</v>
      </c>
      <c r="R27" s="184">
        <f>Юсь!C10</f>
        <v>418.88</v>
      </c>
      <c r="S27" s="184">
        <f>Юсь!D10</f>
        <v>166.14164</v>
      </c>
      <c r="T27" s="184">
        <f t="shared" si="19"/>
        <v>39.663302139037434</v>
      </c>
      <c r="U27" s="184">
        <f>Юсь!C11</f>
        <v>0</v>
      </c>
      <c r="V27" s="386">
        <f>Юсь!D11</f>
        <v>-24.15907</v>
      </c>
      <c r="W27" s="184" t="e">
        <f t="shared" si="20"/>
        <v>#DIV/0!</v>
      </c>
      <c r="X27" s="195">
        <f>Юсь!C13</f>
        <v>10</v>
      </c>
      <c r="Y27" s="195">
        <f>Юсь!D13</f>
        <v>0.31428</v>
      </c>
      <c r="Z27" s="187">
        <f t="shared" si="21"/>
        <v>3.1427999999999998</v>
      </c>
      <c r="AA27" s="195">
        <f>Юсь!C15</f>
        <v>128</v>
      </c>
      <c r="AB27" s="385">
        <f>Юсь!D15</f>
        <v>4.69041</v>
      </c>
      <c r="AC27" s="187">
        <f t="shared" si="22"/>
        <v>3.6643828125</v>
      </c>
      <c r="AD27" s="195">
        <f>Юсь!C16</f>
        <v>325</v>
      </c>
      <c r="AE27" s="195">
        <f>Юсь!D16</f>
        <v>20.7774</v>
      </c>
      <c r="AF27" s="187">
        <f t="shared" si="4"/>
        <v>6.3930461538461536</v>
      </c>
      <c r="AG27" s="187">
        <f>Юсь!C18</f>
        <v>5</v>
      </c>
      <c r="AH27" s="187">
        <f>Юсь!D18</f>
        <v>2.2000000000000002</v>
      </c>
      <c r="AI27" s="187">
        <f t="shared" si="23"/>
        <v>44.000000000000007</v>
      </c>
      <c r="AJ27" s="187"/>
      <c r="AK27" s="187"/>
      <c r="AL27" s="187" t="e">
        <f>AJ27/AK27*100</f>
        <v>#DIV/0!</v>
      </c>
      <c r="AM27" s="195">
        <v>0</v>
      </c>
      <c r="AN27" s="195">
        <v>0</v>
      </c>
      <c r="AO27" s="187" t="e">
        <f t="shared" si="6"/>
        <v>#DIV/0!</v>
      </c>
      <c r="AP27" s="195">
        <f>Юсь!C27</f>
        <v>0</v>
      </c>
      <c r="AQ27" s="406">
        <f>Юсь!D27</f>
        <v>0</v>
      </c>
      <c r="AR27" s="187" t="e">
        <f t="shared" si="24"/>
        <v>#DIV/0!</v>
      </c>
      <c r="AS27" s="188">
        <f>Юсь!C28</f>
        <v>50</v>
      </c>
      <c r="AT27" s="384">
        <f>Юсь!D28</f>
        <v>8</v>
      </c>
      <c r="AU27" s="187">
        <f t="shared" si="25"/>
        <v>16</v>
      </c>
      <c r="AV27" s="195"/>
      <c r="AW27" s="195"/>
      <c r="AX27" s="187" t="e">
        <f t="shared" si="26"/>
        <v>#DIV/0!</v>
      </c>
      <c r="AY27" s="187">
        <f>Юсь!C30</f>
        <v>200</v>
      </c>
      <c r="AZ27" s="225">
        <f>Юсь!D30</f>
        <v>144.02216000000001</v>
      </c>
      <c r="BA27" s="187">
        <f t="shared" si="27"/>
        <v>72.011080000000007</v>
      </c>
      <c r="BB27" s="187"/>
      <c r="BC27" s="187"/>
      <c r="BD27" s="187"/>
      <c r="BE27" s="187">
        <f>Юсь!C31</f>
        <v>0</v>
      </c>
      <c r="BF27" s="187">
        <f>Юсь!D31</f>
        <v>0</v>
      </c>
      <c r="BG27" s="187" t="e">
        <f t="shared" si="28"/>
        <v>#DIV/0!</v>
      </c>
      <c r="BH27" s="187"/>
      <c r="BI27" s="187"/>
      <c r="BJ27" s="187" t="e">
        <f t="shared" si="29"/>
        <v>#DIV/0!</v>
      </c>
      <c r="BK27" s="187"/>
      <c r="BL27" s="187"/>
      <c r="BM27" s="187"/>
      <c r="BN27" s="187"/>
      <c r="BO27" s="355"/>
      <c r="BP27" s="187" t="e">
        <f t="shared" si="30"/>
        <v>#DIV/0!</v>
      </c>
      <c r="BQ27" s="187">
        <f>Юсь!C34</f>
        <v>0</v>
      </c>
      <c r="BR27" s="187">
        <f>Юсь!D34</f>
        <v>0</v>
      </c>
      <c r="BS27" s="187" t="e">
        <f t="shared" si="31"/>
        <v>#DIV/0!</v>
      </c>
      <c r="BT27" s="187"/>
      <c r="BU27" s="187"/>
      <c r="BV27" s="196" t="e">
        <f t="shared" si="32"/>
        <v>#DIV/0!</v>
      </c>
      <c r="BW27" s="196"/>
      <c r="BX27" s="196"/>
      <c r="BY27" s="196" t="e">
        <f t="shared" si="33"/>
        <v>#DIV/0!</v>
      </c>
      <c r="BZ27" s="186">
        <f t="shared" si="34"/>
        <v>5775.7916400000004</v>
      </c>
      <c r="CA27" s="186">
        <f t="shared" si="35"/>
        <v>1327.9369999999999</v>
      </c>
      <c r="CB27" s="187">
        <f t="shared" si="53"/>
        <v>22.991428409630092</v>
      </c>
      <c r="CC27" s="187">
        <f>Юсь!C39</f>
        <v>3029</v>
      </c>
      <c r="CD27" s="187">
        <f>Юсь!D39</f>
        <v>1009.668</v>
      </c>
      <c r="CE27" s="187">
        <f t="shared" si="36"/>
        <v>33.333377352261472</v>
      </c>
      <c r="CF27" s="355">
        <f>Юсь!C41</f>
        <v>687.5</v>
      </c>
      <c r="CG27" s="187">
        <f>Юсь!D41</f>
        <v>0</v>
      </c>
      <c r="CH27" s="187">
        <f t="shared" si="37"/>
        <v>0</v>
      </c>
      <c r="CI27" s="187">
        <f>Юсь!C42</f>
        <v>1876.63464</v>
      </c>
      <c r="CJ27" s="187">
        <f>Юсь!D42</f>
        <v>258.72000000000003</v>
      </c>
      <c r="CK27" s="187">
        <f t="shared" si="7"/>
        <v>13.78638092282044</v>
      </c>
      <c r="CL27" s="187">
        <f>Юсь!C43</f>
        <v>182.65700000000001</v>
      </c>
      <c r="CM27" s="187">
        <f>Юсь!D43</f>
        <v>59.548999999999999</v>
      </c>
      <c r="CN27" s="187">
        <f t="shared" si="8"/>
        <v>32.601542782373514</v>
      </c>
      <c r="CO27" s="187">
        <f>Юсь!C50</f>
        <v>0</v>
      </c>
      <c r="CP27" s="187">
        <f>Юсь!D50</f>
        <v>0</v>
      </c>
      <c r="CQ27" s="187"/>
      <c r="CR27" s="391">
        <f>Юсь!C51</f>
        <v>0</v>
      </c>
      <c r="CS27" s="187">
        <f>Юсь!D51</f>
        <v>0</v>
      </c>
      <c r="CT27" s="187" t="e">
        <f t="shared" si="9"/>
        <v>#DIV/0!</v>
      </c>
      <c r="CU27" s="187"/>
      <c r="CV27" s="187"/>
      <c r="CW27" s="187"/>
      <c r="CX27" s="195"/>
      <c r="CY27" s="195"/>
      <c r="CZ27" s="187" t="e">
        <f t="shared" si="38"/>
        <v>#DIV/0!</v>
      </c>
      <c r="DA27" s="187"/>
      <c r="DB27" s="187"/>
      <c r="DC27" s="187"/>
      <c r="DD27" s="187"/>
      <c r="DE27" s="187"/>
      <c r="DF27" s="187"/>
      <c r="DG27" s="188">
        <f t="shared" si="39"/>
        <v>7559.1651899999997</v>
      </c>
      <c r="DH27" s="188">
        <f t="shared" si="39"/>
        <v>1969.6053699999998</v>
      </c>
      <c r="DI27" s="187">
        <f t="shared" si="40"/>
        <v>26.055858292468404</v>
      </c>
      <c r="DJ27" s="195">
        <f t="shared" si="41"/>
        <v>1234.7919999999999</v>
      </c>
      <c r="DK27" s="195">
        <f t="shared" si="41"/>
        <v>423.67232000000001</v>
      </c>
      <c r="DL27" s="187">
        <f t="shared" si="42"/>
        <v>34.31122974557659</v>
      </c>
      <c r="DM27" s="187">
        <f>Юсь!C59</f>
        <v>1175.2919999999999</v>
      </c>
      <c r="DN27" s="187">
        <f>Юсь!D59</f>
        <v>369.48032000000001</v>
      </c>
      <c r="DO27" s="187">
        <f t="shared" si="43"/>
        <v>31.43732110828628</v>
      </c>
      <c r="DP27" s="187">
        <f>Юсь!C62</f>
        <v>0</v>
      </c>
      <c r="DQ27" s="187">
        <f>Юсь!D62</f>
        <v>0</v>
      </c>
      <c r="DR27" s="187" t="e">
        <f t="shared" si="44"/>
        <v>#DIV/0!</v>
      </c>
      <c r="DS27" s="187">
        <f>Юсь!C63</f>
        <v>5</v>
      </c>
      <c r="DT27" s="187">
        <f>Юсь!D63</f>
        <v>0</v>
      </c>
      <c r="DU27" s="187">
        <f t="shared" si="45"/>
        <v>0</v>
      </c>
      <c r="DV27" s="187">
        <f>Юсь!C64</f>
        <v>54.5</v>
      </c>
      <c r="DW27" s="187">
        <f>Юсь!D64</f>
        <v>54.192</v>
      </c>
      <c r="DX27" s="187">
        <f t="shared" si="46"/>
        <v>99.434862385321097</v>
      </c>
      <c r="DY27" s="187">
        <f>Юсь!C66</f>
        <v>179.892</v>
      </c>
      <c r="DZ27" s="187">
        <f>Юсь!D66</f>
        <v>58.756</v>
      </c>
      <c r="EA27" s="187">
        <f t="shared" si="47"/>
        <v>32.661819313810511</v>
      </c>
      <c r="EB27" s="187">
        <f>Юсь!C67</f>
        <v>17</v>
      </c>
      <c r="EC27" s="187">
        <f>Юсь!D67</f>
        <v>3.5</v>
      </c>
      <c r="ED27" s="187">
        <f t="shared" si="48"/>
        <v>20.588235294117645</v>
      </c>
      <c r="EE27" s="195">
        <f>Юсь!C73</f>
        <v>2983.6361899999997</v>
      </c>
      <c r="EF27" s="195">
        <f>Юсь!D73</f>
        <v>363.60699999999997</v>
      </c>
      <c r="EG27" s="187">
        <f t="shared" si="49"/>
        <v>12.186706985880875</v>
      </c>
      <c r="EH27" s="195">
        <f>Юсь!C78</f>
        <v>444.66699999999997</v>
      </c>
      <c r="EI27" s="195">
        <f>Юсь!D78</f>
        <v>331.93167999999997</v>
      </c>
      <c r="EJ27" s="187">
        <f t="shared" si="50"/>
        <v>74.647248390368532</v>
      </c>
      <c r="EK27" s="195">
        <f>Юсь!C82</f>
        <v>2697.1779999999999</v>
      </c>
      <c r="EL27" s="197">
        <f>Юсь!D82</f>
        <v>788.13837000000001</v>
      </c>
      <c r="EM27" s="187">
        <f t="shared" si="10"/>
        <v>29.220851200773552</v>
      </c>
      <c r="EN27" s="187">
        <f>Юсь!C84</f>
        <v>0</v>
      </c>
      <c r="EO27" s="187">
        <f>Юсь!D84</f>
        <v>0</v>
      </c>
      <c r="EP27" s="187" t="e">
        <f t="shared" si="11"/>
        <v>#DIV/0!</v>
      </c>
      <c r="EQ27" s="198">
        <f>Юсь!C89</f>
        <v>2</v>
      </c>
      <c r="ER27" s="198">
        <f>Юсь!D89</f>
        <v>0</v>
      </c>
      <c r="ES27" s="187">
        <f t="shared" si="51"/>
        <v>0</v>
      </c>
      <c r="ET27" s="187">
        <f>Юсь!C95</f>
        <v>0</v>
      </c>
      <c r="EU27" s="187">
        <f>Юсь!D95</f>
        <v>0</v>
      </c>
      <c r="EV27" s="184" t="e">
        <f t="shared" si="52"/>
        <v>#DIV/0!</v>
      </c>
      <c r="EW27" s="191">
        <f t="shared" si="12"/>
        <v>-260.56954999999925</v>
      </c>
      <c r="EX27" s="191">
        <f t="shared" si="13"/>
        <v>-174.0012899999997</v>
      </c>
      <c r="EY27" s="184">
        <f t="shared" si="54"/>
        <v>66.777292281465819</v>
      </c>
      <c r="EZ27" s="192"/>
      <c r="FA27" s="193"/>
      <c r="FC27" s="193"/>
    </row>
    <row r="28" spans="1:170" s="169" customFormat="1" ht="15" customHeight="1">
      <c r="A28" s="181">
        <v>15</v>
      </c>
      <c r="B28" s="194" t="s">
        <v>317</v>
      </c>
      <c r="C28" s="430">
        <f t="shared" si="14"/>
        <v>12545.68858</v>
      </c>
      <c r="D28" s="417">
        <f>G28+CA28+CY28</f>
        <v>1748.8808000000001</v>
      </c>
      <c r="E28" s="187">
        <f>D28/C28*100</f>
        <v>13.940094151452309</v>
      </c>
      <c r="F28" s="185">
        <f t="shared" si="2"/>
        <v>3043.3092899999997</v>
      </c>
      <c r="G28" s="185">
        <f>J28+Y28+AB28+AE28+AH28+AN28+AT28+BF28+AK28+BR28+BO28+AZ28+M28+S28+P28+V28+AQ28</f>
        <v>567.90640000000008</v>
      </c>
      <c r="H28" s="187">
        <f>G28/F28*100</f>
        <v>18.660817744226062</v>
      </c>
      <c r="I28" s="195">
        <f>Яра!C6</f>
        <v>137.33699999999999</v>
      </c>
      <c r="J28" s="188">
        <f>Яра!D6</f>
        <v>39.724699999999999</v>
      </c>
      <c r="K28" s="187">
        <f t="shared" si="16"/>
        <v>28.924980158296748</v>
      </c>
      <c r="L28" s="187">
        <f>Яра!C8</f>
        <v>274.90499999999997</v>
      </c>
      <c r="M28" s="187">
        <f>Яра!D8</f>
        <v>128.12006</v>
      </c>
      <c r="N28" s="184">
        <f t="shared" si="17"/>
        <v>46.605212709845226</v>
      </c>
      <c r="O28" s="184">
        <f>Яра!C9</f>
        <v>2.948</v>
      </c>
      <c r="P28" s="184">
        <f>Яра!D9</f>
        <v>0.93518999999999997</v>
      </c>
      <c r="Q28" s="184">
        <f t="shared" si="18"/>
        <v>31.722862957937586</v>
      </c>
      <c r="R28" s="184">
        <f>Яра!C10</f>
        <v>459.15699999999998</v>
      </c>
      <c r="S28" s="184">
        <f>Яра!D10</f>
        <v>182.11678000000001</v>
      </c>
      <c r="T28" s="184">
        <f t="shared" si="19"/>
        <v>39.663291640985548</v>
      </c>
      <c r="U28" s="184">
        <f>Яра!C11</f>
        <v>0</v>
      </c>
      <c r="V28" s="386">
        <f>Яра!D11</f>
        <v>-26.482050000000001</v>
      </c>
      <c r="W28" s="184" t="e">
        <f t="shared" si="20"/>
        <v>#DIV/0!</v>
      </c>
      <c r="X28" s="195">
        <f>Яра!C13</f>
        <v>21</v>
      </c>
      <c r="Y28" s="195">
        <f>Яра!D13</f>
        <v>18.549779999999998</v>
      </c>
      <c r="Z28" s="187">
        <f t="shared" si="21"/>
        <v>88.332285714285703</v>
      </c>
      <c r="AA28" s="195">
        <f>Яра!C15</f>
        <v>201</v>
      </c>
      <c r="AB28" s="385">
        <f>Яра!D15</f>
        <v>20.812069999999999</v>
      </c>
      <c r="AC28" s="187">
        <f t="shared" si="22"/>
        <v>10.354263681592039</v>
      </c>
      <c r="AD28" s="195">
        <f>Яра!C16</f>
        <v>1494.3772899999999</v>
      </c>
      <c r="AE28" s="195">
        <f>Яра!D16</f>
        <v>122.82890999999999</v>
      </c>
      <c r="AF28" s="187">
        <f t="shared" si="4"/>
        <v>8.2194042175252804</v>
      </c>
      <c r="AG28" s="187">
        <f>Яра!C18</f>
        <v>12</v>
      </c>
      <c r="AH28" s="187">
        <f>Яра!D18</f>
        <v>3.87</v>
      </c>
      <c r="AI28" s="187">
        <f t="shared" si="23"/>
        <v>32.25</v>
      </c>
      <c r="AJ28" s="187"/>
      <c r="AK28" s="187"/>
      <c r="AL28" s="187" t="e">
        <f>AJ28/AK28*100</f>
        <v>#DIV/0!</v>
      </c>
      <c r="AM28" s="195">
        <v>0</v>
      </c>
      <c r="AN28" s="195">
        <v>0</v>
      </c>
      <c r="AO28" s="187" t="e">
        <f t="shared" si="6"/>
        <v>#DIV/0!</v>
      </c>
      <c r="AP28" s="195">
        <f>Яра!C27</f>
        <v>10</v>
      </c>
      <c r="AQ28" s="406">
        <f>Яра!D27</f>
        <v>0.65500000000000003</v>
      </c>
      <c r="AR28" s="187">
        <f t="shared" si="24"/>
        <v>6.5500000000000007</v>
      </c>
      <c r="AS28" s="188">
        <f>Яра!C28</f>
        <v>0</v>
      </c>
      <c r="AT28" s="384">
        <f>Яра!D28</f>
        <v>0</v>
      </c>
      <c r="AU28" s="187" t="e">
        <f t="shared" si="25"/>
        <v>#DIV/0!</v>
      </c>
      <c r="AV28" s="195"/>
      <c r="AW28" s="195"/>
      <c r="AX28" s="187" t="e">
        <f t="shared" si="26"/>
        <v>#DIV/0!</v>
      </c>
      <c r="AY28" s="187">
        <f>Яра!C31</f>
        <v>0</v>
      </c>
      <c r="AZ28" s="225">
        <f>Яра!D31</f>
        <v>37.896369999999997</v>
      </c>
      <c r="BA28" s="187" t="e">
        <f t="shared" si="27"/>
        <v>#DIV/0!</v>
      </c>
      <c r="BB28" s="187"/>
      <c r="BC28" s="187"/>
      <c r="BD28" s="187"/>
      <c r="BE28" s="187">
        <f>Яра!C34</f>
        <v>430.58499999999998</v>
      </c>
      <c r="BF28" s="187">
        <v>0</v>
      </c>
      <c r="BG28" s="187">
        <f t="shared" si="28"/>
        <v>0</v>
      </c>
      <c r="BH28" s="187"/>
      <c r="BI28" s="187"/>
      <c r="BJ28" s="187" t="e">
        <f t="shared" si="29"/>
        <v>#DIV/0!</v>
      </c>
      <c r="BK28" s="187"/>
      <c r="BL28" s="187"/>
      <c r="BM28" s="187"/>
      <c r="BN28" s="187">
        <f>Яра!C35</f>
        <v>0</v>
      </c>
      <c r="BO28" s="355">
        <f>Яра!D35</f>
        <v>38.87959</v>
      </c>
      <c r="BP28" s="187" t="e">
        <f t="shared" si="30"/>
        <v>#DIV/0!</v>
      </c>
      <c r="BQ28" s="187">
        <f>Яра!C37</f>
        <v>0</v>
      </c>
      <c r="BR28" s="187">
        <f>Яра!D37</f>
        <v>0</v>
      </c>
      <c r="BS28" s="187" t="e">
        <f t="shared" si="31"/>
        <v>#DIV/0!</v>
      </c>
      <c r="BT28" s="187"/>
      <c r="BU28" s="187"/>
      <c r="BV28" s="196" t="e">
        <f t="shared" si="32"/>
        <v>#DIV/0!</v>
      </c>
      <c r="BW28" s="196"/>
      <c r="BX28" s="196"/>
      <c r="BY28" s="196" t="e">
        <f t="shared" si="33"/>
        <v>#DIV/0!</v>
      </c>
      <c r="BZ28" s="186">
        <f t="shared" si="34"/>
        <v>9502.3792900000008</v>
      </c>
      <c r="CA28" s="186">
        <f t="shared" si="35"/>
        <v>1180.9744000000001</v>
      </c>
      <c r="CB28" s="187">
        <f t="shared" si="53"/>
        <v>12.428196812169134</v>
      </c>
      <c r="CC28" s="187">
        <f>Яра!C42</f>
        <v>1852.8</v>
      </c>
      <c r="CD28" s="187">
        <f>Яра!D42</f>
        <v>617.6</v>
      </c>
      <c r="CE28" s="187">
        <f t="shared" si="36"/>
        <v>33.333333333333336</v>
      </c>
      <c r="CF28" s="187">
        <f>Яра!C43</f>
        <v>494</v>
      </c>
      <c r="CG28" s="187">
        <f>Яра!D43</f>
        <v>100</v>
      </c>
      <c r="CH28" s="187">
        <f t="shared" si="37"/>
        <v>20.242914979757085</v>
      </c>
      <c r="CI28" s="187">
        <f>Яра!C44</f>
        <v>4723.53629</v>
      </c>
      <c r="CJ28" s="187">
        <f>Яра!D44</f>
        <v>403.22800000000001</v>
      </c>
      <c r="CK28" s="187">
        <f t="shared" si="7"/>
        <v>8.5365703837960769</v>
      </c>
      <c r="CL28" s="187">
        <f>Яра!C45</f>
        <v>182.04300000000001</v>
      </c>
      <c r="CM28" s="187">
        <f>Яра!D45</f>
        <v>60.1464</v>
      </c>
      <c r="CN28" s="187">
        <f t="shared" si="8"/>
        <v>33.039666452431568</v>
      </c>
      <c r="CO28" s="187">
        <f>Яра!C47</f>
        <v>2250</v>
      </c>
      <c r="CP28" s="187">
        <f>Яра!D47</f>
        <v>0</v>
      </c>
      <c r="CQ28" s="187"/>
      <c r="CR28" s="391">
        <f>Яра!C51</f>
        <v>0</v>
      </c>
      <c r="CS28" s="187">
        <f>Яра!D51</f>
        <v>0</v>
      </c>
      <c r="CT28" s="187" t="e">
        <f t="shared" si="9"/>
        <v>#DIV/0!</v>
      </c>
      <c r="CU28" s="187"/>
      <c r="CV28" s="187"/>
      <c r="CW28" s="187"/>
      <c r="CX28" s="195"/>
      <c r="CY28" s="195"/>
      <c r="CZ28" s="187" t="e">
        <f t="shared" si="38"/>
        <v>#DIV/0!</v>
      </c>
      <c r="DA28" s="187"/>
      <c r="DB28" s="187">
        <f>Яра!D46</f>
        <v>0</v>
      </c>
      <c r="DC28" s="187" t="e">
        <f>DB28/DA28</f>
        <v>#DIV/0!</v>
      </c>
      <c r="DD28" s="187"/>
      <c r="DE28" s="187"/>
      <c r="DF28" s="187"/>
      <c r="DG28" s="188">
        <f t="shared" si="39"/>
        <v>13760.587640000002</v>
      </c>
      <c r="DH28" s="188">
        <f t="shared" si="39"/>
        <v>2015.50722</v>
      </c>
      <c r="DI28" s="187">
        <f t="shared" si="40"/>
        <v>14.64695602200314</v>
      </c>
      <c r="DJ28" s="195">
        <f t="shared" si="41"/>
        <v>1209.8699999999999</v>
      </c>
      <c r="DK28" s="195">
        <f t="shared" si="41"/>
        <v>462.62432999999999</v>
      </c>
      <c r="DL28" s="187">
        <f t="shared" si="42"/>
        <v>38.237523866200505</v>
      </c>
      <c r="DM28" s="187">
        <f>Яра!C59</f>
        <v>1197.0999999999999</v>
      </c>
      <c r="DN28" s="187">
        <f>Яра!D59</f>
        <v>454.85482999999999</v>
      </c>
      <c r="DO28" s="187">
        <f t="shared" si="43"/>
        <v>37.99639378498037</v>
      </c>
      <c r="DP28" s="187">
        <f>Яра!C62</f>
        <v>0</v>
      </c>
      <c r="DQ28" s="187">
        <f>Яра!D62</f>
        <v>0</v>
      </c>
      <c r="DR28" s="187" t="e">
        <f t="shared" si="44"/>
        <v>#DIV/0!</v>
      </c>
      <c r="DS28" s="187">
        <f>Яра!C63</f>
        <v>5</v>
      </c>
      <c r="DT28" s="187">
        <f>Яра!D63</f>
        <v>0</v>
      </c>
      <c r="DU28" s="187">
        <f t="shared" si="45"/>
        <v>0</v>
      </c>
      <c r="DV28" s="187">
        <f>Яра!C64</f>
        <v>7.77</v>
      </c>
      <c r="DW28" s="187">
        <f>Яра!D64</f>
        <v>7.7694999999999999</v>
      </c>
      <c r="DX28" s="187">
        <f t="shared" si="46"/>
        <v>99.993564993565002</v>
      </c>
      <c r="DY28" s="187">
        <f>Яра!C66</f>
        <v>179.892</v>
      </c>
      <c r="DZ28" s="187">
        <f>Яра!D65</f>
        <v>58.744230000000002</v>
      </c>
      <c r="EA28" s="187">
        <f t="shared" si="47"/>
        <v>32.655276499232876</v>
      </c>
      <c r="EB28" s="187">
        <f>Яра!C67</f>
        <v>6.1749999999999998</v>
      </c>
      <c r="EC28" s="187">
        <f>Яра!D67</f>
        <v>1.175</v>
      </c>
      <c r="ED28" s="187">
        <f t="shared" si="48"/>
        <v>19.028340080971663</v>
      </c>
      <c r="EE28" s="195">
        <f>Яра!C73</f>
        <v>5483.0478000000003</v>
      </c>
      <c r="EF28" s="195">
        <f>Яра!D73</f>
        <v>468.36457999999999</v>
      </c>
      <c r="EG28" s="187">
        <f t="shared" si="49"/>
        <v>8.5420480923037001</v>
      </c>
      <c r="EH28" s="195">
        <f>Яра!C78</f>
        <v>527.78099999999995</v>
      </c>
      <c r="EI28" s="195">
        <f>Яра!D78</f>
        <v>195.06657999999999</v>
      </c>
      <c r="EJ28" s="187">
        <f t="shared" si="50"/>
        <v>36.959757929898956</v>
      </c>
      <c r="EK28" s="195">
        <f>Яра!C82</f>
        <v>6291.9098400000003</v>
      </c>
      <c r="EL28" s="197">
        <f>Яра!D82</f>
        <v>803.76350000000002</v>
      </c>
      <c r="EM28" s="187">
        <f t="shared" si="10"/>
        <v>12.774555269215366</v>
      </c>
      <c r="EN28" s="187">
        <f>Яра!C84</f>
        <v>0</v>
      </c>
      <c r="EO28" s="187">
        <f>Яра!D84</f>
        <v>0</v>
      </c>
      <c r="EP28" s="187" t="e">
        <f t="shared" si="11"/>
        <v>#DIV/0!</v>
      </c>
      <c r="EQ28" s="198">
        <f>Яра!C89</f>
        <v>61.911999999999999</v>
      </c>
      <c r="ER28" s="198">
        <f>Яра!D89</f>
        <v>25.768999999999998</v>
      </c>
      <c r="ES28" s="187">
        <f t="shared" si="51"/>
        <v>41.621979583925572</v>
      </c>
      <c r="ET28" s="187">
        <f>Яра!C95</f>
        <v>0</v>
      </c>
      <c r="EU28" s="187">
        <f>Яра!D95</f>
        <v>0</v>
      </c>
      <c r="EV28" s="184" t="e">
        <f t="shared" si="52"/>
        <v>#DIV/0!</v>
      </c>
      <c r="EW28" s="191">
        <f t="shared" si="12"/>
        <v>-1214.8990600000016</v>
      </c>
      <c r="EX28" s="191">
        <f t="shared" si="13"/>
        <v>-266.62641999999983</v>
      </c>
      <c r="EY28" s="184">
        <f t="shared" si="54"/>
        <v>21.946384582765212</v>
      </c>
      <c r="EZ28" s="192"/>
      <c r="FA28" s="193"/>
      <c r="FC28" s="193"/>
    </row>
    <row r="29" spans="1:170" s="169" customFormat="1" ht="15" customHeight="1">
      <c r="A29" s="181">
        <v>16</v>
      </c>
      <c r="B29" s="182" t="s">
        <v>318</v>
      </c>
      <c r="C29" s="183">
        <f t="shared" si="14"/>
        <v>11993.216989999999</v>
      </c>
      <c r="D29" s="417">
        <f t="shared" si="0"/>
        <v>1328.3191999999999</v>
      </c>
      <c r="E29" s="184">
        <f t="shared" si="1"/>
        <v>11.075587151533728</v>
      </c>
      <c r="F29" s="185">
        <f t="shared" si="2"/>
        <v>2315.6602800000001</v>
      </c>
      <c r="G29" s="185">
        <f t="shared" si="3"/>
        <v>464.58452</v>
      </c>
      <c r="H29" s="184">
        <f t="shared" si="15"/>
        <v>20.062723535595644</v>
      </c>
      <c r="I29" s="186">
        <f>Яро!C6</f>
        <v>109.68899999999999</v>
      </c>
      <c r="J29" s="188">
        <f>Яро!D6</f>
        <v>32.203409999999998</v>
      </c>
      <c r="K29" s="184">
        <f t="shared" si="16"/>
        <v>29.358832699723763</v>
      </c>
      <c r="L29" s="184">
        <f>Яро!C8</f>
        <v>157.55000000000001</v>
      </c>
      <c r="M29" s="184">
        <f>Яро!D8</f>
        <v>73.425539999999998</v>
      </c>
      <c r="N29" s="184">
        <f t="shared" si="17"/>
        <v>46.604595366550292</v>
      </c>
      <c r="O29" s="184">
        <f>Яро!C9</f>
        <v>1.69</v>
      </c>
      <c r="P29" s="184">
        <f>Яро!D9</f>
        <v>0.53595000000000004</v>
      </c>
      <c r="Q29" s="184">
        <f t="shared" si="18"/>
        <v>31.713017751479295</v>
      </c>
      <c r="R29" s="184">
        <f>Яро!C10</f>
        <v>263.14</v>
      </c>
      <c r="S29" s="184">
        <f>Яро!D10</f>
        <v>104.37102</v>
      </c>
      <c r="T29" s="184">
        <f t="shared" si="19"/>
        <v>39.663684730561684</v>
      </c>
      <c r="U29" s="184">
        <f>Яро!C11</f>
        <v>0</v>
      </c>
      <c r="V29" s="386">
        <f>Яро!D11</f>
        <v>-15.17684</v>
      </c>
      <c r="W29" s="184" t="e">
        <f t="shared" si="20"/>
        <v>#DIV/0!</v>
      </c>
      <c r="X29" s="186">
        <f>Яро!C13</f>
        <v>5</v>
      </c>
      <c r="Y29" s="186">
        <f>Яро!D13</f>
        <v>0.77749999999999997</v>
      </c>
      <c r="Z29" s="184">
        <f t="shared" si="21"/>
        <v>15.55</v>
      </c>
      <c r="AA29" s="186">
        <f>Яро!C15</f>
        <v>428</v>
      </c>
      <c r="AB29" s="385">
        <f>Яро!D15</f>
        <v>94.494500000000002</v>
      </c>
      <c r="AC29" s="184">
        <f t="shared" si="22"/>
        <v>22.078154205607479</v>
      </c>
      <c r="AD29" s="186">
        <f>Яро!C16</f>
        <v>1028</v>
      </c>
      <c r="AE29" s="186">
        <f>Яро!D16</f>
        <v>82.918080000000003</v>
      </c>
      <c r="AF29" s="184">
        <f t="shared" si="4"/>
        <v>8.0659610894941647</v>
      </c>
      <c r="AG29" s="184">
        <f>Яро!C18</f>
        <v>5</v>
      </c>
      <c r="AH29" s="184">
        <f>Яро!D18</f>
        <v>2.15</v>
      </c>
      <c r="AI29" s="184">
        <f t="shared" si="23"/>
        <v>43</v>
      </c>
      <c r="AJ29" s="184"/>
      <c r="AK29" s="184"/>
      <c r="AL29" s="184" t="e">
        <f>AJ29/AK29*100</f>
        <v>#DIV/0!</v>
      </c>
      <c r="AM29" s="186">
        <v>0</v>
      </c>
      <c r="AN29" s="186">
        <v>0</v>
      </c>
      <c r="AO29" s="184" t="e">
        <f t="shared" si="6"/>
        <v>#DIV/0!</v>
      </c>
      <c r="AP29" s="186">
        <f>Яро!C26</f>
        <v>300</v>
      </c>
      <c r="AQ29" s="405">
        <f>Яро!D27</f>
        <v>77.393360000000001</v>
      </c>
      <c r="AR29" s="184">
        <f t="shared" si="24"/>
        <v>25.797786666666667</v>
      </c>
      <c r="AS29" s="188">
        <v>0</v>
      </c>
      <c r="AT29" s="203">
        <f>Яро!D28</f>
        <v>0</v>
      </c>
      <c r="AU29" s="184" t="e">
        <f t="shared" si="25"/>
        <v>#DIV/0!</v>
      </c>
      <c r="AV29" s="186"/>
      <c r="AW29" s="186"/>
      <c r="AX29" s="184" t="e">
        <f t="shared" si="26"/>
        <v>#DIV/0!</v>
      </c>
      <c r="AY29" s="184"/>
      <c r="AZ29" s="225">
        <f>Яро!D29</f>
        <v>5.093</v>
      </c>
      <c r="BA29" s="184" t="e">
        <f t="shared" si="27"/>
        <v>#DIV/0!</v>
      </c>
      <c r="BB29" s="184"/>
      <c r="BC29" s="184"/>
      <c r="BD29" s="184"/>
      <c r="BE29" s="184">
        <f>Яро!C33</f>
        <v>17.591280000000001</v>
      </c>
      <c r="BF29" s="184">
        <f>Яро!D31</f>
        <v>6.399</v>
      </c>
      <c r="BG29" s="184">
        <f t="shared" si="28"/>
        <v>36.37597718869803</v>
      </c>
      <c r="BH29" s="184"/>
      <c r="BI29" s="184"/>
      <c r="BJ29" s="184" t="e">
        <f t="shared" si="29"/>
        <v>#DIV/0!</v>
      </c>
      <c r="BK29" s="184"/>
      <c r="BL29" s="184"/>
      <c r="BM29" s="184"/>
      <c r="BN29" s="184"/>
      <c r="BO29" s="184"/>
      <c r="BP29" s="184" t="e">
        <f t="shared" si="30"/>
        <v>#DIV/0!</v>
      </c>
      <c r="BQ29" s="184">
        <f>Яро!C34</f>
        <v>0</v>
      </c>
      <c r="BR29" s="184">
        <f>Яро!D34</f>
        <v>0</v>
      </c>
      <c r="BS29" s="184" t="e">
        <f t="shared" si="31"/>
        <v>#DIV/0!</v>
      </c>
      <c r="BT29" s="184"/>
      <c r="BU29" s="184"/>
      <c r="BV29" s="189" t="e">
        <f t="shared" si="32"/>
        <v>#DIV/0!</v>
      </c>
      <c r="BW29" s="189"/>
      <c r="BX29" s="189"/>
      <c r="BY29" s="189" t="e">
        <f t="shared" si="33"/>
        <v>#DIV/0!</v>
      </c>
      <c r="BZ29" s="186">
        <f t="shared" si="34"/>
        <v>9677.5567099999989</v>
      </c>
      <c r="CA29" s="186">
        <f t="shared" si="35"/>
        <v>863.73468000000003</v>
      </c>
      <c r="CB29" s="184">
        <f t="shared" si="53"/>
        <v>8.9251316823334861</v>
      </c>
      <c r="CC29" s="187">
        <f>Яро!C39</f>
        <v>550.70000000000005</v>
      </c>
      <c r="CD29" s="187">
        <f>Яро!D39</f>
        <v>183.56800000000001</v>
      </c>
      <c r="CE29" s="184">
        <f t="shared" si="36"/>
        <v>33.333575449427997</v>
      </c>
      <c r="CF29" s="184">
        <f>Яро!C40</f>
        <v>3200</v>
      </c>
      <c r="CG29" s="184">
        <f>Яро!D40</f>
        <v>140</v>
      </c>
      <c r="CH29" s="184">
        <f t="shared" si="37"/>
        <v>4.375</v>
      </c>
      <c r="CI29" s="184">
        <f>Яро!C41</f>
        <v>5593.3550299999997</v>
      </c>
      <c r="CJ29" s="184">
        <f>Яро!D41</f>
        <v>269.904</v>
      </c>
      <c r="CK29" s="184">
        <f t="shared" si="7"/>
        <v>4.82544016162693</v>
      </c>
      <c r="CL29" s="184">
        <f>Яро!C42</f>
        <v>93.018000000000001</v>
      </c>
      <c r="CM29" s="184">
        <f>Яро!D42</f>
        <v>29.779</v>
      </c>
      <c r="CN29" s="184">
        <f t="shared" si="8"/>
        <v>32.014233804209937</v>
      </c>
      <c r="CO29" s="184">
        <f>Яро!C44</f>
        <v>0</v>
      </c>
      <c r="CP29" s="184">
        <f>Яро!D44</f>
        <v>0</v>
      </c>
      <c r="CQ29" s="184" t="e">
        <f>Яро!E44</f>
        <v>#DIV/0!</v>
      </c>
      <c r="CR29" s="386">
        <f>Яро!C45</f>
        <v>240.48367999999999</v>
      </c>
      <c r="CS29" s="184">
        <f>Яро!D45</f>
        <v>240.48367999999999</v>
      </c>
      <c r="CT29" s="184">
        <f t="shared" si="9"/>
        <v>100</v>
      </c>
      <c r="CU29" s="184"/>
      <c r="CV29" s="184"/>
      <c r="CW29" s="184"/>
      <c r="CX29" s="186"/>
      <c r="CY29" s="186"/>
      <c r="CZ29" s="184" t="e">
        <f t="shared" si="38"/>
        <v>#DIV/0!</v>
      </c>
      <c r="DA29" s="184"/>
      <c r="DB29" s="184"/>
      <c r="DC29" s="184"/>
      <c r="DD29" s="184"/>
      <c r="DE29" s="184"/>
      <c r="DF29" s="184"/>
      <c r="DG29" s="188">
        <f t="shared" si="39"/>
        <v>12045.491419999998</v>
      </c>
      <c r="DH29" s="188">
        <f t="shared" si="39"/>
        <v>1243.9735400000002</v>
      </c>
      <c r="DI29" s="184">
        <f t="shared" si="40"/>
        <v>10.327295887111266</v>
      </c>
      <c r="DJ29" s="186">
        <f t="shared" si="41"/>
        <v>1294.6619999999998</v>
      </c>
      <c r="DK29" s="186">
        <f t="shared" si="41"/>
        <v>409.47600999999997</v>
      </c>
      <c r="DL29" s="184">
        <f t="shared" si="42"/>
        <v>31.628024148387766</v>
      </c>
      <c r="DM29" s="184">
        <f>Яро!C55</f>
        <v>1286.5719999999999</v>
      </c>
      <c r="DN29" s="184">
        <f>Яро!D55</f>
        <v>406.38650999999999</v>
      </c>
      <c r="DO29" s="184">
        <f t="shared" si="43"/>
        <v>31.586767782914599</v>
      </c>
      <c r="DP29" s="184">
        <f>Яро!C58</f>
        <v>0</v>
      </c>
      <c r="DQ29" s="184">
        <f>Яро!D58</f>
        <v>0</v>
      </c>
      <c r="DR29" s="184" t="e">
        <f t="shared" si="44"/>
        <v>#DIV/0!</v>
      </c>
      <c r="DS29" s="184">
        <f>Яро!C59</f>
        <v>5</v>
      </c>
      <c r="DT29" s="184">
        <f>Яро!D59</f>
        <v>0</v>
      </c>
      <c r="DU29" s="184">
        <f t="shared" si="45"/>
        <v>0</v>
      </c>
      <c r="DV29" s="184">
        <f>Яро!C60</f>
        <v>3.09</v>
      </c>
      <c r="DW29" s="184">
        <f>Яро!D60</f>
        <v>3.0895000000000001</v>
      </c>
      <c r="DX29" s="184">
        <f t="shared" si="46"/>
        <v>99.983818770226549</v>
      </c>
      <c r="DY29" s="184">
        <f>Яро!C61</f>
        <v>89.944999999999993</v>
      </c>
      <c r="DZ29" s="184">
        <f>Яро!D61</f>
        <v>24.889849999999999</v>
      </c>
      <c r="EA29" s="184">
        <f t="shared" si="47"/>
        <v>27.672299738729222</v>
      </c>
      <c r="EB29" s="184">
        <f>Яро!C63</f>
        <v>16</v>
      </c>
      <c r="EC29" s="184">
        <f>Яро!D63</f>
        <v>4.6354300000000004</v>
      </c>
      <c r="ED29" s="184">
        <f t="shared" si="48"/>
        <v>28.971437500000004</v>
      </c>
      <c r="EE29" s="186">
        <f>Яро!C69</f>
        <v>4031.9520299999995</v>
      </c>
      <c r="EF29" s="186">
        <f>Яро!D69</f>
        <v>415.88939999999997</v>
      </c>
      <c r="EG29" s="184">
        <f t="shared" si="49"/>
        <v>10.314839980871499</v>
      </c>
      <c r="EH29" s="186">
        <f>Яро!C74</f>
        <v>233.28959</v>
      </c>
      <c r="EI29" s="186">
        <f>Яро!D74</f>
        <v>132.79785000000001</v>
      </c>
      <c r="EJ29" s="184">
        <f t="shared" si="50"/>
        <v>56.924035916047522</v>
      </c>
      <c r="EK29" s="186">
        <f>Яро!C79</f>
        <v>6377.6427999999996</v>
      </c>
      <c r="EL29" s="190">
        <f>Яро!D78</f>
        <v>255</v>
      </c>
      <c r="EM29" s="184">
        <f t="shared" si="10"/>
        <v>3.9983424596937289</v>
      </c>
      <c r="EN29" s="184">
        <f>Яро!C80</f>
        <v>0</v>
      </c>
      <c r="EO29" s="184">
        <f>Яро!D80</f>
        <v>0</v>
      </c>
      <c r="EP29" s="184" t="e">
        <f t="shared" si="11"/>
        <v>#DIV/0!</v>
      </c>
      <c r="EQ29" s="185">
        <f>Яро!C85</f>
        <v>2</v>
      </c>
      <c r="ER29" s="185">
        <f>Яро!D85</f>
        <v>1.2849999999999999</v>
      </c>
      <c r="ES29" s="184">
        <f t="shared" si="51"/>
        <v>64.25</v>
      </c>
      <c r="ET29" s="184">
        <f>Яро!C91</f>
        <v>0</v>
      </c>
      <c r="EU29" s="184">
        <f>Яро!D91</f>
        <v>0</v>
      </c>
      <c r="EV29" s="184" t="e">
        <f t="shared" si="52"/>
        <v>#DIV/0!</v>
      </c>
      <c r="EW29" s="191">
        <f t="shared" si="12"/>
        <v>-52.274429999999484</v>
      </c>
      <c r="EX29" s="191">
        <f t="shared" si="13"/>
        <v>84.345659999999725</v>
      </c>
      <c r="EY29" s="184">
        <f t="shared" si="54"/>
        <v>-161.35165892770243</v>
      </c>
      <c r="EZ29" s="192"/>
      <c r="FA29" s="193"/>
      <c r="FC29" s="193"/>
    </row>
    <row r="30" spans="1:170" s="169" customFormat="1" ht="17.25" customHeight="1">
      <c r="A30" s="201"/>
      <c r="B30" s="202"/>
      <c r="C30" s="183"/>
      <c r="D30" s="284"/>
      <c r="E30" s="184"/>
      <c r="F30" s="185"/>
      <c r="G30" s="186"/>
      <c r="H30" s="184"/>
      <c r="I30" s="186"/>
      <c r="J30" s="203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386"/>
      <c r="W30" s="184"/>
      <c r="X30" s="186"/>
      <c r="Y30" s="186"/>
      <c r="Z30" s="184"/>
      <c r="AA30" s="186"/>
      <c r="AB30" s="186"/>
      <c r="AC30" s="184"/>
      <c r="AD30" s="186"/>
      <c r="AE30" s="186"/>
      <c r="AF30" s="184"/>
      <c r="AG30" s="184"/>
      <c r="AH30" s="184"/>
      <c r="AI30" s="184"/>
      <c r="AJ30" s="184"/>
      <c r="AK30" s="184"/>
      <c r="AL30" s="184"/>
      <c r="AM30" s="186"/>
      <c r="AN30" s="186"/>
      <c r="AO30" s="184"/>
      <c r="AP30" s="186"/>
      <c r="AQ30" s="186"/>
      <c r="AR30" s="184"/>
      <c r="AS30" s="186"/>
      <c r="AT30" s="203"/>
      <c r="AU30" s="184"/>
      <c r="AV30" s="186"/>
      <c r="AW30" s="186"/>
      <c r="AX30" s="184"/>
      <c r="AY30" s="184"/>
      <c r="AZ30" s="225"/>
      <c r="BA30" s="184" t="e">
        <f t="shared" si="27"/>
        <v>#DIV/0!</v>
      </c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9"/>
      <c r="BW30" s="189"/>
      <c r="BX30" s="189"/>
      <c r="BY30" s="189"/>
      <c r="BZ30" s="203"/>
      <c r="CA30" s="186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386"/>
      <c r="CS30" s="184"/>
      <c r="CT30" s="184"/>
      <c r="CU30" s="184"/>
      <c r="CV30" s="184"/>
      <c r="CW30" s="184"/>
      <c r="CX30" s="186"/>
      <c r="CY30" s="186"/>
      <c r="CZ30" s="184"/>
      <c r="DA30" s="184"/>
      <c r="DB30" s="184"/>
      <c r="DC30" s="184"/>
      <c r="DD30" s="184"/>
      <c r="DE30" s="184"/>
      <c r="DF30" s="184"/>
      <c r="DG30" s="186"/>
      <c r="DH30" s="186"/>
      <c r="DI30" s="184"/>
      <c r="DJ30" s="186"/>
      <c r="DK30" s="203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4"/>
      <c r="DY30" s="184"/>
      <c r="DZ30" s="222"/>
      <c r="EA30" s="184"/>
      <c r="EB30" s="184"/>
      <c r="EC30" s="184"/>
      <c r="ED30" s="184"/>
      <c r="EE30" s="186"/>
      <c r="EF30" s="186"/>
      <c r="EG30" s="184"/>
      <c r="EH30" s="186"/>
      <c r="EI30" s="186"/>
      <c r="EJ30" s="184"/>
      <c r="EK30" s="186"/>
      <c r="EL30" s="186"/>
      <c r="EM30" s="184"/>
      <c r="EN30" s="184"/>
      <c r="EO30" s="184"/>
      <c r="EP30" s="184"/>
      <c r="EQ30" s="185"/>
      <c r="ER30" s="185"/>
      <c r="ES30" s="184"/>
      <c r="ET30" s="184"/>
      <c r="EU30" s="184"/>
      <c r="EV30" s="184"/>
      <c r="EW30" s="191"/>
      <c r="EX30" s="191"/>
      <c r="EY30" s="184" t="e">
        <f t="shared" si="54"/>
        <v>#DIV/0!</v>
      </c>
      <c r="FA30" s="193"/>
      <c r="FC30" s="193"/>
    </row>
    <row r="31" spans="1:170" s="205" customFormat="1" ht="15.75">
      <c r="A31" s="515" t="s">
        <v>179</v>
      </c>
      <c r="B31" s="516"/>
      <c r="C31" s="285">
        <f>SUM(C14:C29)</f>
        <v>135443.00868999999</v>
      </c>
      <c r="D31" s="285">
        <f>SUM(D14:D29)</f>
        <v>27331.327570000001</v>
      </c>
      <c r="E31" s="204">
        <f>D31/C31*100</f>
        <v>20.179208830597929</v>
      </c>
      <c r="F31" s="389">
        <f>SUM(F14:F29)</f>
        <v>39371.26857</v>
      </c>
      <c r="G31" s="365">
        <f>SUM(G14:G29)</f>
        <v>9389.4296599999998</v>
      </c>
      <c r="H31" s="236">
        <f>G31/F31*100</f>
        <v>23.848430596809695</v>
      </c>
      <c r="I31" s="365">
        <f>SUM(I14:I29)</f>
        <v>5296.6999999999989</v>
      </c>
      <c r="J31" s="365">
        <f>SUM(J14:J29)</f>
        <v>1670.1292600000002</v>
      </c>
      <c r="K31" s="236">
        <f>J31/I31*100</f>
        <v>31.531505654464109</v>
      </c>
      <c r="L31" s="236">
        <f>SUM(L14:L29)</f>
        <v>3048.8849999999993</v>
      </c>
      <c r="M31" s="437">
        <f>SUM(M14:M29)</f>
        <v>1420.9340499999998</v>
      </c>
      <c r="N31" s="236">
        <f>M31/L31*100</f>
        <v>46.605039219255566</v>
      </c>
      <c r="O31" s="236">
        <f>SUM(O14:O29)</f>
        <v>32.633000000000003</v>
      </c>
      <c r="P31" s="236">
        <f>SUM(P14:P29)</f>
        <v>10.371960000000001</v>
      </c>
      <c r="Q31" s="236">
        <f>P31/O31*100</f>
        <v>31.783654582784298</v>
      </c>
      <c r="R31" s="236">
        <f>SUM(R14:R29)</f>
        <v>5092.3970000000008</v>
      </c>
      <c r="S31" s="236">
        <f>SUM(S14:S29)</f>
        <v>2019.7924300000002</v>
      </c>
      <c r="T31" s="236">
        <f>S31/R31*100</f>
        <v>39.662901969347637</v>
      </c>
      <c r="U31" s="236">
        <f>SUM(U14:U29)</f>
        <v>0</v>
      </c>
      <c r="V31" s="388">
        <f>SUM(V14:V29)</f>
        <v>-293.70318000000003</v>
      </c>
      <c r="W31" s="236" t="e">
        <f>V31/U31*100</f>
        <v>#DIV/0!</v>
      </c>
      <c r="X31" s="233">
        <f>SUM(X14:X29)</f>
        <v>470</v>
      </c>
      <c r="Y31" s="233">
        <f>SUM(Y14:Y29)</f>
        <v>508.04745999999994</v>
      </c>
      <c r="Z31" s="236">
        <f>Y31/X31*100</f>
        <v>108.09520425531913</v>
      </c>
      <c r="AA31" s="233">
        <f>SUM(AA14:AA29)</f>
        <v>5031</v>
      </c>
      <c r="AB31" s="233">
        <f>SUM(AB14:AB29)</f>
        <v>591.77837</v>
      </c>
      <c r="AC31" s="236">
        <f>AB31/AA31*100</f>
        <v>11.762639037964618</v>
      </c>
      <c r="AD31" s="233">
        <f>SUM(AD14:AD29)</f>
        <v>17719.37729</v>
      </c>
      <c r="AE31" s="233">
        <f>SUM(AE14:AE29)</f>
        <v>2164.8010899999999</v>
      </c>
      <c r="AF31" s="236">
        <f>AE31/AD31*100</f>
        <v>12.217139770604208</v>
      </c>
      <c r="AG31" s="357">
        <f>SUM(AG14:AG29)</f>
        <v>147</v>
      </c>
      <c r="AH31" s="236">
        <f>SUM(AH14:AH29)</f>
        <v>45.254999999999995</v>
      </c>
      <c r="AI31" s="184">
        <f t="shared" si="23"/>
        <v>30.785714285714285</v>
      </c>
      <c r="AJ31" s="233">
        <f>AJ14+AJ15+AJ16+AJ17+AJ18+AJ19+AJ20+AJ21+AJ22+AJ23+AJ24+AJ25+AJ26+AJ27+AJ28+AJ29</f>
        <v>0</v>
      </c>
      <c r="AK31" s="233">
        <f>AK14+AK15+AK16+AK17+AK18+AK19+AK20+AK21+AK22+AK23+AK24+AK25+AK26+AK27+AK28+AK29</f>
        <v>0</v>
      </c>
      <c r="AL31" s="184" t="e">
        <f>AK31/AJ31*100</f>
        <v>#DIV/0!</v>
      </c>
      <c r="AM31" s="233">
        <f>SUM(AM14:AM29)</f>
        <v>0</v>
      </c>
      <c r="AN31" s="233">
        <f>SUM(AN14:AN29)</f>
        <v>0</v>
      </c>
      <c r="AO31" s="236" t="e">
        <f>AN31/AM31*100</f>
        <v>#DIV/0!</v>
      </c>
      <c r="AP31" s="233">
        <f>SUM(AP14:AP29)</f>
        <v>1611.4</v>
      </c>
      <c r="AQ31" s="408">
        <f>SUM(AQ14:AQ29)</f>
        <v>667.73933</v>
      </c>
      <c r="AR31" s="236">
        <f>AQ31/AP31*100</f>
        <v>41.438459103884817</v>
      </c>
      <c r="AS31" s="233">
        <f>SUM(AS14:AS29)</f>
        <v>243.7</v>
      </c>
      <c r="AT31" s="365">
        <f>SUM(AT14:AT29)</f>
        <v>119.92903000000001</v>
      </c>
      <c r="AU31" s="236">
        <f>AT31/AS31*100</f>
        <v>49.211748050882235</v>
      </c>
      <c r="AV31" s="233">
        <f>SUM(AV14:AV29)</f>
        <v>0</v>
      </c>
      <c r="AW31" s="233">
        <f>SUM(AW14:AW29)</f>
        <v>0</v>
      </c>
      <c r="AX31" s="236" t="e">
        <f>AW31/AV31*100</f>
        <v>#DIV/0!</v>
      </c>
      <c r="AY31" s="236">
        <f>SUM(AY14:AY29)</f>
        <v>230</v>
      </c>
      <c r="AZ31" s="236">
        <f>SUM(AZ14:AZ29)</f>
        <v>406.21231</v>
      </c>
      <c r="BA31" s="184">
        <f t="shared" si="27"/>
        <v>176.61404782608696</v>
      </c>
      <c r="BB31" s="184">
        <f>SUM(BB14:BB29)</f>
        <v>0</v>
      </c>
      <c r="BC31" s="184">
        <f>SUM(BC14:BC29)</f>
        <v>6.3845299999999998</v>
      </c>
      <c r="BD31" s="184" t="e">
        <f>BC31/BB31*100</f>
        <v>#DIV/0!</v>
      </c>
      <c r="BE31" s="234">
        <f>SUM(BE14:BE29)</f>
        <v>448.17627999999996</v>
      </c>
      <c r="BF31" s="233">
        <f>SUM(BF14:BF29)</f>
        <v>6.399</v>
      </c>
      <c r="BG31" s="233">
        <f t="shared" si="28"/>
        <v>1.4277864058312055</v>
      </c>
      <c r="BH31" s="233">
        <f>SUM(BH14:BH29)</f>
        <v>0</v>
      </c>
      <c r="BI31" s="233">
        <f>SUM(BI14:BI29)</f>
        <v>0</v>
      </c>
      <c r="BJ31" s="236" t="e">
        <f>BI31/BH31*100</f>
        <v>#DIV/0!</v>
      </c>
      <c r="BK31" s="236">
        <f>SUM(BK14:BK29)</f>
        <v>0</v>
      </c>
      <c r="BL31" s="236">
        <f>BL15+BL27+BL28+BL19+BL22+BL26+BL18</f>
        <v>0</v>
      </c>
      <c r="BM31" s="236" t="e">
        <f>BL31/BK31*100</f>
        <v>#DIV/0!</v>
      </c>
      <c r="BN31" s="236">
        <f>BN14+BN15+BN16+BN17+BN18+BN19+BN20+BN21+BN22+BN23+BN24+BN25+BN26+BN27+BN28+BN29</f>
        <v>0</v>
      </c>
      <c r="BO31" s="236">
        <f>BO14+BO15+BO16+BO17+BO18+BO19+BO20+BO21+BO22+BO23+BO24+BO25+BO26+BO27+BO28+BO29</f>
        <v>56.393550000000005</v>
      </c>
      <c r="BP31" s="236" t="e">
        <f>BO31/BN31*100</f>
        <v>#DIV/0!</v>
      </c>
      <c r="BQ31" s="233">
        <f>SUM(BQ14:BQ29)</f>
        <v>0</v>
      </c>
      <c r="BR31" s="353">
        <f>SUM(BR14:BR29)</f>
        <v>-4.6500000000000004</v>
      </c>
      <c r="BS31" s="236" t="e">
        <f>BR31/BQ31*100</f>
        <v>#DIV/0!</v>
      </c>
      <c r="BT31" s="236">
        <f t="shared" ref="BT31:BY31" si="55">SUM(BT14:BT29)</f>
        <v>0</v>
      </c>
      <c r="BU31" s="236"/>
      <c r="BV31" s="236" t="e">
        <f t="shared" si="55"/>
        <v>#DIV/0!</v>
      </c>
      <c r="BW31" s="236">
        <f t="shared" si="55"/>
        <v>0</v>
      </c>
      <c r="BX31" s="236">
        <f t="shared" si="55"/>
        <v>0</v>
      </c>
      <c r="BY31" s="287" t="e">
        <f t="shared" si="55"/>
        <v>#DIV/0!</v>
      </c>
      <c r="BZ31" s="234">
        <f>SUM(BZ14:BZ29)</f>
        <v>96071.740120000002</v>
      </c>
      <c r="CA31" s="233">
        <f>SUM(CA14:CA29)</f>
        <v>17941.897910000003</v>
      </c>
      <c r="CB31" s="233">
        <f t="shared" si="53"/>
        <v>18.675520905095901</v>
      </c>
      <c r="CC31" s="233">
        <f>SUM(CC14:CC29)</f>
        <v>28294.000000000004</v>
      </c>
      <c r="CD31" s="233">
        <f>SUM(CD14:CD29)</f>
        <v>9431.1319999999996</v>
      </c>
      <c r="CE31" s="233">
        <f>CD31/CC31*100</f>
        <v>33.33262175726302</v>
      </c>
      <c r="CF31" s="416">
        <f>SUM(CF14:CF29)</f>
        <v>6651.5</v>
      </c>
      <c r="CG31" s="415">
        <f>SUM(CG14:CG29)</f>
        <v>732.5</v>
      </c>
      <c r="CH31" s="233">
        <f>CG31/CF31*100</f>
        <v>11.012553559347516</v>
      </c>
      <c r="CI31" s="233">
        <f>SUM(CI14:CI29)</f>
        <v>51550.873790000005</v>
      </c>
      <c r="CJ31" s="233">
        <f>SUM(CJ14:CJ29)</f>
        <v>4507.4560000000001</v>
      </c>
      <c r="CK31" s="233">
        <f>CJ31/CI31*100</f>
        <v>8.7437043615628696</v>
      </c>
      <c r="CL31" s="233">
        <f>SUM(CL14:CL29)</f>
        <v>2201.1</v>
      </c>
      <c r="CM31" s="233">
        <f>SUM(CM14:CM29)</f>
        <v>717.58699999999976</v>
      </c>
      <c r="CN31" s="233">
        <f t="shared" si="8"/>
        <v>32.601290263958923</v>
      </c>
      <c r="CO31" s="233">
        <f>SUM(CO14:CO29)</f>
        <v>3926.6381300000003</v>
      </c>
      <c r="CP31" s="233">
        <f>SUM(CP14:CP29)</f>
        <v>0</v>
      </c>
      <c r="CQ31" s="233">
        <f>CP31/CO31*100</f>
        <v>0</v>
      </c>
      <c r="CR31" s="365">
        <f>SUM(CR14:CR29)</f>
        <v>3447.6282000000001</v>
      </c>
      <c r="CS31" s="233">
        <f>SUM(CS14:CS29)</f>
        <v>2553.22291</v>
      </c>
      <c r="CT31" s="233">
        <f t="shared" si="9"/>
        <v>74.057373994098313</v>
      </c>
      <c r="CU31" s="233">
        <f>SUM(CU14:CU29)</f>
        <v>0</v>
      </c>
      <c r="CV31" s="233">
        <f>SUM(CV14:CV29)</f>
        <v>0</v>
      </c>
      <c r="CW31" s="233" t="e">
        <f>CV31/CU31*100</f>
        <v>#DIV/0!</v>
      </c>
      <c r="CX31" s="233">
        <f>SUM(CX14:CX29)</f>
        <v>0</v>
      </c>
      <c r="CY31" s="233">
        <f>SUM(CY14:CY29)</f>
        <v>0</v>
      </c>
      <c r="CZ31" s="236" t="e">
        <f>CY31/CX31*100</f>
        <v>#DIV/0!</v>
      </c>
      <c r="DA31" s="236">
        <f>DA14+DA15+DA16+DA17+DA18+DA19+DA20+DA21+DA22+DA23+DA24+DA25+DA26+DA27+DA28+DA29</f>
        <v>0</v>
      </c>
      <c r="DB31" s="236">
        <f>DB14+DB15+DB16+DB17+DB18+DB19+DB20+DB21+DB22+DB23+DB24+DB25+DB26+DB27+DB28+DB29</f>
        <v>0</v>
      </c>
      <c r="DC31" s="236" t="e">
        <f>DB31/DA31*100</f>
        <v>#DIV/0!</v>
      </c>
      <c r="DD31" s="236">
        <f>DD14+DD15+DD16+DD17+DD18+DD19+DD20+DD21+DD22+DD23+DD24+DD25+DD26+DD27+DD28+DD29</f>
        <v>0</v>
      </c>
      <c r="DE31" s="236">
        <f>DE14+DE15+DE16+DE17+DE18+DE19+DE20+DE21+DE22+DE23+DE24+DE25+DE26+DE27+DE28+DE29</f>
        <v>0</v>
      </c>
      <c r="DF31" s="236">
        <v>0</v>
      </c>
      <c r="DG31" s="234">
        <f>SUM(DG14:DG29)</f>
        <v>143039.30644999997</v>
      </c>
      <c r="DH31" s="234">
        <f>SUM(DH14:DH29)</f>
        <v>26281.976040000001</v>
      </c>
      <c r="DI31" s="236">
        <f>DH31/DG31*100</f>
        <v>18.373953769963911</v>
      </c>
      <c r="DJ31" s="234">
        <f>SUM(DJ14:DJ29)</f>
        <v>21942.412</v>
      </c>
      <c r="DK31" s="234">
        <f>SUM(DK14:DK29)</f>
        <v>7093.4024100000006</v>
      </c>
      <c r="DL31" s="236">
        <f>DK31/DJ31*100</f>
        <v>32.327359499037755</v>
      </c>
      <c r="DM31" s="233">
        <f>SUM(DM14:DM29)</f>
        <v>21522.286</v>
      </c>
      <c r="DN31" s="234">
        <f>SUM(DN14:DN29)</f>
        <v>6792.6438399999988</v>
      </c>
      <c r="DO31" s="236">
        <f>DN31/DM31*100</f>
        <v>31.560977490959829</v>
      </c>
      <c r="DP31" s="233">
        <f>SUM(DP14:DP29)</f>
        <v>0</v>
      </c>
      <c r="DQ31" s="233">
        <f>SUM(DQ14:DQ29)</f>
        <v>0</v>
      </c>
      <c r="DR31" s="236" t="e">
        <f>DQ31/DP31*100</f>
        <v>#DIV/0!</v>
      </c>
      <c r="DS31" s="251">
        <f>SUM(DS14:DS29)</f>
        <v>80</v>
      </c>
      <c r="DT31" s="236">
        <f>SUM(DT14:DT29)</f>
        <v>0</v>
      </c>
      <c r="DU31" s="236">
        <f>DT31/DS31*100</f>
        <v>0</v>
      </c>
      <c r="DV31" s="358">
        <f>SUM(DV14:DV29)</f>
        <v>340.12599999999992</v>
      </c>
      <c r="DW31" s="236">
        <f>SUM(DW14:DW29)</f>
        <v>300.75857000000002</v>
      </c>
      <c r="DX31" s="184">
        <f>DW31/DV31*100</f>
        <v>88.425633441724557</v>
      </c>
      <c r="DY31" s="236">
        <f>SUM(DY14:DY29)</f>
        <v>2158.6999999999998</v>
      </c>
      <c r="DZ31" s="251">
        <f>SUM(DZ14:DZ29)</f>
        <v>698.14467999999999</v>
      </c>
      <c r="EA31" s="233">
        <f t="shared" si="47"/>
        <v>32.340977440126004</v>
      </c>
      <c r="EB31" s="251">
        <f>SUM(EB14:EB29)</f>
        <v>180.98000000000002</v>
      </c>
      <c r="EC31" s="251">
        <f>SUM(EC14:EC29)</f>
        <v>54.550429999999999</v>
      </c>
      <c r="ED31" s="184">
        <f t="shared" si="48"/>
        <v>30.14168968946845</v>
      </c>
      <c r="EE31" s="233">
        <f>SUM(EE14:EE29)</f>
        <v>59618.744009999988</v>
      </c>
      <c r="EF31" s="234">
        <f>SUM(EF14:EF29)</f>
        <v>6645.4254500000015</v>
      </c>
      <c r="EG31" s="236">
        <f>EF31/EE31*100</f>
        <v>11.146537150942578</v>
      </c>
      <c r="EH31" s="353">
        <f>SUM(EH14:EH29)</f>
        <v>20849.351800000004</v>
      </c>
      <c r="EI31" s="234">
        <f>SUM(EI14:EI29)</f>
        <v>3266.18415</v>
      </c>
      <c r="EJ31" s="236">
        <f>EI31/EH31*100</f>
        <v>15.665638823361402</v>
      </c>
      <c r="EK31" s="416">
        <f>SUM(EK14:EK29)</f>
        <v>38112.206640000004</v>
      </c>
      <c r="EL31" s="234">
        <f>SUM(EL14:EL29)</f>
        <v>8465.2329200000004</v>
      </c>
      <c r="EM31" s="236">
        <f>EL31/EK31*100</f>
        <v>22.211342943117501</v>
      </c>
      <c r="EN31" s="234">
        <f>SUM(EN14:EN29)</f>
        <v>0</v>
      </c>
      <c r="EO31" s="234">
        <f>SUM(EO14:EO29)</f>
        <v>0</v>
      </c>
      <c r="EP31" s="236" t="e">
        <f>EO31/EN31*100</f>
        <v>#DIV/0!</v>
      </c>
      <c r="EQ31" s="233">
        <f>SUM(EQ14:EQ29)</f>
        <v>176.91200000000001</v>
      </c>
      <c r="ER31" s="233">
        <f>SUM(ER14:ER29)</f>
        <v>59.035999999999994</v>
      </c>
      <c r="ES31" s="236">
        <f>ER31/EQ31*100</f>
        <v>33.370263181694845</v>
      </c>
      <c r="ET31" s="236">
        <f>SUM(ET14:ET29)</f>
        <v>0</v>
      </c>
      <c r="EU31" s="286">
        <f>SUM(EU14:EU29)</f>
        <v>0</v>
      </c>
      <c r="EV31" s="184" t="e">
        <f>EU31/ET31*100</f>
        <v>#DIV/0!</v>
      </c>
      <c r="EW31" s="251">
        <f>SUM(EW14:EW29)</f>
        <v>-7596.2977599999986</v>
      </c>
      <c r="EX31" s="236">
        <f>SUM(EX14:EX29)</f>
        <v>1049.3515299999997</v>
      </c>
      <c r="EY31" s="184">
        <f>EX31/EW31*100</f>
        <v>-13.81398627533526</v>
      </c>
    </row>
    <row r="32" spans="1:170" ht="0.75" customHeight="1">
      <c r="C32" s="206">
        <v>85422.769</v>
      </c>
      <c r="D32" s="207">
        <v>6971.8725999999997</v>
      </c>
      <c r="F32" s="208">
        <v>29714</v>
      </c>
      <c r="G32" s="209">
        <v>2141.1016</v>
      </c>
      <c r="I32" s="209">
        <v>4023</v>
      </c>
      <c r="J32" s="209">
        <v>517.83318999999995</v>
      </c>
      <c r="L32" s="153">
        <v>2648.3</v>
      </c>
      <c r="M32" s="210">
        <v>275.27994000000001</v>
      </c>
      <c r="O32" s="153">
        <v>72.06</v>
      </c>
      <c r="P32" s="211">
        <v>5.5919400000000001</v>
      </c>
      <c r="R32" s="212">
        <v>5285.44</v>
      </c>
      <c r="S32" s="153">
        <v>437.64443</v>
      </c>
      <c r="V32" s="211">
        <v>-57.366509999999998</v>
      </c>
      <c r="X32" s="209">
        <v>450</v>
      </c>
      <c r="Y32" s="209">
        <v>50.572130000000001</v>
      </c>
      <c r="AA32" s="209">
        <v>1552</v>
      </c>
      <c r="AB32" s="209">
        <v>33.929760000000002</v>
      </c>
      <c r="AD32" s="209">
        <v>14314</v>
      </c>
      <c r="AE32" s="213">
        <v>765.26733999999999</v>
      </c>
      <c r="AG32" s="209">
        <v>264</v>
      </c>
      <c r="AH32" s="209">
        <v>28.45</v>
      </c>
      <c r="AJ32" s="209"/>
      <c r="AK32" s="213">
        <v>4.1130100000000001</v>
      </c>
      <c r="AM32" s="209">
        <v>2902</v>
      </c>
      <c r="AN32" s="209"/>
      <c r="AP32" s="153">
        <v>400</v>
      </c>
      <c r="AQ32" s="153">
        <v>102</v>
      </c>
      <c r="AS32" s="214">
        <v>325.2</v>
      </c>
      <c r="AT32" s="214">
        <v>214</v>
      </c>
      <c r="AY32" s="211"/>
      <c r="AZ32" s="211"/>
      <c r="BC32" s="215"/>
      <c r="BE32" s="216">
        <v>380</v>
      </c>
      <c r="BF32" s="209">
        <v>0</v>
      </c>
      <c r="BH32" s="217"/>
      <c r="BI32" s="209"/>
      <c r="BL32" s="216"/>
      <c r="BN32" s="209"/>
      <c r="BO32" s="209">
        <v>20</v>
      </c>
      <c r="BQ32" s="212"/>
      <c r="BR32" s="214">
        <v>13.81555</v>
      </c>
      <c r="BZ32" s="218">
        <v>55708.769</v>
      </c>
      <c r="CA32" s="209">
        <v>4830.7709999999997</v>
      </c>
      <c r="CC32" s="216">
        <v>26193.4</v>
      </c>
      <c r="CD32" s="216">
        <v>4365.5829999999996</v>
      </c>
      <c r="CE32" s="214"/>
      <c r="CF32" s="218">
        <v>2800</v>
      </c>
      <c r="CG32" s="209">
        <v>0</v>
      </c>
      <c r="CH32" s="214"/>
      <c r="CI32" s="209">
        <v>20988.289000000001</v>
      </c>
      <c r="CJ32" s="209">
        <v>226.78800000000001</v>
      </c>
      <c r="CK32" s="214"/>
      <c r="CL32" s="209">
        <v>5727.08</v>
      </c>
      <c r="CM32" s="209">
        <v>238.4</v>
      </c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DA32" s="212"/>
      <c r="DB32" s="212"/>
      <c r="DD32" s="208"/>
      <c r="DE32" s="218">
        <v>0</v>
      </c>
      <c r="DG32" s="218">
        <v>86467.619000000006</v>
      </c>
      <c r="DH32" s="218">
        <v>8044.3139600000004</v>
      </c>
      <c r="DJ32" s="214">
        <v>18659.286</v>
      </c>
      <c r="DK32" s="208">
        <v>1993.6542099999999</v>
      </c>
      <c r="DM32" s="209">
        <v>18579.286</v>
      </c>
      <c r="DN32" s="209">
        <v>1993.6542099999999</v>
      </c>
      <c r="DP32" s="218"/>
      <c r="DQ32" s="216"/>
      <c r="DS32" s="209">
        <v>80</v>
      </c>
      <c r="DT32" s="209"/>
      <c r="DV32" s="209">
        <v>0</v>
      </c>
      <c r="DW32" s="218">
        <v>0</v>
      </c>
      <c r="DY32" s="208">
        <v>1682.5</v>
      </c>
      <c r="DZ32" s="208">
        <v>141.53659999999999</v>
      </c>
      <c r="EB32" s="209">
        <v>191.3</v>
      </c>
      <c r="EC32" s="218">
        <v>8.5</v>
      </c>
      <c r="EE32" s="214">
        <v>29388.388999999999</v>
      </c>
      <c r="EF32" s="208">
        <v>1077.7133699999999</v>
      </c>
      <c r="EH32" s="208">
        <v>15404.812</v>
      </c>
      <c r="EI32" s="208">
        <v>1328.9402500000001</v>
      </c>
      <c r="EK32" s="208">
        <v>24128.7</v>
      </c>
      <c r="EL32" s="208">
        <v>3489.1705299999999</v>
      </c>
      <c r="EN32" s="209">
        <v>0</v>
      </c>
      <c r="EO32" s="209">
        <v>0</v>
      </c>
      <c r="EQ32" s="209">
        <v>112</v>
      </c>
      <c r="ER32" s="219">
        <v>4.8</v>
      </c>
      <c r="ET32" s="209"/>
      <c r="EU32" s="209"/>
      <c r="EW32" s="214"/>
    </row>
    <row r="33" spans="3:155" ht="24" hidden="1" customHeight="1">
      <c r="C33" s="209">
        <f>C32-C31</f>
        <v>-50020.239689999988</v>
      </c>
      <c r="D33" s="209">
        <f t="shared" ref="D33:BO33" si="56">D32-D31</f>
        <v>-20359.454970000003</v>
      </c>
      <c r="E33" s="209"/>
      <c r="F33" s="209">
        <f t="shared" si="56"/>
        <v>-9657.2685700000002</v>
      </c>
      <c r="G33" s="209">
        <f t="shared" si="56"/>
        <v>-7248.3280599999998</v>
      </c>
      <c r="H33" s="209"/>
      <c r="I33" s="209">
        <f t="shared" si="56"/>
        <v>-1273.6999999999989</v>
      </c>
      <c r="J33" s="209">
        <f t="shared" si="56"/>
        <v>-1152.2960700000003</v>
      </c>
      <c r="K33" s="209"/>
      <c r="L33" s="209">
        <f t="shared" si="56"/>
        <v>-400.58499999999913</v>
      </c>
      <c r="M33" s="209">
        <f t="shared" si="56"/>
        <v>-1145.6541099999999</v>
      </c>
      <c r="N33" s="209"/>
      <c r="O33" s="209">
        <f t="shared" si="56"/>
        <v>39.427</v>
      </c>
      <c r="P33" s="209">
        <f t="shared" si="56"/>
        <v>-4.7800200000000013</v>
      </c>
      <c r="Q33" s="209"/>
      <c r="R33" s="209">
        <f t="shared" si="56"/>
        <v>193.04299999999876</v>
      </c>
      <c r="S33" s="209">
        <f t="shared" si="56"/>
        <v>-1582.1480000000001</v>
      </c>
      <c r="T33" s="209"/>
      <c r="U33" s="209">
        <f t="shared" si="56"/>
        <v>0</v>
      </c>
      <c r="V33" s="209">
        <f t="shared" si="56"/>
        <v>236.33667000000003</v>
      </c>
      <c r="W33" s="209" t="e">
        <f t="shared" si="56"/>
        <v>#DIV/0!</v>
      </c>
      <c r="X33" s="209">
        <f t="shared" si="56"/>
        <v>-20</v>
      </c>
      <c r="Y33" s="209">
        <f t="shared" si="56"/>
        <v>-457.47532999999993</v>
      </c>
      <c r="Z33" s="209"/>
      <c r="AA33" s="209">
        <f t="shared" si="56"/>
        <v>-3479</v>
      </c>
      <c r="AB33" s="209">
        <f t="shared" si="56"/>
        <v>-557.84861000000001</v>
      </c>
      <c r="AC33" s="209"/>
      <c r="AD33" s="209">
        <f t="shared" si="56"/>
        <v>-3405.3772900000004</v>
      </c>
      <c r="AE33" s="209">
        <f t="shared" si="56"/>
        <v>-1399.5337500000001</v>
      </c>
      <c r="AF33" s="209"/>
      <c r="AG33" s="209">
        <f t="shared" si="56"/>
        <v>117</v>
      </c>
      <c r="AH33" s="209">
        <f t="shared" si="56"/>
        <v>-16.804999999999996</v>
      </c>
      <c r="AI33" s="209"/>
      <c r="AJ33" s="209">
        <f t="shared" si="56"/>
        <v>0</v>
      </c>
      <c r="AK33" s="209">
        <f t="shared" si="56"/>
        <v>4.1130100000000001</v>
      </c>
      <c r="AL33" s="209"/>
      <c r="AM33" s="209">
        <f t="shared" si="56"/>
        <v>2902</v>
      </c>
      <c r="AN33" s="209">
        <f t="shared" si="56"/>
        <v>0</v>
      </c>
      <c r="AO33" s="209" t="e">
        <f t="shared" si="56"/>
        <v>#DIV/0!</v>
      </c>
      <c r="AP33" s="209">
        <f t="shared" si="56"/>
        <v>-1211.4000000000001</v>
      </c>
      <c r="AQ33" s="209">
        <f t="shared" si="56"/>
        <v>-565.73933</v>
      </c>
      <c r="AR33" s="209"/>
      <c r="AS33" s="209">
        <f t="shared" si="56"/>
        <v>81.5</v>
      </c>
      <c r="AT33" s="209">
        <f t="shared" si="56"/>
        <v>94.070969999999988</v>
      </c>
      <c r="AU33" s="209"/>
      <c r="AV33" s="209">
        <f t="shared" si="56"/>
        <v>0</v>
      </c>
      <c r="AW33" s="209">
        <f t="shared" si="56"/>
        <v>0</v>
      </c>
      <c r="AX33" s="209" t="e">
        <f t="shared" si="56"/>
        <v>#DIV/0!</v>
      </c>
      <c r="AY33" s="209">
        <f t="shared" si="56"/>
        <v>-230</v>
      </c>
      <c r="AZ33" s="209">
        <f t="shared" si="56"/>
        <v>-406.21231</v>
      </c>
      <c r="BA33" s="209"/>
      <c r="BB33" s="209">
        <f t="shared" si="56"/>
        <v>0</v>
      </c>
      <c r="BC33" s="209">
        <f t="shared" si="56"/>
        <v>-6.3845299999999998</v>
      </c>
      <c r="BD33" s="209" t="e">
        <f t="shared" si="56"/>
        <v>#DIV/0!</v>
      </c>
      <c r="BE33" s="209">
        <f t="shared" si="56"/>
        <v>-68.176279999999963</v>
      </c>
      <c r="BF33" s="209">
        <f t="shared" si="56"/>
        <v>-6.399</v>
      </c>
      <c r="BG33" s="209">
        <f t="shared" si="56"/>
        <v>-1.4277864058312055</v>
      </c>
      <c r="BH33" s="209">
        <f t="shared" si="56"/>
        <v>0</v>
      </c>
      <c r="BI33" s="209">
        <f t="shared" si="56"/>
        <v>0</v>
      </c>
      <c r="BJ33" s="209" t="e">
        <f t="shared" si="56"/>
        <v>#DIV/0!</v>
      </c>
      <c r="BK33" s="209">
        <f t="shared" si="56"/>
        <v>0</v>
      </c>
      <c r="BL33" s="209">
        <f t="shared" si="56"/>
        <v>0</v>
      </c>
      <c r="BM33" s="209" t="e">
        <f t="shared" si="56"/>
        <v>#DIV/0!</v>
      </c>
      <c r="BN33" s="209">
        <f t="shared" si="56"/>
        <v>0</v>
      </c>
      <c r="BO33" s="209">
        <f t="shared" si="56"/>
        <v>-36.393550000000005</v>
      </c>
      <c r="BP33" s="209"/>
      <c r="BQ33" s="209">
        <f t="shared" ref="BQ33:DZ33" si="57">BQ32-BQ31</f>
        <v>0</v>
      </c>
      <c r="BR33" s="209">
        <f t="shared" si="57"/>
        <v>18.46555</v>
      </c>
      <c r="BS33" s="209"/>
      <c r="BT33" s="209">
        <f t="shared" si="57"/>
        <v>0</v>
      </c>
      <c r="BU33" s="209">
        <f t="shared" si="57"/>
        <v>0</v>
      </c>
      <c r="BV33" s="209" t="e">
        <f t="shared" si="57"/>
        <v>#DIV/0!</v>
      </c>
      <c r="BW33" s="209">
        <f t="shared" si="57"/>
        <v>0</v>
      </c>
      <c r="BX33" s="209">
        <f t="shared" si="57"/>
        <v>0</v>
      </c>
      <c r="BY33" s="209" t="e">
        <f t="shared" si="57"/>
        <v>#DIV/0!</v>
      </c>
      <c r="BZ33" s="209">
        <f t="shared" si="57"/>
        <v>-40362.971120000002</v>
      </c>
      <c r="CA33" s="209">
        <f t="shared" si="57"/>
        <v>-13111.126910000003</v>
      </c>
      <c r="CB33" s="209"/>
      <c r="CC33" s="209">
        <f t="shared" si="57"/>
        <v>-2100.6000000000022</v>
      </c>
      <c r="CD33" s="209">
        <f t="shared" si="57"/>
        <v>-5065.549</v>
      </c>
      <c r="CE33" s="209"/>
      <c r="CF33" s="209">
        <f t="shared" si="57"/>
        <v>-3851.5</v>
      </c>
      <c r="CG33" s="209">
        <f t="shared" si="57"/>
        <v>-732.5</v>
      </c>
      <c r="CH33" s="209"/>
      <c r="CI33" s="209">
        <f t="shared" si="57"/>
        <v>-30562.584790000004</v>
      </c>
      <c r="CJ33" s="209">
        <f t="shared" si="57"/>
        <v>-4280.6679999999997</v>
      </c>
      <c r="CK33" s="209"/>
      <c r="CL33" s="209">
        <f t="shared" si="57"/>
        <v>3525.98</v>
      </c>
      <c r="CM33" s="209">
        <f t="shared" si="57"/>
        <v>-479.18699999999978</v>
      </c>
      <c r="CN33" s="209"/>
      <c r="CO33" s="209">
        <f t="shared" si="57"/>
        <v>-3926.6381300000003</v>
      </c>
      <c r="CP33" s="209">
        <f t="shared" si="57"/>
        <v>0</v>
      </c>
      <c r="CQ33" s="209"/>
      <c r="CR33" s="209">
        <f t="shared" si="57"/>
        <v>-3447.6282000000001</v>
      </c>
      <c r="CS33" s="209">
        <f t="shared" si="57"/>
        <v>-2553.22291</v>
      </c>
      <c r="CT33" s="209"/>
      <c r="CU33" s="209">
        <f t="shared" si="57"/>
        <v>0</v>
      </c>
      <c r="CV33" s="209">
        <f t="shared" si="57"/>
        <v>0</v>
      </c>
      <c r="CW33" s="209" t="e">
        <f t="shared" si="57"/>
        <v>#DIV/0!</v>
      </c>
      <c r="CX33" s="209">
        <f t="shared" si="57"/>
        <v>0</v>
      </c>
      <c r="CY33" s="209">
        <f t="shared" si="57"/>
        <v>0</v>
      </c>
      <c r="CZ33" s="209" t="e">
        <f t="shared" si="57"/>
        <v>#DIV/0!</v>
      </c>
      <c r="DA33" s="209">
        <f t="shared" si="57"/>
        <v>0</v>
      </c>
      <c r="DB33" s="209">
        <f t="shared" si="57"/>
        <v>0</v>
      </c>
      <c r="DC33" s="209" t="e">
        <f t="shared" si="57"/>
        <v>#DIV/0!</v>
      </c>
      <c r="DD33" s="209">
        <f t="shared" si="57"/>
        <v>0</v>
      </c>
      <c r="DE33" s="209">
        <f t="shared" si="57"/>
        <v>0</v>
      </c>
      <c r="DF33" s="209">
        <f t="shared" si="57"/>
        <v>0</v>
      </c>
      <c r="DG33" s="209">
        <f t="shared" si="57"/>
        <v>-56571.687449999969</v>
      </c>
      <c r="DH33" s="209">
        <f t="shared" si="57"/>
        <v>-18237.662080000002</v>
      </c>
      <c r="DI33" s="209"/>
      <c r="DJ33" s="209">
        <f t="shared" si="57"/>
        <v>-3283.1260000000002</v>
      </c>
      <c r="DK33" s="209">
        <f t="shared" si="57"/>
        <v>-5099.7482000000009</v>
      </c>
      <c r="DL33" s="209"/>
      <c r="DM33" s="209">
        <f t="shared" si="57"/>
        <v>-2943</v>
      </c>
      <c r="DN33" s="209">
        <f t="shared" si="57"/>
        <v>-4798.9896299999991</v>
      </c>
      <c r="DO33" s="209"/>
      <c r="DP33" s="209">
        <f t="shared" si="57"/>
        <v>0</v>
      </c>
      <c r="DQ33" s="209">
        <f t="shared" si="57"/>
        <v>0</v>
      </c>
      <c r="DR33" s="209" t="e">
        <f t="shared" si="57"/>
        <v>#DIV/0!</v>
      </c>
      <c r="DS33" s="209">
        <f t="shared" si="57"/>
        <v>0</v>
      </c>
      <c r="DT33" s="209">
        <f t="shared" si="57"/>
        <v>0</v>
      </c>
      <c r="DU33" s="209">
        <f t="shared" si="57"/>
        <v>0</v>
      </c>
      <c r="DV33" s="209">
        <f t="shared" si="57"/>
        <v>-340.12599999999992</v>
      </c>
      <c r="DW33" s="209">
        <f t="shared" si="57"/>
        <v>-300.75857000000002</v>
      </c>
      <c r="DX33" s="209"/>
      <c r="DY33" s="209">
        <f t="shared" si="57"/>
        <v>-476.19999999999982</v>
      </c>
      <c r="DZ33" s="209">
        <f t="shared" si="57"/>
        <v>-556.60807999999997</v>
      </c>
      <c r="EA33" s="209"/>
      <c r="EB33" s="209">
        <f t="shared" ref="EB33:EX33" si="58">EB32-EB31</f>
        <v>10.319999999999993</v>
      </c>
      <c r="EC33" s="209">
        <f t="shared" si="58"/>
        <v>-46.050429999999999</v>
      </c>
      <c r="ED33" s="209"/>
      <c r="EE33" s="209">
        <f t="shared" si="58"/>
        <v>-30230.355009999988</v>
      </c>
      <c r="EF33" s="209">
        <f t="shared" si="58"/>
        <v>-5567.7120800000012</v>
      </c>
      <c r="EG33" s="209"/>
      <c r="EH33" s="209">
        <f t="shared" si="58"/>
        <v>-5444.5398000000041</v>
      </c>
      <c r="EI33" s="209">
        <f t="shared" si="58"/>
        <v>-1937.2438999999999</v>
      </c>
      <c r="EJ33" s="209"/>
      <c r="EK33" s="209">
        <f t="shared" si="58"/>
        <v>-13983.506640000003</v>
      </c>
      <c r="EL33" s="209">
        <f t="shared" si="58"/>
        <v>-4976.062390000001</v>
      </c>
      <c r="EM33" s="209"/>
      <c r="EN33" s="209">
        <f t="shared" si="58"/>
        <v>0</v>
      </c>
      <c r="EO33" s="209">
        <f t="shared" si="58"/>
        <v>0</v>
      </c>
      <c r="EP33" s="209"/>
      <c r="EQ33" s="209">
        <f t="shared" si="58"/>
        <v>-64.912000000000006</v>
      </c>
      <c r="ER33" s="209">
        <f t="shared" si="58"/>
        <v>-54.235999999999997</v>
      </c>
      <c r="ES33" s="209"/>
      <c r="ET33" s="209">
        <f t="shared" si="58"/>
        <v>0</v>
      </c>
      <c r="EU33" s="209">
        <f t="shared" si="58"/>
        <v>0</v>
      </c>
      <c r="EV33" s="209"/>
      <c r="EW33" s="209">
        <f t="shared" si="58"/>
        <v>7596.2977599999986</v>
      </c>
      <c r="EX33" s="209">
        <f t="shared" si="58"/>
        <v>-1049.3515299999997</v>
      </c>
      <c r="EY33" s="209"/>
    </row>
    <row r="34" spans="3:155" s="220" customFormat="1" ht="27.75" hidden="1" customHeight="1">
      <c r="C34" s="209">
        <v>135443.00868999999</v>
      </c>
      <c r="D34" s="209">
        <v>27331.327570000001</v>
      </c>
      <c r="E34" s="209"/>
      <c r="F34" s="209">
        <v>39371.26857</v>
      </c>
      <c r="G34" s="209">
        <v>9389.4296599999998</v>
      </c>
      <c r="H34" s="209"/>
      <c r="I34" s="209">
        <v>5296.7</v>
      </c>
      <c r="J34" s="209">
        <v>1670.1292599999999</v>
      </c>
      <c r="K34" s="209"/>
      <c r="L34" s="209">
        <v>3048.8850000000002</v>
      </c>
      <c r="M34" s="209">
        <v>1420.9340500000001</v>
      </c>
      <c r="N34" s="209"/>
      <c r="O34" s="209">
        <v>32.633000000000003</v>
      </c>
      <c r="P34" s="209">
        <v>10.37196</v>
      </c>
      <c r="Q34" s="209"/>
      <c r="R34" s="209">
        <v>5092.3969999999999</v>
      </c>
      <c r="S34" s="209">
        <v>2019.79243</v>
      </c>
      <c r="T34" s="209"/>
      <c r="U34" s="209" t="e">
        <f>#REF!-U31</f>
        <v>#REF!</v>
      </c>
      <c r="V34" s="209">
        <v>-293.70317999999997</v>
      </c>
      <c r="W34" s="209"/>
      <c r="X34" s="209">
        <v>470</v>
      </c>
      <c r="Y34" s="209">
        <v>508.04746</v>
      </c>
      <c r="Z34" s="209"/>
      <c r="AA34" s="209">
        <v>5031</v>
      </c>
      <c r="AB34" s="209">
        <v>591.77837</v>
      </c>
      <c r="AC34" s="209"/>
      <c r="AD34" s="209">
        <v>17719.37729</v>
      </c>
      <c r="AE34" s="209">
        <v>2164.8010899999999</v>
      </c>
      <c r="AF34" s="209"/>
      <c r="AG34" s="209">
        <v>147</v>
      </c>
      <c r="AH34" s="209">
        <v>45.255000000000003</v>
      </c>
      <c r="AI34" s="209"/>
      <c r="AJ34" s="209" t="e">
        <f>#REF!-AJ31</f>
        <v>#REF!</v>
      </c>
      <c r="AK34" s="209" t="e">
        <f>#REF!-AK31</f>
        <v>#REF!</v>
      </c>
      <c r="AL34" s="209"/>
      <c r="AM34" s="209" t="e">
        <f>#REF!-AM31</f>
        <v>#REF!</v>
      </c>
      <c r="AN34" s="209" t="e">
        <f>#REF!-AN31</f>
        <v>#REF!</v>
      </c>
      <c r="AO34" s="209"/>
      <c r="AP34" s="209">
        <v>1611.4</v>
      </c>
      <c r="AQ34" s="209">
        <v>667.73933</v>
      </c>
      <c r="AR34" s="209"/>
      <c r="AS34" s="209">
        <v>243.7</v>
      </c>
      <c r="AT34" s="209">
        <v>119.92903</v>
      </c>
      <c r="AU34" s="209"/>
      <c r="AV34" s="209" t="e">
        <f>#REF!-AV31</f>
        <v>#REF!</v>
      </c>
      <c r="AW34" s="209" t="e">
        <f>#REF!-AW31</f>
        <v>#REF!</v>
      </c>
      <c r="AX34" s="209" t="e">
        <f>#REF!-AX31</f>
        <v>#REF!</v>
      </c>
      <c r="AY34" s="209">
        <v>230</v>
      </c>
      <c r="AZ34" s="209">
        <v>406.21231</v>
      </c>
      <c r="BA34" s="209"/>
      <c r="BB34" s="209" t="e">
        <f>#REF!-BB31</f>
        <v>#REF!</v>
      </c>
      <c r="BC34" s="209" t="e">
        <f>#REF!-BC31</f>
        <v>#REF!</v>
      </c>
      <c r="BD34" s="209" t="e">
        <f>#REF!-BD31</f>
        <v>#REF!</v>
      </c>
      <c r="BE34" s="209">
        <v>448.17628000000002</v>
      </c>
      <c r="BF34" s="209">
        <v>6.399</v>
      </c>
      <c r="BG34" s="209"/>
      <c r="BH34" s="209" t="e">
        <f>#REF!-BH31</f>
        <v>#REF!</v>
      </c>
      <c r="BI34" s="209" t="e">
        <f>#REF!-BI31</f>
        <v>#REF!</v>
      </c>
      <c r="BJ34" s="209" t="e">
        <f>#REF!-BJ31</f>
        <v>#REF!</v>
      </c>
      <c r="BK34" s="209" t="e">
        <f>#REF!-BK31</f>
        <v>#REF!</v>
      </c>
      <c r="BL34" s="209" t="e">
        <f>#REF!-BL31</f>
        <v>#REF!</v>
      </c>
      <c r="BM34" s="209" t="e">
        <f>#REF!-BM31</f>
        <v>#REF!</v>
      </c>
      <c r="BN34" s="209">
        <v>0</v>
      </c>
      <c r="BO34" s="209">
        <v>38.87959</v>
      </c>
      <c r="BP34" s="209"/>
      <c r="BQ34" s="209" t="e">
        <f>#REF!-BQ31</f>
        <v>#REF!</v>
      </c>
      <c r="BR34" s="209">
        <v>-4.6500000000000004</v>
      </c>
      <c r="BS34" s="209"/>
      <c r="BT34" s="209" t="e">
        <f>#REF!-BT31</f>
        <v>#REF!</v>
      </c>
      <c r="BU34" s="209" t="e">
        <f>#REF!-BU31</f>
        <v>#REF!</v>
      </c>
      <c r="BV34" s="209" t="e">
        <f>#REF!-BV31</f>
        <v>#REF!</v>
      </c>
      <c r="BW34" s="209" t="e">
        <f>#REF!-BW31</f>
        <v>#REF!</v>
      </c>
      <c r="BX34" s="209" t="e">
        <f>#REF!-BX31</f>
        <v>#REF!</v>
      </c>
      <c r="BY34" s="209" t="e">
        <f>#REF!-BY31</f>
        <v>#REF!</v>
      </c>
      <c r="BZ34" s="209">
        <v>96071.740120000002</v>
      </c>
      <c r="CA34" s="209">
        <v>17941.89791</v>
      </c>
      <c r="CB34" s="209"/>
      <c r="CC34" s="209">
        <v>28294</v>
      </c>
      <c r="CD34" s="209">
        <v>9431.1319999999996</v>
      </c>
      <c r="CE34" s="209"/>
      <c r="CF34" s="209">
        <v>6651.5</v>
      </c>
      <c r="CG34" s="209">
        <v>732.5</v>
      </c>
      <c r="CH34" s="209"/>
      <c r="CI34" s="209">
        <v>51550.873789999998</v>
      </c>
      <c r="CJ34" s="209">
        <v>4507.4560000000001</v>
      </c>
      <c r="CK34" s="209"/>
      <c r="CL34" s="209">
        <v>2201.1</v>
      </c>
      <c r="CM34" s="209">
        <v>717.58699999999999</v>
      </c>
      <c r="CN34" s="209"/>
      <c r="CO34" s="209">
        <v>3926.6381299999998</v>
      </c>
      <c r="CP34" s="209" t="e">
        <f>#REF!-CP31</f>
        <v>#REF!</v>
      </c>
      <c r="CQ34" s="209"/>
      <c r="CR34" s="209">
        <v>3447.6282000000001</v>
      </c>
      <c r="CS34" s="209">
        <v>2553.22291</v>
      </c>
      <c r="CT34" s="209"/>
      <c r="CU34" s="209" t="e">
        <f>#REF!-CU31</f>
        <v>#REF!</v>
      </c>
      <c r="CV34" s="209" t="e">
        <f>-(#REF!-CV31)</f>
        <v>#REF!</v>
      </c>
      <c r="CW34" s="209"/>
      <c r="CX34" s="209" t="e">
        <f>#REF!-CX31</f>
        <v>#REF!</v>
      </c>
      <c r="CY34" s="209" t="e">
        <f>#REF!-CY31</f>
        <v>#REF!</v>
      </c>
      <c r="CZ34" s="209" t="e">
        <f>#REF!-CZ31</f>
        <v>#REF!</v>
      </c>
      <c r="DA34" s="209" t="e">
        <f>#REF!-DA31</f>
        <v>#REF!</v>
      </c>
      <c r="DB34" s="209" t="e">
        <f>#REF!-DB31</f>
        <v>#REF!</v>
      </c>
      <c r="DC34" s="209" t="e">
        <f>#REF!-DC31</f>
        <v>#REF!</v>
      </c>
      <c r="DD34" s="209" t="e">
        <f>#REF!-DD31</f>
        <v>#REF!</v>
      </c>
      <c r="DE34" s="209" t="e">
        <f>#REF!-DE31</f>
        <v>#REF!</v>
      </c>
      <c r="DF34" s="209"/>
      <c r="DG34" s="209">
        <v>143039.30645</v>
      </c>
      <c r="DH34" s="209">
        <v>26281.976040000001</v>
      </c>
      <c r="DI34" s="209"/>
      <c r="DJ34" s="209">
        <v>21942.412</v>
      </c>
      <c r="DK34" s="209">
        <v>7093.4024099999997</v>
      </c>
      <c r="DL34" s="209"/>
      <c r="DM34" s="209">
        <v>21522.286</v>
      </c>
      <c r="DN34" s="209">
        <v>6792.6438399999997</v>
      </c>
      <c r="DO34" s="209"/>
      <c r="DP34" s="209">
        <v>0</v>
      </c>
      <c r="DQ34" s="209">
        <v>0</v>
      </c>
      <c r="DR34" s="209"/>
      <c r="DS34" s="209">
        <v>80</v>
      </c>
      <c r="DT34" s="209" t="e">
        <f>#REF!-DT31</f>
        <v>#REF!</v>
      </c>
      <c r="DU34" s="209"/>
      <c r="DV34" s="209">
        <v>340.12599999999998</v>
      </c>
      <c r="DW34" s="209">
        <v>300.75857000000002</v>
      </c>
      <c r="DX34" s="209"/>
      <c r="DY34" s="209">
        <v>2158.6999999999998</v>
      </c>
      <c r="DZ34" s="209">
        <v>698.14467999999999</v>
      </c>
      <c r="EA34" s="209"/>
      <c r="EB34" s="209">
        <v>180.98</v>
      </c>
      <c r="EC34" s="209">
        <v>54.550429999999999</v>
      </c>
      <c r="ED34" s="209"/>
      <c r="EE34" s="209">
        <v>59618.744010000002</v>
      </c>
      <c r="EF34" s="209">
        <v>6645.4254499999997</v>
      </c>
      <c r="EG34" s="209"/>
      <c r="EH34" s="209">
        <v>20849.3518</v>
      </c>
      <c r="EI34" s="209">
        <v>3266.18415</v>
      </c>
      <c r="EJ34" s="209"/>
      <c r="EK34" s="209">
        <v>38112.206639999997</v>
      </c>
      <c r="EL34" s="209">
        <v>8465.2329200000004</v>
      </c>
      <c r="EM34" s="209"/>
      <c r="EN34" s="209">
        <v>0</v>
      </c>
      <c r="EO34" s="209">
        <v>0</v>
      </c>
      <c r="EP34" s="209"/>
      <c r="EQ34" s="209">
        <v>176.91200000000001</v>
      </c>
      <c r="ER34" s="209">
        <v>59.036000000000001</v>
      </c>
      <c r="ES34" s="209"/>
      <c r="ET34" s="209" t="e">
        <f>#REF!-ET31</f>
        <v>#REF!</v>
      </c>
      <c r="EU34" s="209" t="e">
        <f>#REF!-EU31</f>
        <v>#REF!</v>
      </c>
      <c r="EV34" s="209"/>
      <c r="EW34" s="209">
        <v>-7596.2977600000004</v>
      </c>
      <c r="EX34" s="209">
        <v>1049.3515299999999</v>
      </c>
    </row>
    <row r="35" spans="3:155">
      <c r="C35" s="209">
        <f>C34-C31</f>
        <v>0</v>
      </c>
      <c r="D35" s="209">
        <f>D34-D31</f>
        <v>0</v>
      </c>
      <c r="E35" s="209"/>
      <c r="F35" s="209">
        <f>F34-F31</f>
        <v>0</v>
      </c>
      <c r="G35" s="209">
        <f>G34-G31</f>
        <v>0</v>
      </c>
      <c r="H35" s="209"/>
      <c r="I35" s="209">
        <f>I34-I31</f>
        <v>0</v>
      </c>
      <c r="J35" s="209">
        <f>J34-J31</f>
        <v>0</v>
      </c>
      <c r="K35" s="209"/>
      <c r="L35" s="209">
        <f>L34-L31</f>
        <v>0</v>
      </c>
      <c r="M35" s="209">
        <f>M34-M31</f>
        <v>0</v>
      </c>
      <c r="N35" s="209"/>
      <c r="O35" s="209">
        <f>O34-O31</f>
        <v>0</v>
      </c>
      <c r="P35" s="209">
        <f>P34-P31</f>
        <v>0</v>
      </c>
      <c r="Q35" s="209"/>
      <c r="R35" s="209">
        <f>R34-R31</f>
        <v>0</v>
      </c>
      <c r="S35" s="209">
        <f>S34-S31</f>
        <v>0</v>
      </c>
      <c r="T35" s="209"/>
      <c r="U35" s="209" t="e">
        <f>U34-U31</f>
        <v>#REF!</v>
      </c>
      <c r="V35" s="209">
        <f>V34-V31</f>
        <v>0</v>
      </c>
      <c r="W35" s="209"/>
      <c r="X35" s="209">
        <f>X34-X31</f>
        <v>0</v>
      </c>
      <c r="Y35" s="209">
        <f>Y34-Y31</f>
        <v>0</v>
      </c>
      <c r="Z35" s="209"/>
      <c r="AA35" s="209">
        <f>AA34-AA31</f>
        <v>0</v>
      </c>
      <c r="AB35" s="209">
        <f>AB34-AB31</f>
        <v>0</v>
      </c>
      <c r="AC35" s="209"/>
      <c r="AD35" s="209">
        <f>AD34-AD31</f>
        <v>0</v>
      </c>
      <c r="AE35" s="209">
        <f>AE34-AE31</f>
        <v>0</v>
      </c>
      <c r="AF35" s="209"/>
      <c r="AG35" s="209">
        <f>AG34-AG31</f>
        <v>0</v>
      </c>
      <c r="AH35" s="209">
        <f>AH34-AH31</f>
        <v>0</v>
      </c>
      <c r="AI35" s="209"/>
      <c r="AJ35" s="209" t="e">
        <f t="shared" ref="AJ35:AQ35" si="59">AJ34-AJ31</f>
        <v>#REF!</v>
      </c>
      <c r="AK35" s="209" t="e">
        <f t="shared" si="59"/>
        <v>#REF!</v>
      </c>
      <c r="AL35" s="209" t="e">
        <f t="shared" si="59"/>
        <v>#DIV/0!</v>
      </c>
      <c r="AM35" s="209" t="e">
        <f t="shared" si="59"/>
        <v>#REF!</v>
      </c>
      <c r="AN35" s="209" t="e">
        <f t="shared" si="59"/>
        <v>#REF!</v>
      </c>
      <c r="AO35" s="209" t="e">
        <f t="shared" si="59"/>
        <v>#DIV/0!</v>
      </c>
      <c r="AP35" s="209">
        <f t="shared" si="59"/>
        <v>0</v>
      </c>
      <c r="AQ35" s="209">
        <f t="shared" si="59"/>
        <v>0</v>
      </c>
      <c r="AR35" s="209"/>
      <c r="AS35" s="209">
        <f>AS34-AS31</f>
        <v>0</v>
      </c>
      <c r="AT35" s="209">
        <f>AT34-AT31</f>
        <v>0</v>
      </c>
      <c r="AU35" s="209"/>
      <c r="AV35" s="209" t="e">
        <f>AV34-AV31</f>
        <v>#REF!</v>
      </c>
      <c r="AW35" s="209" t="e">
        <f>AW34-AW31</f>
        <v>#REF!</v>
      </c>
      <c r="AX35" s="209" t="e">
        <f>AX34-AX31</f>
        <v>#REF!</v>
      </c>
      <c r="AY35" s="209">
        <f>AY34-AY31</f>
        <v>0</v>
      </c>
      <c r="AZ35" s="209">
        <f>AZ34-AZ31</f>
        <v>0</v>
      </c>
      <c r="BA35" s="209"/>
      <c r="BB35" s="209" t="e">
        <f>BB34-BB31</f>
        <v>#REF!</v>
      </c>
      <c r="BC35" s="209" t="e">
        <f>BC34-BC31</f>
        <v>#REF!</v>
      </c>
      <c r="BD35" s="209" t="e">
        <f>BD34-BD31</f>
        <v>#REF!</v>
      </c>
      <c r="BE35" s="209">
        <f>BE34-BE31</f>
        <v>0</v>
      </c>
      <c r="BF35" s="209">
        <f>BF34-BF31</f>
        <v>0</v>
      </c>
      <c r="BG35" s="209"/>
      <c r="BH35" s="209" t="e">
        <f t="shared" ref="BH35:BO35" si="60">BH34-BH31</f>
        <v>#REF!</v>
      </c>
      <c r="BI35" s="209" t="e">
        <f t="shared" si="60"/>
        <v>#REF!</v>
      </c>
      <c r="BJ35" s="209" t="e">
        <f t="shared" si="60"/>
        <v>#REF!</v>
      </c>
      <c r="BK35" s="209" t="e">
        <f t="shared" si="60"/>
        <v>#REF!</v>
      </c>
      <c r="BL35" s="209" t="e">
        <f t="shared" si="60"/>
        <v>#REF!</v>
      </c>
      <c r="BM35" s="209" t="e">
        <f t="shared" si="60"/>
        <v>#REF!</v>
      </c>
      <c r="BN35" s="209">
        <f t="shared" si="60"/>
        <v>0</v>
      </c>
      <c r="BO35" s="209">
        <f t="shared" si="60"/>
        <v>-17.513960000000004</v>
      </c>
      <c r="BP35" s="209"/>
      <c r="BQ35" s="209" t="e">
        <f>BQ34-BQ31</f>
        <v>#REF!</v>
      </c>
      <c r="BR35" s="209">
        <f>BR34-BR31</f>
        <v>0</v>
      </c>
      <c r="BS35" s="209"/>
      <c r="BT35" s="209" t="e">
        <f t="shared" ref="BT35:CA35" si="61">BT34-BT31</f>
        <v>#REF!</v>
      </c>
      <c r="BU35" s="209" t="e">
        <f t="shared" si="61"/>
        <v>#REF!</v>
      </c>
      <c r="BV35" s="209" t="e">
        <f t="shared" si="61"/>
        <v>#REF!</v>
      </c>
      <c r="BW35" s="209" t="e">
        <f t="shared" si="61"/>
        <v>#REF!</v>
      </c>
      <c r="BX35" s="209" t="e">
        <f t="shared" si="61"/>
        <v>#REF!</v>
      </c>
      <c r="BY35" s="209" t="e">
        <f t="shared" si="61"/>
        <v>#REF!</v>
      </c>
      <c r="BZ35" s="209">
        <f t="shared" si="61"/>
        <v>0</v>
      </c>
      <c r="CA35" s="209">
        <f t="shared" si="61"/>
        <v>0</v>
      </c>
      <c r="CB35" s="209"/>
      <c r="CC35" s="209">
        <f>CC34-CC31</f>
        <v>0</v>
      </c>
      <c r="CD35" s="209">
        <f>CD34-CD31</f>
        <v>0</v>
      </c>
      <c r="CE35" s="209"/>
      <c r="CF35" s="209">
        <f>CF34-CF31</f>
        <v>0</v>
      </c>
      <c r="CG35" s="209">
        <f>CG34-CG31</f>
        <v>0</v>
      </c>
      <c r="CH35" s="209"/>
      <c r="CI35" s="209">
        <f>CI34-CI31</f>
        <v>0</v>
      </c>
      <c r="CJ35" s="209">
        <f>CJ34-CJ31</f>
        <v>0</v>
      </c>
      <c r="CK35" s="209"/>
      <c r="CL35" s="209">
        <f>CL34-CL31</f>
        <v>0</v>
      </c>
      <c r="CM35" s="209">
        <f>CM34-CM31</f>
        <v>0</v>
      </c>
      <c r="CN35" s="209"/>
      <c r="CO35" s="209">
        <f>CO34-CO31</f>
        <v>0</v>
      </c>
      <c r="CP35" s="209" t="e">
        <f>CP34-CP31</f>
        <v>#REF!</v>
      </c>
      <c r="CQ35" s="209"/>
      <c r="CR35" s="209">
        <f>CR34-CR31</f>
        <v>0</v>
      </c>
      <c r="CS35" s="209">
        <f>CS34-CS31</f>
        <v>0</v>
      </c>
      <c r="CT35" s="209"/>
      <c r="CU35" s="209" t="e">
        <f>CU34-CU31</f>
        <v>#REF!</v>
      </c>
      <c r="CV35" s="209" t="e">
        <f>CV34-CV31</f>
        <v>#REF!</v>
      </c>
      <c r="CW35" s="209"/>
      <c r="CX35" s="209" t="e">
        <f t="shared" ref="CX35:DH35" si="62">CX34-CX31</f>
        <v>#REF!</v>
      </c>
      <c r="CY35" s="209" t="e">
        <f t="shared" si="62"/>
        <v>#REF!</v>
      </c>
      <c r="CZ35" s="209" t="e">
        <f t="shared" si="62"/>
        <v>#REF!</v>
      </c>
      <c r="DA35" s="209" t="e">
        <f t="shared" si="62"/>
        <v>#REF!</v>
      </c>
      <c r="DB35" s="209" t="e">
        <f t="shared" si="62"/>
        <v>#REF!</v>
      </c>
      <c r="DC35" s="209" t="e">
        <f t="shared" si="62"/>
        <v>#REF!</v>
      </c>
      <c r="DD35" s="209" t="e">
        <f t="shared" si="62"/>
        <v>#REF!</v>
      </c>
      <c r="DE35" s="209" t="e">
        <f t="shared" si="62"/>
        <v>#REF!</v>
      </c>
      <c r="DF35" s="209">
        <f t="shared" si="62"/>
        <v>0</v>
      </c>
      <c r="DG35" s="209">
        <f t="shared" si="62"/>
        <v>0</v>
      </c>
      <c r="DH35" s="209">
        <f t="shared" si="62"/>
        <v>0</v>
      </c>
      <c r="DI35" s="209"/>
      <c r="DJ35" s="209">
        <f>DJ34-DJ31</f>
        <v>0</v>
      </c>
      <c r="DK35" s="209">
        <f>DK34-DK31</f>
        <v>0</v>
      </c>
      <c r="DL35" s="209"/>
      <c r="DM35" s="209">
        <f>DM34-DM31</f>
        <v>0</v>
      </c>
      <c r="DN35" s="209">
        <f>DN34-DN31</f>
        <v>0</v>
      </c>
      <c r="DO35" s="209"/>
      <c r="DP35" s="209">
        <f>DP34-DP31</f>
        <v>0</v>
      </c>
      <c r="DQ35" s="209">
        <f>DQ34-DQ31</f>
        <v>0</v>
      </c>
      <c r="DR35" s="209"/>
      <c r="DS35" s="209">
        <f>DS34-DS31</f>
        <v>0</v>
      </c>
      <c r="DT35" s="209" t="e">
        <f>DT34-DT31</f>
        <v>#REF!</v>
      </c>
      <c r="DU35" s="209"/>
      <c r="DV35" s="209">
        <f>DV34-DV31</f>
        <v>0</v>
      </c>
      <c r="DW35" s="209">
        <f>DW34-DW31</f>
        <v>0</v>
      </c>
      <c r="DX35" s="209"/>
      <c r="DY35" s="209">
        <f>DY34-DY31</f>
        <v>0</v>
      </c>
      <c r="DZ35" s="209">
        <f>DZ34-DZ31</f>
        <v>0</v>
      </c>
      <c r="EA35" s="209"/>
      <c r="EB35" s="209">
        <f>EB34-EB31</f>
        <v>0</v>
      </c>
      <c r="EC35" s="209">
        <f>EC34-EC31</f>
        <v>0</v>
      </c>
      <c r="ED35" s="209"/>
      <c r="EE35" s="209">
        <f>EE34-EE31</f>
        <v>0</v>
      </c>
      <c r="EF35" s="209">
        <f>EF34-EF31</f>
        <v>0</v>
      </c>
      <c r="EG35" s="209"/>
      <c r="EH35" s="209">
        <f>EH34-EH31</f>
        <v>0</v>
      </c>
      <c r="EI35" s="209">
        <f>EI34-EI31</f>
        <v>0</v>
      </c>
      <c r="EJ35" s="209"/>
      <c r="EK35" s="209">
        <f>EK34-EK31</f>
        <v>0</v>
      </c>
      <c r="EL35" s="209">
        <f>EL34-EL31</f>
        <v>0</v>
      </c>
      <c r="EM35" s="209"/>
      <c r="EN35" s="209">
        <f>EN34-EN31</f>
        <v>0</v>
      </c>
      <c r="EO35" s="209">
        <f>EO34-EO31</f>
        <v>0</v>
      </c>
      <c r="EP35" s="209"/>
      <c r="EQ35" s="209">
        <f>EQ34-EQ31</f>
        <v>0</v>
      </c>
      <c r="ER35" s="209">
        <f>ER34-ER31</f>
        <v>0</v>
      </c>
      <c r="ES35" s="209"/>
      <c r="ET35" s="209" t="e">
        <f>ET34-ET31</f>
        <v>#REF!</v>
      </c>
      <c r="EU35" s="209" t="e">
        <f>EU34-EU31</f>
        <v>#REF!</v>
      </c>
      <c r="EV35" s="209"/>
      <c r="EW35" s="209">
        <f>EW34-EW31</f>
        <v>0</v>
      </c>
      <c r="EX35" s="209">
        <f>EX34-EX31</f>
        <v>0</v>
      </c>
      <c r="EY35" s="221"/>
    </row>
  </sheetData>
  <customSheetViews>
    <customSheetView guid="{5BFCA170-DEAE-4D2C-98A0-1E68B427AC01}" scale="75" showPageBreaks="1" printArea="1" hiddenRows="1" hiddenColumns="1" view="pageBreakPreview" topLeftCell="A10">
      <pane xSplit="2" ySplit="4" topLeftCell="BE14" activePane="bottomRight" state="frozen"/>
      <selection pane="bottomRight" activeCell="CF39" sqref="CF39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1"/>
    </customSheetView>
    <customSheetView guid="{B30CE22D-C12F-4E12-8BB9-3AAE0A6991CC}" scale="75" showPageBreaks="1" printArea="1" hiddenRows="1" hiddenColumns="1" view="pageBreakPreview" topLeftCell="A10">
      <pane xSplit="2" ySplit="4" topLeftCell="C14" activePane="bottomRight" state="frozen"/>
      <selection pane="bottomRight" activeCell="DM10" sqref="A10:XFD10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2"/>
    </customSheetView>
    <customSheetView guid="{1A52382B-3765-4E8C-903F-6B8919B7242E}" scale="75" showPageBreaks="1" printArea="1" hiddenRows="1" hiddenColumns="1" view="pageBreakPreview" topLeftCell="A10">
      <pane xSplit="2" ySplit="4" topLeftCell="EL14" activePane="bottomRight" state="frozen"/>
      <selection pane="bottomRight" activeCell="EX36" sqref="EX36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3"/>
    </customSheetView>
    <customSheetView guid="{A54C432C-6C68-4B53-A75C-446EB3A61B2B}" scale="75" showPageBreaks="1" printArea="1" hiddenRows="1" hiddenColumns="1" view="pageBreakPreview" topLeftCell="A10">
      <pane xSplit="2" ySplit="4" topLeftCell="EK20" activePane="bottomRight" state="frozen"/>
      <selection pane="bottomRight" activeCell="EZ35" sqref="EZ35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4"/>
    </customSheetView>
    <customSheetView guid="{3DCB9AAA-F09C-4EA6-B992-F93E466D374A}" scale="75" showPageBreaks="1" printArea="1" hiddenRows="1" hiddenColumns="1" view="pageBreakPreview" topLeftCell="A10">
      <pane xSplit="2" ySplit="4" topLeftCell="DI14" activePane="bottomRight" state="frozen"/>
      <selection pane="bottomRight" activeCell="DV34" sqref="DV34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5"/>
    </customSheetView>
    <customSheetView guid="{1718F1EE-9F48-4DBE-9531-3B70F9C4A5DD}" scale="75" showPageBreaks="1" printArea="1" hiddenRows="1" hiddenColumns="1" view="pageBreakPreview" topLeftCell="A10">
      <pane xSplit="2" ySplit="4" topLeftCell="C14" activePane="bottomRight" state="frozen"/>
      <selection pane="bottomRight" activeCell="EZ31" sqref="EZ31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6"/>
    </customSheetView>
    <customSheetView guid="{42584DC0-1D41-4C93-9B38-C388E7B8DAC4}" scale="75" showPageBreaks="1" printArea="1" hiddenRows="1" hiddenColumns="1" view="pageBreakPreview" topLeftCell="BZ10">
      <selection activeCell="CA17" sqref="CA17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7"/>
    </customSheetView>
    <customSheetView guid="{B31C8DB7-3E78-4144-A6B5-8DE36DE63F0E}" scale="75" showPageBreaks="1" printArea="1" hiddenRows="1" hiddenColumns="1" view="pageBreakPreview" topLeftCell="A10">
      <pane xSplit="2" ySplit="4" topLeftCell="C14" activePane="bottomRight" state="frozen"/>
      <selection pane="bottomRight" activeCell="AN22" sqref="AN22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8"/>
    </customSheetView>
    <customSheetView guid="{61528DAC-5C4C-48F4-ADE2-8A724B05A086}" scale="75" showPageBreaks="1" printArea="1" hiddenRows="1" hiddenColumns="1" view="pageBreakPreview" topLeftCell="A10">
      <pane xSplit="2" ySplit="4" topLeftCell="C14" activePane="bottomRight" state="frozen"/>
      <selection pane="bottomRight" activeCell="EE14" sqref="EE14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9"/>
    </customSheetView>
  </customSheetViews>
  <mergeCells count="69">
    <mergeCell ref="DD8:DF8"/>
    <mergeCell ref="AY9:BA11"/>
    <mergeCell ref="AV9:AX11"/>
    <mergeCell ref="AS9:AU11"/>
    <mergeCell ref="BB9:BD11"/>
    <mergeCell ref="CI9:CK11"/>
    <mergeCell ref="CL9:CN11"/>
    <mergeCell ref="CR9:CT11"/>
    <mergeCell ref="BW9:BY11"/>
    <mergeCell ref="DA9:DC11"/>
    <mergeCell ref="BZ8:CB11"/>
    <mergeCell ref="CC8:CN8"/>
    <mergeCell ref="CX8:CZ11"/>
    <mergeCell ref="CC9:CE11"/>
    <mergeCell ref="CF9:CH11"/>
    <mergeCell ref="DA8:DC8"/>
    <mergeCell ref="AD1:AF1"/>
    <mergeCell ref="I8:AX8"/>
    <mergeCell ref="AD2:AF2"/>
    <mergeCell ref="AD3:AF3"/>
    <mergeCell ref="X1:Z1"/>
    <mergeCell ref="B5:Z5"/>
    <mergeCell ref="I6:X6"/>
    <mergeCell ref="B4:Z4"/>
    <mergeCell ref="B7:B12"/>
    <mergeCell ref="C7:E11"/>
    <mergeCell ref="O9:Q11"/>
    <mergeCell ref="U9:W11"/>
    <mergeCell ref="X9:Z11"/>
    <mergeCell ref="F8:H11"/>
    <mergeCell ref="X3:Z3"/>
    <mergeCell ref="I9:K11"/>
    <mergeCell ref="A31:B31"/>
    <mergeCell ref="BT9:BV11"/>
    <mergeCell ref="BN9:BP11"/>
    <mergeCell ref="BE9:BG11"/>
    <mergeCell ref="BH9:BJ11"/>
    <mergeCell ref="AA9:AC11"/>
    <mergeCell ref="A7:A12"/>
    <mergeCell ref="L9:N11"/>
    <mergeCell ref="R9:T11"/>
    <mergeCell ref="BQ9:BS11"/>
    <mergeCell ref="AM9:AO11"/>
    <mergeCell ref="AD9:AF11"/>
    <mergeCell ref="AG9:AI11"/>
    <mergeCell ref="BK9:BM11"/>
    <mergeCell ref="AJ9:AL11"/>
    <mergeCell ref="AP9:AR11"/>
    <mergeCell ref="EW7:EY11"/>
    <mergeCell ref="DJ8:EV8"/>
    <mergeCell ref="DG7:DI11"/>
    <mergeCell ref="DP11:DR11"/>
    <mergeCell ref="DS11:DU11"/>
    <mergeCell ref="ET9:EV11"/>
    <mergeCell ref="EE9:EG11"/>
    <mergeCell ref="DJ7:EV7"/>
    <mergeCell ref="DJ9:DL11"/>
    <mergeCell ref="EQ9:ES11"/>
    <mergeCell ref="EN9:EP11"/>
    <mergeCell ref="DM9:DX9"/>
    <mergeCell ref="DY9:EA11"/>
    <mergeCell ref="EH9:EJ11"/>
    <mergeCell ref="EK9:EM11"/>
    <mergeCell ref="CO9:CQ11"/>
    <mergeCell ref="CU9:CW11"/>
    <mergeCell ref="DD9:DF11"/>
    <mergeCell ref="EB9:ED11"/>
    <mergeCell ref="DM11:DO11"/>
    <mergeCell ref="DV11:DX11"/>
  </mergeCells>
  <phoneticPr fontId="15" type="noConversion"/>
  <pageMargins left="0.70866141732283472" right="0.19685039370078741" top="0.74803149606299213" bottom="0.74803149606299213" header="0.31496062992125984" footer="0.31496062992125984"/>
  <pageSetup paperSize="9" scale="45" fitToWidth="0" fitToHeight="0" orientation="landscape" r:id="rId10"/>
  <colBreaks count="6" manualBreakCount="6">
    <brk id="17" max="30" man="1"/>
    <brk id="35" max="30" man="1"/>
    <brk id="59" max="30" man="1"/>
    <brk id="92" max="30" man="1"/>
    <brk id="116" max="30" man="1"/>
    <brk id="134" max="3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F1:AY84"/>
  <sheetViews>
    <sheetView workbookViewId="0">
      <selection activeCell="B100" sqref="B100"/>
    </sheetView>
  </sheetViews>
  <sheetFormatPr defaultRowHeight="12.75"/>
  <sheetData>
    <row r="1" spans="32:51">
      <c r="AJ1" t="s">
        <v>361</v>
      </c>
      <c r="AO1" t="s">
        <v>362</v>
      </c>
      <c r="AP1" t="s">
        <v>363</v>
      </c>
      <c r="AS1" t="s">
        <v>364</v>
      </c>
      <c r="AW1">
        <v>187.4</v>
      </c>
      <c r="AX1" t="s">
        <v>365</v>
      </c>
      <c r="AY1" t="s">
        <v>366</v>
      </c>
    </row>
    <row r="2" spans="32:51">
      <c r="AF2" t="s">
        <v>367</v>
      </c>
      <c r="AJ2" t="s">
        <v>368</v>
      </c>
    </row>
    <row r="3" spans="32:51">
      <c r="AF3" t="s">
        <v>370</v>
      </c>
      <c r="AH3" t="s">
        <v>369</v>
      </c>
      <c r="AJ3" t="s">
        <v>370</v>
      </c>
      <c r="AN3" t="s">
        <v>369</v>
      </c>
      <c r="AO3" t="s">
        <v>369</v>
      </c>
      <c r="AP3" t="s">
        <v>369</v>
      </c>
      <c r="AS3" t="s">
        <v>371</v>
      </c>
      <c r="AT3" t="s">
        <v>372</v>
      </c>
      <c r="AU3" t="s">
        <v>373</v>
      </c>
    </row>
    <row r="4" spans="32:51">
      <c r="AH4">
        <v>0</v>
      </c>
      <c r="AN4">
        <v>0</v>
      </c>
      <c r="AO4">
        <v>1088.6666666666667</v>
      </c>
      <c r="AP4">
        <v>28196.466666666671</v>
      </c>
      <c r="AS4">
        <v>27107.800000000003</v>
      </c>
      <c r="AT4" t="s">
        <v>374</v>
      </c>
      <c r="AU4" t="s">
        <v>375</v>
      </c>
      <c r="AV4" t="s">
        <v>376</v>
      </c>
    </row>
    <row r="5" spans="32:51">
      <c r="AH5">
        <v>0</v>
      </c>
      <c r="AN5">
        <v>0</v>
      </c>
      <c r="AO5">
        <v>1088.6666666666667</v>
      </c>
      <c r="AP5">
        <v>23297.466666666667</v>
      </c>
      <c r="AS5">
        <v>22208.799999999999</v>
      </c>
      <c r="AT5" t="s">
        <v>377</v>
      </c>
      <c r="AU5" t="s">
        <v>375</v>
      </c>
      <c r="AV5" t="s">
        <v>378</v>
      </c>
    </row>
    <row r="6" spans="32:51">
      <c r="AH6">
        <v>0</v>
      </c>
      <c r="AN6">
        <v>0</v>
      </c>
      <c r="AO6">
        <v>886.83333333333337</v>
      </c>
      <c r="AP6">
        <v>17647.983333333334</v>
      </c>
      <c r="AS6">
        <v>16761.150000000001</v>
      </c>
      <c r="AT6" t="s">
        <v>379</v>
      </c>
      <c r="AU6" t="s">
        <v>375</v>
      </c>
      <c r="AV6" t="s">
        <v>378</v>
      </c>
    </row>
    <row r="7" spans="32:51">
      <c r="AH7">
        <v>0</v>
      </c>
      <c r="AN7">
        <v>0</v>
      </c>
      <c r="AO7">
        <v>886.83333333333337</v>
      </c>
      <c r="AP7">
        <v>17115.883333333331</v>
      </c>
      <c r="AS7">
        <v>16229.049999999997</v>
      </c>
      <c r="AT7" t="s">
        <v>380</v>
      </c>
      <c r="AU7" t="s">
        <v>375</v>
      </c>
      <c r="AV7" t="s">
        <v>381</v>
      </c>
      <c r="AX7">
        <v>0.5</v>
      </c>
    </row>
    <row r="8" spans="32:51">
      <c r="AH8">
        <v>0</v>
      </c>
      <c r="AN8">
        <v>0</v>
      </c>
      <c r="AO8">
        <v>886.83333333333337</v>
      </c>
      <c r="AP8">
        <v>17381.933333333331</v>
      </c>
      <c r="AS8">
        <v>16495.099999999999</v>
      </c>
      <c r="AT8" t="s">
        <v>382</v>
      </c>
      <c r="AU8" t="s">
        <v>375</v>
      </c>
      <c r="AV8" t="s">
        <v>383</v>
      </c>
    </row>
    <row r="9" spans="32:51">
      <c r="AH9">
        <v>0</v>
      </c>
      <c r="AN9">
        <v>0</v>
      </c>
      <c r="AO9">
        <v>1065.1666666666667</v>
      </c>
      <c r="AP9">
        <v>21835.916666666668</v>
      </c>
      <c r="AS9">
        <v>20770.75</v>
      </c>
      <c r="AT9" t="s">
        <v>384</v>
      </c>
      <c r="AU9" t="s">
        <v>375</v>
      </c>
      <c r="AV9" t="s">
        <v>385</v>
      </c>
      <c r="AW9" t="s">
        <v>386</v>
      </c>
    </row>
    <row r="10" spans="32:51">
      <c r="AH10">
        <v>0</v>
      </c>
      <c r="AN10">
        <v>0</v>
      </c>
      <c r="AO10">
        <v>886.83333333333337</v>
      </c>
      <c r="AP10">
        <v>17914.033333333333</v>
      </c>
      <c r="AS10">
        <v>17027.2</v>
      </c>
      <c r="AT10" t="s">
        <v>387</v>
      </c>
      <c r="AU10" t="s">
        <v>375</v>
      </c>
      <c r="AV10" t="s">
        <v>388</v>
      </c>
    </row>
    <row r="11" spans="32:51">
      <c r="AH11">
        <v>0</v>
      </c>
      <c r="AN11">
        <v>0</v>
      </c>
      <c r="AO11">
        <v>1065.1666666666667</v>
      </c>
      <c r="AP11">
        <v>22475.01666666667</v>
      </c>
      <c r="AS11">
        <v>21409.850000000002</v>
      </c>
      <c r="AT11" t="s">
        <v>389</v>
      </c>
      <c r="AU11" t="s">
        <v>375</v>
      </c>
      <c r="AV11" t="s">
        <v>390</v>
      </c>
      <c r="AW11" t="s">
        <v>386</v>
      </c>
    </row>
    <row r="12" spans="32:51">
      <c r="AH12">
        <v>0</v>
      </c>
      <c r="AN12">
        <v>0</v>
      </c>
      <c r="AO12">
        <v>886.83333333333337</v>
      </c>
      <c r="AP12">
        <v>17381.933333333331</v>
      </c>
      <c r="AS12">
        <v>16495.099999999999</v>
      </c>
      <c r="AT12" t="s">
        <v>391</v>
      </c>
      <c r="AU12" t="s">
        <v>375</v>
      </c>
      <c r="AV12" t="s">
        <v>392</v>
      </c>
    </row>
    <row r="13" spans="32:51">
      <c r="AH13">
        <v>0</v>
      </c>
      <c r="AN13">
        <v>0</v>
      </c>
      <c r="AO13">
        <v>886.83333333333337</v>
      </c>
      <c r="AP13">
        <v>15785.633333333333</v>
      </c>
      <c r="AS13">
        <v>14898.8</v>
      </c>
      <c r="AT13" t="s">
        <v>393</v>
      </c>
      <c r="AU13" t="s">
        <v>375</v>
      </c>
      <c r="AV13" t="s">
        <v>394</v>
      </c>
    </row>
    <row r="14" spans="32:51">
      <c r="AH14">
        <v>0</v>
      </c>
      <c r="AN14">
        <v>0</v>
      </c>
      <c r="AO14">
        <v>886.83333333333337</v>
      </c>
      <c r="AP14">
        <v>16583.783333333333</v>
      </c>
      <c r="AS14">
        <v>15696.949999999999</v>
      </c>
      <c r="AT14" t="s">
        <v>395</v>
      </c>
      <c r="AU14" t="s">
        <v>375</v>
      </c>
      <c r="AV14" t="s">
        <v>381</v>
      </c>
      <c r="AX14">
        <v>0.35</v>
      </c>
    </row>
    <row r="15" spans="32:51">
      <c r="AH15">
        <v>0</v>
      </c>
      <c r="AN15">
        <v>0</v>
      </c>
      <c r="AO15">
        <v>1065.1666666666667</v>
      </c>
      <c r="AP15">
        <v>21835.916666666668</v>
      </c>
      <c r="AS15">
        <v>20770.75</v>
      </c>
      <c r="AT15" t="s">
        <v>396</v>
      </c>
      <c r="AU15" t="s">
        <v>375</v>
      </c>
      <c r="AV15" t="s">
        <v>397</v>
      </c>
      <c r="AW15" t="s">
        <v>398</v>
      </c>
    </row>
    <row r="16" spans="32:51">
      <c r="AF16">
        <v>40</v>
      </c>
      <c r="AH16">
        <v>2128.4</v>
      </c>
      <c r="AN16">
        <v>0</v>
      </c>
      <c r="AO16">
        <v>886.83333333333337</v>
      </c>
      <c r="AP16">
        <v>20308.483333333334</v>
      </c>
      <c r="AS16">
        <v>19421.650000000001</v>
      </c>
      <c r="AT16" t="s">
        <v>399</v>
      </c>
      <c r="AU16" t="s">
        <v>375</v>
      </c>
      <c r="AV16" t="s">
        <v>378</v>
      </c>
      <c r="AW16" t="s">
        <v>400</v>
      </c>
    </row>
    <row r="17" spans="34:51">
      <c r="AH17">
        <v>0</v>
      </c>
      <c r="AN17">
        <v>0</v>
      </c>
      <c r="AO17">
        <v>886.83333333333337</v>
      </c>
      <c r="AP17">
        <v>16583.783333333333</v>
      </c>
      <c r="AS17">
        <v>15696.949999999999</v>
      </c>
      <c r="AT17" t="s">
        <v>401</v>
      </c>
      <c r="AU17" t="s">
        <v>375</v>
      </c>
      <c r="AV17" t="s">
        <v>402</v>
      </c>
      <c r="AX17">
        <v>0.35</v>
      </c>
    </row>
    <row r="18" spans="34:51">
      <c r="AH18">
        <v>0</v>
      </c>
      <c r="AN18">
        <v>0</v>
      </c>
      <c r="AO18">
        <v>886.83333333333337</v>
      </c>
      <c r="AP18">
        <v>17647.983333333334</v>
      </c>
      <c r="AS18">
        <v>16761.150000000001</v>
      </c>
      <c r="AT18" t="s">
        <v>403</v>
      </c>
      <c r="AU18" t="s">
        <v>375</v>
      </c>
      <c r="AV18" t="s">
        <v>378</v>
      </c>
      <c r="AX18">
        <v>0.35</v>
      </c>
    </row>
    <row r="19" spans="34:51">
      <c r="AH19">
        <v>0</v>
      </c>
      <c r="AN19">
        <v>0</v>
      </c>
      <c r="AO19">
        <v>808.33333333333337</v>
      </c>
      <c r="AP19">
        <v>16570.833333333332</v>
      </c>
      <c r="AS19">
        <v>15762.499999999998</v>
      </c>
      <c r="AT19" t="s">
        <v>404</v>
      </c>
      <c r="AU19" t="s">
        <v>405</v>
      </c>
      <c r="AV19" t="s">
        <v>388</v>
      </c>
    </row>
    <row r="20" spans="34:51">
      <c r="AH20">
        <v>2128.4</v>
      </c>
      <c r="AN20">
        <v>0</v>
      </c>
      <c r="AO20">
        <v>15049.500000000004</v>
      </c>
      <c r="AP20">
        <v>308563.05</v>
      </c>
      <c r="AS20">
        <v>293513.55</v>
      </c>
      <c r="AT20">
        <v>218266.05000000002</v>
      </c>
      <c r="AW20">
        <v>306.8</v>
      </c>
      <c r="AX20" t="s">
        <v>406</v>
      </c>
      <c r="AY20" t="s">
        <v>407</v>
      </c>
    </row>
    <row r="82" hidden="1"/>
    <row r="83" hidden="1"/>
    <row r="84" hidden="1"/>
  </sheetData>
  <customSheetViews>
    <customSheetView guid="{5BFCA170-DEAE-4D2C-98A0-1E68B427AC01}" showPageBreaks="1" hiddenRows="1" state="hidden">
      <selection activeCell="B100" sqref="B100"/>
      <pageMargins left="0.7" right="0.7" top="0.75" bottom="0.75" header="0.3" footer="0.3"/>
      <pageSetup paperSize="9" orientation="portrait" r:id="rId1"/>
    </customSheetView>
    <customSheetView guid="{B30CE22D-C12F-4E12-8BB9-3AAE0A6991CC}" hiddenRows="1" state="hidden">
      <selection activeCell="B100" sqref="B100"/>
      <pageMargins left="0.7" right="0.7" top="0.75" bottom="0.75" header="0.3" footer="0.3"/>
      <pageSetup paperSize="9" orientation="portrait" verticalDpi="0" r:id="rId2"/>
    </customSheetView>
    <customSheetView guid="{1A52382B-3765-4E8C-903F-6B8919B7242E}" hiddenRows="1" state="hidden">
      <selection activeCell="B100" sqref="B100"/>
      <pageMargins left="0.7" right="0.7" top="0.75" bottom="0.75" header="0.3" footer="0.3"/>
      <pageSetup paperSize="9" orientation="portrait" r:id="rId3"/>
    </customSheetView>
    <customSheetView guid="{A54C432C-6C68-4B53-A75C-446EB3A61B2B}" hiddenRows="1" state="hidden">
      <selection activeCell="B100" sqref="B100"/>
      <pageMargins left="0.7" right="0.7" top="0.75" bottom="0.75" header="0.3" footer="0.3"/>
      <pageSetup paperSize="9" orientation="portrait" verticalDpi="0" r:id="rId4"/>
    </customSheetView>
    <customSheetView guid="{3DCB9AAA-F09C-4EA6-B992-F93E466D374A}" hiddenRows="1" state="hidden">
      <selection activeCell="B100" sqref="B100"/>
      <pageMargins left="0.7" right="0.7" top="0.75" bottom="0.75" header="0.3" footer="0.3"/>
      <pageSetup paperSize="9" orientation="portrait" verticalDpi="0" r:id="rId5"/>
    </customSheetView>
    <customSheetView guid="{B31C8DB7-3E78-4144-A6B5-8DE36DE63F0E}" hiddenRows="1" state="hidden">
      <selection activeCell="B100" sqref="B100"/>
      <pageMargins left="0.7" right="0.7" top="0.75" bottom="0.75" header="0.3" footer="0.3"/>
      <pageSetup paperSize="9" orientation="portrait" r:id="rId6"/>
    </customSheetView>
    <customSheetView guid="{61528DAC-5C4C-48F4-ADE2-8A724B05A086}" hiddenRows="1" state="hidden">
      <selection activeCell="B100" sqref="B100"/>
      <pageMargins left="0.7" right="0.7" top="0.75" bottom="0.75" header="0.3" footer="0.3"/>
      <pageSetup paperSize="9" orientation="portrait" verticalDpi="0" r:id="rId7"/>
    </customSheetView>
  </customSheetViews>
  <pageMargins left="0.7" right="0.7" top="0.75" bottom="0.75" header="0.3" footer="0.3"/>
  <pageSetup paperSize="9" orientation="portrait" r:id="rId8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2.75"/>
  <sheetData/>
  <customSheetViews>
    <customSheetView guid="{5BFCA170-DEAE-4D2C-98A0-1E68B427AC01}" showPageBreaks="1" topLeftCell="A16">
      <pageMargins left="0.7" right="0.7" top="0.75" bottom="0.75" header="0.3" footer="0.3"/>
      <pageSetup paperSize="9" orientation="portrait" r:id="rId1"/>
    </customSheetView>
    <customSheetView guid="{B30CE22D-C12F-4E12-8BB9-3AAE0A6991CC}" state="hidden" topLeftCell="A16">
      <pageMargins left="0.7" right="0.7" top="0.75" bottom="0.75" header="0.3" footer="0.3"/>
    </customSheetView>
    <customSheetView guid="{1A52382B-3765-4E8C-903F-6B8919B7242E}" topLeftCell="A16">
      <pageMargins left="0.7" right="0.7" top="0.75" bottom="0.75" header="0.3" footer="0.3"/>
    </customSheetView>
    <customSheetView guid="{A54C432C-6C68-4B53-A75C-446EB3A61B2B}" state="hidden" topLeftCell="A16">
      <pageMargins left="0.7" right="0.7" top="0.75" bottom="0.75" header="0.3" footer="0.3"/>
    </customSheetView>
    <customSheetView guid="{3DCB9AAA-F09C-4EA6-B992-F93E466D374A}" topLeftCell="A16">
      <pageMargins left="0.7" right="0.7" top="0.75" bottom="0.75" header="0.3" footer="0.3"/>
    </customSheetView>
    <customSheetView guid="{B31C8DB7-3E78-4144-A6B5-8DE36DE63F0E}" topLeftCell="A16">
      <pageMargins left="0.7" right="0.7" top="0.75" bottom="0.75" header="0.3" footer="0.3"/>
      <pageSetup paperSize="9" orientation="portrait" r:id="rId2"/>
    </customSheetView>
    <customSheetView guid="{61528DAC-5C4C-48F4-ADE2-8A724B05A086}" state="hidden" topLeftCell="A16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47"/>
  <sheetViews>
    <sheetView view="pageBreakPreview" zoomScale="67" workbookViewId="0">
      <selection activeCell="H53" sqref="H53"/>
    </sheetView>
  </sheetViews>
  <sheetFormatPr defaultRowHeight="15.75"/>
  <cols>
    <col min="1" max="1" width="16.28515625" style="58" customWidth="1"/>
    <col min="2" max="2" width="57.5703125" style="59" customWidth="1"/>
    <col min="3" max="3" width="24.42578125" style="62" customWidth="1"/>
    <col min="4" max="4" width="20.140625" style="62" customWidth="1"/>
    <col min="5" max="5" width="19" style="62" customWidth="1"/>
    <col min="6" max="6" width="22.42578125" style="62" customWidth="1"/>
    <col min="7" max="7" width="20.7109375" style="1" customWidth="1"/>
    <col min="8" max="8" width="19.140625" style="1" bestFit="1" customWidth="1"/>
    <col min="9" max="16384" width="9.140625" style="1"/>
  </cols>
  <sheetData>
    <row r="1" spans="1:6">
      <c r="A1" s="465" t="s">
        <v>439</v>
      </c>
      <c r="B1" s="465"/>
      <c r="C1" s="465"/>
      <c r="D1" s="465"/>
      <c r="E1" s="465"/>
      <c r="F1" s="465"/>
    </row>
    <row r="2" spans="1:6">
      <c r="A2" s="465" t="s">
        <v>437</v>
      </c>
      <c r="B2" s="465"/>
      <c r="C2" s="465"/>
      <c r="D2" s="465"/>
      <c r="E2" s="465"/>
      <c r="F2" s="465"/>
    </row>
    <row r="3" spans="1:6" ht="63">
      <c r="A3" s="2" t="s">
        <v>0</v>
      </c>
      <c r="B3" s="2" t="s">
        <v>1</v>
      </c>
      <c r="C3" s="72" t="s">
        <v>411</v>
      </c>
      <c r="D3" s="103" t="s">
        <v>419</v>
      </c>
      <c r="E3" s="72" t="s">
        <v>2</v>
      </c>
      <c r="F3" s="74" t="s">
        <v>3</v>
      </c>
    </row>
    <row r="4" spans="1:6" s="6" customFormat="1" ht="22.5">
      <c r="A4" s="3"/>
      <c r="B4" s="253" t="s">
        <v>4</v>
      </c>
      <c r="C4" s="292">
        <f>C5+C12+C16+C21+C23+C27+C7</f>
        <v>133077.39000000001</v>
      </c>
      <c r="D4" s="292">
        <f>D5+D12+D16+D21+D23+D27+D7</f>
        <v>43713.474240000003</v>
      </c>
      <c r="E4" s="292">
        <f>SUM(D4/C4*100)</f>
        <v>32.848160187091139</v>
      </c>
      <c r="F4" s="292">
        <f>SUM(D4-C4)</f>
        <v>-89363.915760000004</v>
      </c>
    </row>
    <row r="5" spans="1:6" s="6" customFormat="1" ht="22.5">
      <c r="A5" s="68">
        <v>1010000000</v>
      </c>
      <c r="B5" s="253" t="s">
        <v>5</v>
      </c>
      <c r="C5" s="292">
        <f>C6</f>
        <v>110707.3</v>
      </c>
      <c r="D5" s="292">
        <f>D6</f>
        <v>34475.823929999999</v>
      </c>
      <c r="E5" s="292">
        <f t="shared" ref="E5:E82" si="0">SUM(D5/C5*100)</f>
        <v>31.141418795327859</v>
      </c>
      <c r="F5" s="292">
        <f t="shared" ref="F5:F82" si="1">SUM(D5-C5)</f>
        <v>-76231.476070000004</v>
      </c>
    </row>
    <row r="6" spans="1:6" ht="23.25">
      <c r="A6" s="7">
        <v>1010200001</v>
      </c>
      <c r="B6" s="254" t="s">
        <v>228</v>
      </c>
      <c r="C6" s="293">
        <v>110707.3</v>
      </c>
      <c r="D6" s="359">
        <v>34475.823929999999</v>
      </c>
      <c r="E6" s="293">
        <f t="shared" si="0"/>
        <v>31.141418795327859</v>
      </c>
      <c r="F6" s="293">
        <f t="shared" si="1"/>
        <v>-76231.476070000004</v>
      </c>
    </row>
    <row r="7" spans="1:6" ht="37.5">
      <c r="A7" s="68">
        <v>1030000000</v>
      </c>
      <c r="B7" s="255" t="s">
        <v>280</v>
      </c>
      <c r="C7" s="292">
        <f>C8+C10+C9</f>
        <v>4391.8900000000003</v>
      </c>
      <c r="D7" s="292">
        <f>D8+D10+D9+D11</f>
        <v>1696.4860799999999</v>
      </c>
      <c r="E7" s="293">
        <f t="shared" si="0"/>
        <v>38.627699691932172</v>
      </c>
      <c r="F7" s="293">
        <f t="shared" si="1"/>
        <v>-2695.4039200000007</v>
      </c>
    </row>
    <row r="8" spans="1:6" ht="23.25">
      <c r="A8" s="7">
        <v>1030223001</v>
      </c>
      <c r="B8" s="254" t="s">
        <v>282</v>
      </c>
      <c r="C8" s="293">
        <v>1409.797</v>
      </c>
      <c r="D8" s="359">
        <v>763.47578999999996</v>
      </c>
      <c r="E8" s="293">
        <f t="shared" si="0"/>
        <v>54.155015934918282</v>
      </c>
      <c r="F8" s="293">
        <f>SUM(D8-C8)</f>
        <v>-646.32121000000006</v>
      </c>
    </row>
    <row r="9" spans="1:6" ht="23.25">
      <c r="A9" s="7">
        <v>1030224001</v>
      </c>
      <c r="B9" s="254" t="s">
        <v>288</v>
      </c>
      <c r="C9" s="293">
        <v>21.959</v>
      </c>
      <c r="D9" s="359">
        <v>5.5729600000000001</v>
      </c>
      <c r="E9" s="293">
        <f t="shared" si="0"/>
        <v>25.378933466915615</v>
      </c>
      <c r="F9" s="293">
        <f>SUM(D9-C9)</f>
        <v>-16.386040000000001</v>
      </c>
    </row>
    <row r="10" spans="1:6" ht="23.25">
      <c r="A10" s="7">
        <v>1030225001</v>
      </c>
      <c r="B10" s="254" t="s">
        <v>281</v>
      </c>
      <c r="C10" s="293">
        <v>2960.134</v>
      </c>
      <c r="D10" s="359">
        <v>1085.2457199999999</v>
      </c>
      <c r="E10" s="293">
        <f t="shared" si="0"/>
        <v>36.662047055977872</v>
      </c>
      <c r="F10" s="293">
        <f t="shared" si="1"/>
        <v>-1874.8882800000001</v>
      </c>
    </row>
    <row r="11" spans="1:6" ht="23.25">
      <c r="A11" s="7">
        <v>1030226001</v>
      </c>
      <c r="B11" s="254" t="s">
        <v>290</v>
      </c>
      <c r="C11" s="293">
        <v>0</v>
      </c>
      <c r="D11" s="359">
        <v>-157.80839</v>
      </c>
      <c r="E11" s="293" t="e">
        <f t="shared" si="0"/>
        <v>#DIV/0!</v>
      </c>
      <c r="F11" s="293">
        <f t="shared" si="1"/>
        <v>-157.80839</v>
      </c>
    </row>
    <row r="12" spans="1:6" s="6" customFormat="1" ht="22.5">
      <c r="A12" s="68">
        <v>1050000000</v>
      </c>
      <c r="B12" s="253" t="s">
        <v>6</v>
      </c>
      <c r="C12" s="292">
        <f>SUM(C13:C15)</f>
        <v>12228.2</v>
      </c>
      <c r="D12" s="292">
        <f>SUM(D13:D15)</f>
        <v>6034.1928799999996</v>
      </c>
      <c r="E12" s="292">
        <f t="shared" si="0"/>
        <v>49.346534076969625</v>
      </c>
      <c r="F12" s="292">
        <f t="shared" si="1"/>
        <v>-6194.0071200000011</v>
      </c>
    </row>
    <row r="13" spans="1:6" ht="23.25">
      <c r="A13" s="7">
        <v>1050200000</v>
      </c>
      <c r="B13" s="256" t="s">
        <v>238</v>
      </c>
      <c r="C13" s="360">
        <v>10831.5</v>
      </c>
      <c r="D13" s="359">
        <v>4805.2474000000002</v>
      </c>
      <c r="E13" s="293">
        <f t="shared" si="0"/>
        <v>44.363637538660392</v>
      </c>
      <c r="F13" s="293">
        <f t="shared" si="1"/>
        <v>-6026.2525999999998</v>
      </c>
    </row>
    <row r="14" spans="1:6" ht="23.25" customHeight="1">
      <c r="A14" s="7">
        <v>1050300000</v>
      </c>
      <c r="B14" s="256" t="s">
        <v>229</v>
      </c>
      <c r="C14" s="360">
        <v>1096.7</v>
      </c>
      <c r="D14" s="359">
        <v>1185.4441400000001</v>
      </c>
      <c r="E14" s="293">
        <f t="shared" si="0"/>
        <v>108.0919248655056</v>
      </c>
      <c r="F14" s="293">
        <f t="shared" si="1"/>
        <v>88.744140000000016</v>
      </c>
    </row>
    <row r="15" spans="1:6" ht="37.5">
      <c r="A15" s="7">
        <v>1050400002</v>
      </c>
      <c r="B15" s="254" t="s">
        <v>265</v>
      </c>
      <c r="C15" s="360">
        <v>300</v>
      </c>
      <c r="D15" s="359">
        <v>43.501339999999999</v>
      </c>
      <c r="E15" s="293">
        <f t="shared" si="0"/>
        <v>14.500446666666667</v>
      </c>
      <c r="F15" s="293">
        <f t="shared" si="1"/>
        <v>-256.49865999999997</v>
      </c>
    </row>
    <row r="16" spans="1:6" s="6" customFormat="1" ht="24" customHeight="1">
      <c r="A16" s="68">
        <v>1060000000</v>
      </c>
      <c r="B16" s="253" t="s">
        <v>135</v>
      </c>
      <c r="C16" s="292">
        <f>SUM(C17:C20)</f>
        <v>2050</v>
      </c>
      <c r="D16" s="292">
        <f>SUM(D17:D20)</f>
        <v>276.79453999999998</v>
      </c>
      <c r="E16" s="292">
        <f t="shared" si="0"/>
        <v>13.502172682926828</v>
      </c>
      <c r="F16" s="292">
        <f t="shared" si="1"/>
        <v>-1773.2054600000001</v>
      </c>
    </row>
    <row r="17" spans="1:6" s="6" customFormat="1" ht="18" hidden="1" customHeight="1">
      <c r="A17" s="7">
        <v>1060100000</v>
      </c>
      <c r="B17" s="256" t="s">
        <v>8</v>
      </c>
      <c r="C17" s="293"/>
      <c r="D17" s="359"/>
      <c r="E17" s="292" t="e">
        <f t="shared" si="0"/>
        <v>#DIV/0!</v>
      </c>
      <c r="F17" s="292">
        <f t="shared" si="1"/>
        <v>0</v>
      </c>
    </row>
    <row r="18" spans="1:6" s="6" customFormat="1" ht="17.25" hidden="1" customHeight="1">
      <c r="A18" s="7">
        <v>1060200000</v>
      </c>
      <c r="B18" s="256" t="s">
        <v>122</v>
      </c>
      <c r="C18" s="293"/>
      <c r="D18" s="359"/>
      <c r="E18" s="292" t="e">
        <f t="shared" si="0"/>
        <v>#DIV/0!</v>
      </c>
      <c r="F18" s="292">
        <f t="shared" si="1"/>
        <v>0</v>
      </c>
    </row>
    <row r="19" spans="1:6" s="6" customFormat="1" ht="21.75" customHeight="1">
      <c r="A19" s="7">
        <v>1060400000</v>
      </c>
      <c r="B19" s="256" t="s">
        <v>279</v>
      </c>
      <c r="C19" s="293">
        <v>2050</v>
      </c>
      <c r="D19" s="359">
        <v>276.79453999999998</v>
      </c>
      <c r="E19" s="293">
        <f t="shared" si="0"/>
        <v>13.502172682926828</v>
      </c>
      <c r="F19" s="293">
        <f t="shared" si="1"/>
        <v>-1773.2054600000001</v>
      </c>
    </row>
    <row r="20" spans="1:6" ht="15.75" hidden="1" customHeight="1">
      <c r="A20" s="7">
        <v>1060600000</v>
      </c>
      <c r="B20" s="256" t="s">
        <v>7</v>
      </c>
      <c r="C20" s="293"/>
      <c r="D20" s="359"/>
      <c r="E20" s="293" t="e">
        <f t="shared" si="0"/>
        <v>#DIV/0!</v>
      </c>
      <c r="F20" s="293">
        <f t="shared" si="1"/>
        <v>0</v>
      </c>
    </row>
    <row r="21" spans="1:6" s="6" customFormat="1" ht="42" customHeight="1">
      <c r="A21" s="68">
        <v>1070000000</v>
      </c>
      <c r="B21" s="255" t="s">
        <v>9</v>
      </c>
      <c r="C21" s="292">
        <f>SUM(C22)</f>
        <v>1000</v>
      </c>
      <c r="D21" s="292">
        <f>SUM(D22)</f>
        <v>388.26675999999998</v>
      </c>
      <c r="E21" s="292">
        <f t="shared" si="0"/>
        <v>38.826675999999999</v>
      </c>
      <c r="F21" s="292">
        <f t="shared" si="1"/>
        <v>-611.73324000000002</v>
      </c>
    </row>
    <row r="22" spans="1:6" ht="41.25" customHeight="1">
      <c r="A22" s="7">
        <v>1070102001</v>
      </c>
      <c r="B22" s="254" t="s">
        <v>239</v>
      </c>
      <c r="C22" s="293">
        <v>1000</v>
      </c>
      <c r="D22" s="359">
        <v>388.26675999999998</v>
      </c>
      <c r="E22" s="293">
        <f t="shared" si="0"/>
        <v>38.826675999999999</v>
      </c>
      <c r="F22" s="293">
        <f t="shared" si="1"/>
        <v>-611.73324000000002</v>
      </c>
    </row>
    <row r="23" spans="1:6" s="6" customFormat="1" ht="22.5">
      <c r="A23" s="3">
        <v>1080000000</v>
      </c>
      <c r="B23" s="253" t="s">
        <v>10</v>
      </c>
      <c r="C23" s="292">
        <f>C24+C25+C26</f>
        <v>2700</v>
      </c>
      <c r="D23" s="292">
        <f>D24+D25+D26</f>
        <v>841.91004999999996</v>
      </c>
      <c r="E23" s="292">
        <f t="shared" si="0"/>
        <v>31.181853703703705</v>
      </c>
      <c r="F23" s="292">
        <f t="shared" si="1"/>
        <v>-1858.08995</v>
      </c>
    </row>
    <row r="24" spans="1:6" ht="36.75" customHeight="1">
      <c r="A24" s="7">
        <v>1080300001</v>
      </c>
      <c r="B24" s="254" t="s">
        <v>240</v>
      </c>
      <c r="C24" s="293">
        <v>1900</v>
      </c>
      <c r="D24" s="359">
        <v>601.50504999999998</v>
      </c>
      <c r="E24" s="293">
        <f t="shared" si="0"/>
        <v>31.658160526315786</v>
      </c>
      <c r="F24" s="293">
        <f t="shared" si="1"/>
        <v>-1298.49495</v>
      </c>
    </row>
    <row r="25" spans="1:6" ht="33.75" customHeight="1">
      <c r="A25" s="7">
        <v>1080600001</v>
      </c>
      <c r="B25" s="254" t="s">
        <v>227</v>
      </c>
      <c r="C25" s="293">
        <v>0</v>
      </c>
      <c r="D25" s="359">
        <v>3.75</v>
      </c>
      <c r="E25" s="293" t="e">
        <f>SUM(D25/C25*100)</f>
        <v>#DIV/0!</v>
      </c>
      <c r="F25" s="293">
        <f t="shared" si="1"/>
        <v>3.75</v>
      </c>
    </row>
    <row r="26" spans="1:6" ht="69.75" customHeight="1">
      <c r="A26" s="7">
        <v>1080714001</v>
      </c>
      <c r="B26" s="254" t="s">
        <v>226</v>
      </c>
      <c r="C26" s="293">
        <v>800</v>
      </c>
      <c r="D26" s="359">
        <v>236.655</v>
      </c>
      <c r="E26" s="293">
        <f t="shared" si="0"/>
        <v>29.581875000000004</v>
      </c>
      <c r="F26" s="293">
        <f t="shared" si="1"/>
        <v>-563.34500000000003</v>
      </c>
    </row>
    <row r="27" spans="1:6" s="15" customFormat="1" ht="0.75" customHeight="1">
      <c r="A27" s="68">
        <v>1090000000</v>
      </c>
      <c r="B27" s="255" t="s">
        <v>230</v>
      </c>
      <c r="C27" s="292">
        <f>C28+C29+C30+C31</f>
        <v>0</v>
      </c>
      <c r="D27" s="292">
        <f>D28+D29+D30+D31</f>
        <v>0</v>
      </c>
      <c r="E27" s="293" t="e">
        <f t="shared" si="0"/>
        <v>#DIV/0!</v>
      </c>
      <c r="F27" s="292">
        <f t="shared" si="1"/>
        <v>0</v>
      </c>
    </row>
    <row r="28" spans="1:6" s="15" customFormat="1" ht="17.25" hidden="1" customHeight="1">
      <c r="A28" s="7">
        <v>1090100000</v>
      </c>
      <c r="B28" s="254" t="s">
        <v>124</v>
      </c>
      <c r="C28" s="293">
        <v>0</v>
      </c>
      <c r="D28" s="359">
        <v>0</v>
      </c>
      <c r="E28" s="293" t="e">
        <f t="shared" si="0"/>
        <v>#DIV/0!</v>
      </c>
      <c r="F28" s="293">
        <f t="shared" si="1"/>
        <v>0</v>
      </c>
    </row>
    <row r="29" spans="1:6" s="15" customFormat="1" ht="17.25" hidden="1" customHeight="1">
      <c r="A29" s="7">
        <v>1090400000</v>
      </c>
      <c r="B29" s="254" t="s">
        <v>125</v>
      </c>
      <c r="C29" s="293">
        <v>0</v>
      </c>
      <c r="D29" s="359">
        <v>0</v>
      </c>
      <c r="E29" s="293" t="e">
        <f t="shared" si="0"/>
        <v>#DIV/0!</v>
      </c>
      <c r="F29" s="293">
        <f t="shared" si="1"/>
        <v>0</v>
      </c>
    </row>
    <row r="30" spans="1:6" s="15" customFormat="1" ht="15.75" hidden="1" customHeight="1">
      <c r="A30" s="7">
        <v>1090600000</v>
      </c>
      <c r="B30" s="254" t="s">
        <v>126</v>
      </c>
      <c r="C30" s="293">
        <v>0</v>
      </c>
      <c r="D30" s="359">
        <v>0</v>
      </c>
      <c r="E30" s="293" t="e">
        <f t="shared" si="0"/>
        <v>#DIV/0!</v>
      </c>
      <c r="F30" s="293">
        <f t="shared" si="1"/>
        <v>0</v>
      </c>
    </row>
    <row r="31" spans="1:6" s="15" customFormat="1" ht="42" customHeight="1">
      <c r="A31" s="7">
        <v>1090700000</v>
      </c>
      <c r="B31" s="254" t="s">
        <v>127</v>
      </c>
      <c r="C31" s="293">
        <v>0</v>
      </c>
      <c r="D31" s="359">
        <v>0</v>
      </c>
      <c r="E31" s="293" t="e">
        <f t="shared" si="0"/>
        <v>#DIV/0!</v>
      </c>
      <c r="F31" s="293">
        <f t="shared" si="1"/>
        <v>0</v>
      </c>
    </row>
    <row r="32" spans="1:6" s="6" customFormat="1" ht="33.75" customHeight="1">
      <c r="A32" s="3"/>
      <c r="B32" s="253" t="s">
        <v>12</v>
      </c>
      <c r="C32" s="292">
        <f>C33+C42+C44+C47+C50+C52+C69</f>
        <v>28011.599999999999</v>
      </c>
      <c r="D32" s="292">
        <f>D33+D42+D44+D47+D50+D52+D69</f>
        <v>6285.4992700000003</v>
      </c>
      <c r="E32" s="292">
        <f t="shared" si="0"/>
        <v>22.438915556412343</v>
      </c>
      <c r="F32" s="292">
        <f t="shared" si="1"/>
        <v>-21726.100729999998</v>
      </c>
    </row>
    <row r="33" spans="1:6" s="6" customFormat="1" ht="60.75" customHeight="1">
      <c r="A33" s="3">
        <v>1110000000</v>
      </c>
      <c r="B33" s="255" t="s">
        <v>128</v>
      </c>
      <c r="C33" s="292">
        <f>SUM(C34:C41)</f>
        <v>11511.6</v>
      </c>
      <c r="D33" s="292">
        <f>D35+D36+D37+D39+D38+D34+D41+D40</f>
        <v>3802.0607699999996</v>
      </c>
      <c r="E33" s="292">
        <f t="shared" si="0"/>
        <v>33.028082716564157</v>
      </c>
      <c r="F33" s="292">
        <f t="shared" si="1"/>
        <v>-7709.5392300000003</v>
      </c>
    </row>
    <row r="34" spans="1:6" s="6" customFormat="1" ht="34.5" customHeight="1">
      <c r="A34" s="7">
        <v>1110105005</v>
      </c>
      <c r="B34" s="254" t="s">
        <v>319</v>
      </c>
      <c r="C34" s="293">
        <v>10</v>
      </c>
      <c r="D34" s="293">
        <v>23.658000000000001</v>
      </c>
      <c r="E34" s="293">
        <f t="shared" si="0"/>
        <v>236.58</v>
      </c>
      <c r="F34" s="293">
        <f t="shared" si="1"/>
        <v>13.658000000000001</v>
      </c>
    </row>
    <row r="35" spans="1:6" ht="27.75" customHeight="1">
      <c r="A35" s="7">
        <v>1110305005</v>
      </c>
      <c r="B35" s="256" t="s">
        <v>241</v>
      </c>
      <c r="C35" s="293">
        <v>0</v>
      </c>
      <c r="D35" s="359">
        <v>0</v>
      </c>
      <c r="E35" s="293" t="e">
        <f t="shared" si="0"/>
        <v>#DIV/0!</v>
      </c>
      <c r="F35" s="293">
        <f t="shared" si="1"/>
        <v>0</v>
      </c>
    </row>
    <row r="36" spans="1:6" ht="23.25">
      <c r="A36" s="16">
        <v>1110501101</v>
      </c>
      <c r="B36" s="257" t="s">
        <v>225</v>
      </c>
      <c r="C36" s="360">
        <v>10636.6</v>
      </c>
      <c r="D36" s="359">
        <v>3509.66815</v>
      </c>
      <c r="E36" s="293">
        <f t="shared" si="0"/>
        <v>32.996146795028487</v>
      </c>
      <c r="F36" s="293">
        <f t="shared" si="1"/>
        <v>-7126.9318500000008</v>
      </c>
    </row>
    <row r="37" spans="1:6" ht="20.25" customHeight="1">
      <c r="A37" s="7">
        <v>1110503505</v>
      </c>
      <c r="B37" s="256" t="s">
        <v>224</v>
      </c>
      <c r="C37" s="360">
        <v>350</v>
      </c>
      <c r="D37" s="359">
        <v>95.455939999999998</v>
      </c>
      <c r="E37" s="293">
        <f t="shared" si="0"/>
        <v>27.273125714285712</v>
      </c>
      <c r="F37" s="293">
        <f t="shared" si="1"/>
        <v>-254.54406</v>
      </c>
    </row>
    <row r="38" spans="1:6" ht="131.25" customHeight="1">
      <c r="A38" s="7">
        <v>1110502000</v>
      </c>
      <c r="B38" s="254" t="s">
        <v>276</v>
      </c>
      <c r="C38" s="361">
        <v>0</v>
      </c>
      <c r="D38" s="359">
        <v>0</v>
      </c>
      <c r="E38" s="293" t="e">
        <f t="shared" si="0"/>
        <v>#DIV/0!</v>
      </c>
      <c r="F38" s="293">
        <f t="shared" si="1"/>
        <v>0</v>
      </c>
    </row>
    <row r="39" spans="1:6" s="15" customFormat="1" ht="23.25">
      <c r="A39" s="7">
        <v>1110701505</v>
      </c>
      <c r="B39" s="256" t="s">
        <v>242</v>
      </c>
      <c r="C39" s="360">
        <v>20</v>
      </c>
      <c r="D39" s="359">
        <v>26.303000000000001</v>
      </c>
      <c r="E39" s="293">
        <f t="shared" si="0"/>
        <v>131.51500000000001</v>
      </c>
      <c r="F39" s="293">
        <f t="shared" si="1"/>
        <v>6.3030000000000008</v>
      </c>
    </row>
    <row r="40" spans="1:6" s="15" customFormat="1" ht="23.25">
      <c r="A40" s="7">
        <v>1110903000</v>
      </c>
      <c r="B40" s="256" t="s">
        <v>409</v>
      </c>
      <c r="C40" s="360">
        <v>0</v>
      </c>
      <c r="D40" s="359">
        <v>0.31791000000000003</v>
      </c>
      <c r="E40" s="293" t="e">
        <f>SUM(D40/C40*100)</f>
        <v>#DIV/0!</v>
      </c>
      <c r="F40" s="293">
        <f>SUM(D40-C40)</f>
        <v>0.31791000000000003</v>
      </c>
    </row>
    <row r="41" spans="1:6" s="15" customFormat="1" ht="23.25">
      <c r="A41" s="7">
        <v>1110904505</v>
      </c>
      <c r="B41" s="256" t="s">
        <v>333</v>
      </c>
      <c r="C41" s="360">
        <v>495</v>
      </c>
      <c r="D41" s="359">
        <v>146.65777</v>
      </c>
      <c r="E41" s="293">
        <f t="shared" si="0"/>
        <v>29.627832323232322</v>
      </c>
      <c r="F41" s="293">
        <f t="shared" si="1"/>
        <v>-348.34222999999997</v>
      </c>
    </row>
    <row r="42" spans="1:6" s="15" customFormat="1" ht="37.5">
      <c r="A42" s="68">
        <v>1120000000</v>
      </c>
      <c r="B42" s="255" t="s">
        <v>129</v>
      </c>
      <c r="C42" s="362">
        <f>C43</f>
        <v>600</v>
      </c>
      <c r="D42" s="362">
        <f>D43</f>
        <v>350.41818000000001</v>
      </c>
      <c r="E42" s="292">
        <f t="shared" si="0"/>
        <v>58.403030000000001</v>
      </c>
      <c r="F42" s="292">
        <f t="shared" si="1"/>
        <v>-249.58181999999999</v>
      </c>
    </row>
    <row r="43" spans="1:6" s="15" customFormat="1" ht="37.5">
      <c r="A43" s="7">
        <v>1120100001</v>
      </c>
      <c r="B43" s="254" t="s">
        <v>243</v>
      </c>
      <c r="C43" s="293">
        <v>600</v>
      </c>
      <c r="D43" s="359">
        <v>350.41818000000001</v>
      </c>
      <c r="E43" s="293">
        <f t="shared" si="0"/>
        <v>58.403030000000001</v>
      </c>
      <c r="F43" s="293">
        <f t="shared" si="1"/>
        <v>-249.58181999999999</v>
      </c>
    </row>
    <row r="44" spans="1:6" s="252" customFormat="1" ht="21.75" customHeight="1">
      <c r="A44" s="319">
        <v>1130000000</v>
      </c>
      <c r="B44" s="258" t="s">
        <v>130</v>
      </c>
      <c r="C44" s="292">
        <f>C45+C46</f>
        <v>0</v>
      </c>
      <c r="D44" s="292">
        <f>D45+D46</f>
        <v>1.2607900000000001</v>
      </c>
      <c r="E44" s="292" t="e">
        <f t="shared" si="0"/>
        <v>#DIV/0!</v>
      </c>
      <c r="F44" s="292">
        <f t="shared" si="1"/>
        <v>1.2607900000000001</v>
      </c>
    </row>
    <row r="45" spans="1:6" s="15" customFormat="1" ht="36" customHeight="1">
      <c r="A45" s="7">
        <v>1130200000</v>
      </c>
      <c r="B45" s="254" t="s">
        <v>329</v>
      </c>
      <c r="C45" s="293">
        <v>0</v>
      </c>
      <c r="D45" s="293">
        <v>1.2607900000000001</v>
      </c>
      <c r="E45" s="293" t="e">
        <f>SUM(D45/C45*100)</f>
        <v>#DIV/0!</v>
      </c>
      <c r="F45" s="293">
        <f>SUM(D45-C45)</f>
        <v>1.2607900000000001</v>
      </c>
    </row>
    <row r="46" spans="1:6" ht="25.5" customHeight="1">
      <c r="A46" s="7">
        <v>1130305005</v>
      </c>
      <c r="B46" s="254" t="s">
        <v>223</v>
      </c>
      <c r="C46" s="293">
        <v>0</v>
      </c>
      <c r="D46" s="359">
        <v>0</v>
      </c>
      <c r="E46" s="293"/>
      <c r="F46" s="293">
        <f t="shared" si="1"/>
        <v>0</v>
      </c>
    </row>
    <row r="47" spans="1:6" ht="20.25" customHeight="1">
      <c r="A47" s="109">
        <v>1140000000</v>
      </c>
      <c r="B47" s="259" t="s">
        <v>131</v>
      </c>
      <c r="C47" s="292">
        <f>C48+C49</f>
        <v>10300</v>
      </c>
      <c r="D47" s="292">
        <f>D48+D49</f>
        <v>432.63589000000002</v>
      </c>
      <c r="E47" s="292">
        <f t="shared" si="0"/>
        <v>4.2003484466019421</v>
      </c>
      <c r="F47" s="292">
        <f t="shared" si="1"/>
        <v>-9867.3641100000004</v>
      </c>
    </row>
    <row r="48" spans="1:6" ht="23.25">
      <c r="A48" s="16">
        <v>1140200000</v>
      </c>
      <c r="B48" s="260" t="s">
        <v>221</v>
      </c>
      <c r="C48" s="293">
        <v>200</v>
      </c>
      <c r="D48" s="359">
        <v>-88.246399999999994</v>
      </c>
      <c r="E48" s="293">
        <f t="shared" si="0"/>
        <v>-44.123199999999997</v>
      </c>
      <c r="F48" s="293">
        <f t="shared" si="1"/>
        <v>-288.24639999999999</v>
      </c>
    </row>
    <row r="49" spans="1:8" ht="24" customHeight="1">
      <c r="A49" s="7">
        <v>1140600000</v>
      </c>
      <c r="B49" s="254" t="s">
        <v>222</v>
      </c>
      <c r="C49" s="293">
        <v>10100</v>
      </c>
      <c r="D49" s="359">
        <v>520.88229000000001</v>
      </c>
      <c r="E49" s="293">
        <f t="shared" si="0"/>
        <v>5.1572503960396041</v>
      </c>
      <c r="F49" s="293">
        <f t="shared" si="1"/>
        <v>-9579.1177100000004</v>
      </c>
    </row>
    <row r="50" spans="1:8" ht="37.5" hidden="1" customHeight="1">
      <c r="A50" s="3">
        <v>1150000000</v>
      </c>
      <c r="B50" s="255" t="s">
        <v>234</v>
      </c>
      <c r="C50" s="292">
        <f>C51</f>
        <v>0</v>
      </c>
      <c r="D50" s="292">
        <f>D51</f>
        <v>0</v>
      </c>
      <c r="E50" s="292" t="e">
        <f t="shared" si="0"/>
        <v>#DIV/0!</v>
      </c>
      <c r="F50" s="292">
        <f t="shared" si="1"/>
        <v>0</v>
      </c>
    </row>
    <row r="51" spans="1:8" ht="56.25" hidden="1" customHeight="1">
      <c r="A51" s="7">
        <v>1150205005</v>
      </c>
      <c r="B51" s="254" t="s">
        <v>235</v>
      </c>
      <c r="C51" s="293">
        <v>0</v>
      </c>
      <c r="D51" s="359">
        <v>0</v>
      </c>
      <c r="E51" s="293" t="e">
        <f t="shared" si="0"/>
        <v>#DIV/0!</v>
      </c>
      <c r="F51" s="293">
        <f t="shared" si="1"/>
        <v>0</v>
      </c>
    </row>
    <row r="52" spans="1:8" ht="37.5">
      <c r="A52" s="3">
        <v>1160000000</v>
      </c>
      <c r="B52" s="255" t="s">
        <v>133</v>
      </c>
      <c r="C52" s="292">
        <f>C53+C54+C55+C56+C57+C58+C59+C60+C61+C62+C63+C64+C65+C66+C67+C68</f>
        <v>5600</v>
      </c>
      <c r="D52" s="292">
        <f>D53+D54+D55+D56+D57+D58+D59+D60+D61+D62+D63+D64+D65+D66+D67+D68</f>
        <v>1699.12364</v>
      </c>
      <c r="E52" s="292">
        <f>SUM(D52/C52*100)</f>
        <v>30.341493571428575</v>
      </c>
      <c r="F52" s="292">
        <f t="shared" si="1"/>
        <v>-3900.8763600000002</v>
      </c>
      <c r="H52" s="152"/>
    </row>
    <row r="53" spans="1:8" ht="23.25" customHeight="1">
      <c r="A53" s="7">
        <v>1160301001</v>
      </c>
      <c r="B53" s="254" t="s">
        <v>244</v>
      </c>
      <c r="C53" s="293">
        <v>10</v>
      </c>
      <c r="D53" s="456">
        <v>2.85</v>
      </c>
      <c r="E53" s="293">
        <f>SUM(D53/C53*100)</f>
        <v>28.500000000000004</v>
      </c>
      <c r="F53" s="293">
        <f t="shared" si="1"/>
        <v>-7.15</v>
      </c>
    </row>
    <row r="54" spans="1:8" ht="21" customHeight="1">
      <c r="A54" s="7">
        <v>1160303001</v>
      </c>
      <c r="B54" s="254" t="s">
        <v>245</v>
      </c>
      <c r="C54" s="293">
        <v>7</v>
      </c>
      <c r="D54" s="457">
        <v>4.95</v>
      </c>
      <c r="E54" s="293">
        <f t="shared" si="0"/>
        <v>70.714285714285722</v>
      </c>
      <c r="F54" s="293">
        <f t="shared" si="1"/>
        <v>-2.0499999999999998</v>
      </c>
    </row>
    <row r="55" spans="1:8" ht="23.25" customHeight="1">
      <c r="A55" s="7">
        <v>1160600000</v>
      </c>
      <c r="B55" s="254" t="s">
        <v>246</v>
      </c>
      <c r="C55" s="400">
        <v>0</v>
      </c>
      <c r="D55" s="457">
        <v>0</v>
      </c>
      <c r="E55" s="293" t="e">
        <f t="shared" si="0"/>
        <v>#DIV/0!</v>
      </c>
      <c r="F55" s="293">
        <f t="shared" si="1"/>
        <v>0</v>
      </c>
    </row>
    <row r="56" spans="1:8" s="15" customFormat="1" ht="48" customHeight="1">
      <c r="A56" s="7">
        <v>1160800001</v>
      </c>
      <c r="B56" s="254" t="s">
        <v>247</v>
      </c>
      <c r="C56" s="293">
        <v>700</v>
      </c>
      <c r="D56" s="457">
        <v>0</v>
      </c>
      <c r="E56" s="293">
        <f t="shared" si="0"/>
        <v>0</v>
      </c>
      <c r="F56" s="293">
        <f t="shared" si="1"/>
        <v>-700</v>
      </c>
    </row>
    <row r="57" spans="1:8" ht="35.25" customHeight="1">
      <c r="A57" s="7">
        <v>1160802001</v>
      </c>
      <c r="B57" s="254" t="s">
        <v>341</v>
      </c>
      <c r="C57" s="400">
        <v>0</v>
      </c>
      <c r="D57" s="359">
        <v>0</v>
      </c>
      <c r="E57" s="293" t="e">
        <f t="shared" si="0"/>
        <v>#DIV/0!</v>
      </c>
      <c r="F57" s="293">
        <f t="shared" si="1"/>
        <v>0</v>
      </c>
    </row>
    <row r="58" spans="1:8" ht="35.25" customHeight="1">
      <c r="A58" s="7">
        <v>1162105005</v>
      </c>
      <c r="B58" s="254" t="s">
        <v>15</v>
      </c>
      <c r="C58" s="293">
        <v>200</v>
      </c>
      <c r="D58" s="359">
        <v>135.00151</v>
      </c>
      <c r="E58" s="293">
        <f t="shared" si="0"/>
        <v>67.500754999999998</v>
      </c>
      <c r="F58" s="293">
        <f t="shared" si="1"/>
        <v>-64.998490000000004</v>
      </c>
    </row>
    <row r="59" spans="1:8" ht="35.25" customHeight="1">
      <c r="A59" s="16">
        <v>1162503001</v>
      </c>
      <c r="B59" s="260" t="s">
        <v>332</v>
      </c>
      <c r="C59" s="293">
        <v>90</v>
      </c>
      <c r="D59" s="359">
        <v>5</v>
      </c>
      <c r="E59" s="293">
        <f t="shared" si="0"/>
        <v>5.5555555555555554</v>
      </c>
      <c r="F59" s="293">
        <f t="shared" si="1"/>
        <v>-85</v>
      </c>
    </row>
    <row r="60" spans="1:8" ht="21.75" customHeight="1">
      <c r="A60" s="16">
        <v>1162505001</v>
      </c>
      <c r="B60" s="260" t="s">
        <v>344</v>
      </c>
      <c r="C60" s="293">
        <v>20</v>
      </c>
      <c r="D60" s="359">
        <v>10</v>
      </c>
      <c r="E60" s="293">
        <f t="shared" si="0"/>
        <v>50</v>
      </c>
      <c r="F60" s="293">
        <f t="shared" si="1"/>
        <v>-10</v>
      </c>
    </row>
    <row r="61" spans="1:8" ht="20.25" customHeight="1">
      <c r="A61" s="16">
        <v>1162506001</v>
      </c>
      <c r="B61" s="260" t="s">
        <v>268</v>
      </c>
      <c r="C61" s="293">
        <v>70</v>
      </c>
      <c r="D61" s="359">
        <v>59.926499999999997</v>
      </c>
      <c r="E61" s="293">
        <f t="shared" si="0"/>
        <v>85.609285714285704</v>
      </c>
      <c r="F61" s="293">
        <f t="shared" si="1"/>
        <v>-10.073500000000003</v>
      </c>
    </row>
    <row r="62" spans="1:8" ht="0.75" customHeight="1">
      <c r="A62" s="7">
        <v>1162700001</v>
      </c>
      <c r="B62" s="254" t="s">
        <v>248</v>
      </c>
      <c r="C62" s="293">
        <v>0</v>
      </c>
      <c r="D62" s="359">
        <v>0</v>
      </c>
      <c r="E62" s="293" t="e">
        <f t="shared" si="0"/>
        <v>#DIV/0!</v>
      </c>
      <c r="F62" s="293">
        <f t="shared" si="1"/>
        <v>0</v>
      </c>
    </row>
    <row r="63" spans="1:8" ht="37.5" customHeight="1">
      <c r="A63" s="7">
        <v>1162800001</v>
      </c>
      <c r="B63" s="254" t="s">
        <v>237</v>
      </c>
      <c r="C63" s="293">
        <v>450</v>
      </c>
      <c r="D63" s="359">
        <v>99.185209999999998</v>
      </c>
      <c r="E63" s="293">
        <f>SUM(D63/C63*100)</f>
        <v>22.04115777777778</v>
      </c>
      <c r="F63" s="293">
        <f>SUM(D63-C63)</f>
        <v>-350.81479000000002</v>
      </c>
    </row>
    <row r="64" spans="1:8" ht="36" customHeight="1">
      <c r="A64" s="7">
        <v>1163003001</v>
      </c>
      <c r="B64" s="254" t="s">
        <v>269</v>
      </c>
      <c r="C64" s="293">
        <v>400</v>
      </c>
      <c r="D64" s="359">
        <v>324.5</v>
      </c>
      <c r="E64" s="293">
        <f>SUM(D64/C64*100)</f>
        <v>81.125</v>
      </c>
      <c r="F64" s="293">
        <f>SUM(D64-C64)</f>
        <v>-75.5</v>
      </c>
    </row>
    <row r="65" spans="1:8" ht="56.25">
      <c r="A65" s="7">
        <v>1164300001</v>
      </c>
      <c r="B65" s="261" t="s">
        <v>261</v>
      </c>
      <c r="C65" s="293">
        <v>320</v>
      </c>
      <c r="D65" s="359">
        <v>195.29803000000001</v>
      </c>
      <c r="E65" s="293">
        <f t="shared" si="0"/>
        <v>61.030634375000005</v>
      </c>
      <c r="F65" s="293">
        <f t="shared" si="1"/>
        <v>-124.70196999999999</v>
      </c>
    </row>
    <row r="66" spans="1:8" ht="73.5" customHeight="1">
      <c r="A66" s="7">
        <v>1163305005</v>
      </c>
      <c r="B66" s="254" t="s">
        <v>16</v>
      </c>
      <c r="C66" s="293">
        <v>0</v>
      </c>
      <c r="D66" s="359">
        <v>0</v>
      </c>
      <c r="E66" s="293" t="e">
        <f t="shared" si="0"/>
        <v>#DIV/0!</v>
      </c>
      <c r="F66" s="293">
        <f t="shared" si="1"/>
        <v>0</v>
      </c>
    </row>
    <row r="67" spans="1:8" ht="23.25">
      <c r="A67" s="7">
        <v>1163500000</v>
      </c>
      <c r="B67" s="254" t="s">
        <v>330</v>
      </c>
      <c r="C67" s="293">
        <v>0</v>
      </c>
      <c r="D67" s="359">
        <v>1.3480300000000001</v>
      </c>
      <c r="E67" s="293" t="e">
        <f t="shared" si="0"/>
        <v>#DIV/0!</v>
      </c>
      <c r="F67" s="293">
        <f t="shared" si="1"/>
        <v>1.3480300000000001</v>
      </c>
    </row>
    <row r="68" spans="1:8" ht="35.25" customHeight="1">
      <c r="A68" s="7">
        <v>1169000000</v>
      </c>
      <c r="B68" s="254" t="s">
        <v>236</v>
      </c>
      <c r="C68" s="293">
        <v>3333</v>
      </c>
      <c r="D68" s="359">
        <v>861.06435999999997</v>
      </c>
      <c r="E68" s="293">
        <f t="shared" si="0"/>
        <v>25.834514251425141</v>
      </c>
      <c r="F68" s="293">
        <f t="shared" si="1"/>
        <v>-2471.9356400000001</v>
      </c>
    </row>
    <row r="69" spans="1:8" ht="25.5" customHeight="1">
      <c r="A69" s="3">
        <v>1170000000</v>
      </c>
      <c r="B69" s="255" t="s">
        <v>134</v>
      </c>
      <c r="C69" s="292">
        <f>C70+C71</f>
        <v>0</v>
      </c>
      <c r="D69" s="292">
        <f>D70+D71</f>
        <v>0</v>
      </c>
      <c r="E69" s="293" t="e">
        <f t="shared" si="0"/>
        <v>#DIV/0!</v>
      </c>
      <c r="F69" s="292">
        <f t="shared" si="1"/>
        <v>0</v>
      </c>
    </row>
    <row r="70" spans="1:8" ht="23.25">
      <c r="A70" s="7">
        <v>1170105005</v>
      </c>
      <c r="B70" s="254" t="s">
        <v>17</v>
      </c>
      <c r="C70" s="293">
        <v>0</v>
      </c>
      <c r="D70" s="293"/>
      <c r="E70" s="293" t="e">
        <f t="shared" si="0"/>
        <v>#DIV/0!</v>
      </c>
      <c r="F70" s="293">
        <f t="shared" si="1"/>
        <v>0</v>
      </c>
    </row>
    <row r="71" spans="1:8" ht="23.25">
      <c r="A71" s="7">
        <v>1170505005</v>
      </c>
      <c r="B71" s="256" t="s">
        <v>220</v>
      </c>
      <c r="C71" s="293">
        <v>0</v>
      </c>
      <c r="D71" s="359">
        <v>0</v>
      </c>
      <c r="E71" s="293" t="e">
        <f t="shared" si="0"/>
        <v>#DIV/0!</v>
      </c>
      <c r="F71" s="293">
        <f t="shared" si="1"/>
        <v>0</v>
      </c>
    </row>
    <row r="72" spans="1:8" s="6" customFormat="1" ht="22.5">
      <c r="A72" s="3">
        <v>1000000000</v>
      </c>
      <c r="B72" s="253" t="s">
        <v>18</v>
      </c>
      <c r="C72" s="419">
        <f>SUM(C4,C32)</f>
        <v>161088.99000000002</v>
      </c>
      <c r="D72" s="458">
        <f>SUM(D4,D32)</f>
        <v>49998.973510000003</v>
      </c>
      <c r="E72" s="292">
        <f>SUM(D72/C72*100)</f>
        <v>31.038107266052133</v>
      </c>
      <c r="F72" s="292">
        <f>SUM(D72-C72)</f>
        <v>-111090.01649000001</v>
      </c>
      <c r="G72" s="94"/>
      <c r="H72" s="94"/>
    </row>
    <row r="73" spans="1:8" s="6" customFormat="1" ht="30" customHeight="1">
      <c r="A73" s="3">
        <v>2000000000</v>
      </c>
      <c r="B73" s="253" t="s">
        <v>19</v>
      </c>
      <c r="C73" s="292">
        <f>C74+C77+C78+C79+C81+C76+C80</f>
        <v>595080.19530999998</v>
      </c>
      <c r="D73" s="292">
        <f>D74+D77+D78+D79+D81+D76+D80</f>
        <v>137808.78146999999</v>
      </c>
      <c r="E73" s="292">
        <f t="shared" si="0"/>
        <v>23.15801845803491</v>
      </c>
      <c r="F73" s="292">
        <f t="shared" si="1"/>
        <v>-457271.41383999999</v>
      </c>
      <c r="G73" s="94"/>
      <c r="H73" s="94"/>
    </row>
    <row r="74" spans="1:8" ht="21.75" customHeight="1">
      <c r="A74" s="16">
        <v>2021000000</v>
      </c>
      <c r="B74" s="257" t="s">
        <v>20</v>
      </c>
      <c r="C74" s="360">
        <v>27513.7</v>
      </c>
      <c r="D74" s="420">
        <v>6489.5</v>
      </c>
      <c r="E74" s="293">
        <f t="shared" si="0"/>
        <v>23.586431486859276</v>
      </c>
      <c r="F74" s="293">
        <f t="shared" si="1"/>
        <v>-21024.2</v>
      </c>
    </row>
    <row r="75" spans="1:8" ht="32.25" hidden="1" customHeight="1">
      <c r="A75" s="16">
        <v>2020100905</v>
      </c>
      <c r="B75" s="260" t="s">
        <v>275</v>
      </c>
      <c r="C75" s="360">
        <v>0</v>
      </c>
      <c r="D75" s="420">
        <v>0</v>
      </c>
      <c r="E75" s="293" t="e">
        <f t="shared" si="0"/>
        <v>#DIV/0!</v>
      </c>
      <c r="F75" s="293">
        <f t="shared" si="1"/>
        <v>0</v>
      </c>
    </row>
    <row r="76" spans="1:8" ht="21.75" customHeight="1">
      <c r="A76" s="16">
        <v>2020100310</v>
      </c>
      <c r="B76" s="257" t="s">
        <v>231</v>
      </c>
      <c r="C76" s="360">
        <v>10103.5</v>
      </c>
      <c r="D76" s="420">
        <v>4210</v>
      </c>
      <c r="E76" s="293">
        <f t="shared" si="0"/>
        <v>41.668728658385703</v>
      </c>
      <c r="F76" s="293">
        <f t="shared" si="1"/>
        <v>-5893.5</v>
      </c>
    </row>
    <row r="77" spans="1:8" ht="23.25">
      <c r="A77" s="16">
        <v>2022000000</v>
      </c>
      <c r="B77" s="257" t="s">
        <v>21</v>
      </c>
      <c r="C77" s="360">
        <v>233576.27531</v>
      </c>
      <c r="D77" s="359">
        <v>32774.677739999999</v>
      </c>
      <c r="E77" s="293">
        <f t="shared" si="0"/>
        <v>14.031680955825582</v>
      </c>
      <c r="F77" s="293">
        <f t="shared" si="1"/>
        <v>-200801.59756999998</v>
      </c>
    </row>
    <row r="78" spans="1:8" ht="23.25">
      <c r="A78" s="16">
        <v>2023000000</v>
      </c>
      <c r="B78" s="257" t="s">
        <v>22</v>
      </c>
      <c r="C78" s="360">
        <v>328936.52</v>
      </c>
      <c r="D78" s="421">
        <v>116052.71973</v>
      </c>
      <c r="E78" s="293">
        <f t="shared" si="0"/>
        <v>35.28119034335257</v>
      </c>
      <c r="F78" s="293">
        <f t="shared" si="1"/>
        <v>-212883.80027000001</v>
      </c>
    </row>
    <row r="79" spans="1:8" ht="19.5" customHeight="1">
      <c r="A79" s="16">
        <v>2024000000</v>
      </c>
      <c r="B79" s="260" t="s">
        <v>23</v>
      </c>
      <c r="C79" s="360">
        <v>23990.7</v>
      </c>
      <c r="D79" s="422">
        <v>7340.6760000000004</v>
      </c>
      <c r="E79" s="293">
        <f t="shared" si="0"/>
        <v>30.598006727606947</v>
      </c>
      <c r="F79" s="293">
        <f t="shared" si="1"/>
        <v>-16650.024000000001</v>
      </c>
    </row>
    <row r="80" spans="1:8" ht="23.25">
      <c r="A80" s="16">
        <v>2180500005</v>
      </c>
      <c r="B80" s="260" t="s">
        <v>324</v>
      </c>
      <c r="C80" s="360">
        <v>0</v>
      </c>
      <c r="D80" s="422">
        <v>0</v>
      </c>
      <c r="E80" s="293" t="e">
        <f t="shared" si="0"/>
        <v>#DIV/0!</v>
      </c>
      <c r="F80" s="293">
        <f t="shared" si="1"/>
        <v>0</v>
      </c>
    </row>
    <row r="81" spans="1:8" ht="22.5" customHeight="1">
      <c r="A81" s="7">
        <v>2196001005</v>
      </c>
      <c r="B81" s="256" t="s">
        <v>25</v>
      </c>
      <c r="C81" s="359">
        <v>-29040.5</v>
      </c>
      <c r="D81" s="359">
        <v>-29058.792000000001</v>
      </c>
      <c r="E81" s="293">
        <f t="shared" si="0"/>
        <v>100.06298789621391</v>
      </c>
      <c r="F81" s="293">
        <f>SUM(D81-C81)</f>
        <v>-18.292000000001281</v>
      </c>
    </row>
    <row r="82" spans="1:8" s="6" customFormat="1" ht="56.25" hidden="1" customHeight="1">
      <c r="A82" s="3">
        <v>3000000000</v>
      </c>
      <c r="B82" s="255" t="s">
        <v>26</v>
      </c>
      <c r="C82" s="362">
        <v>0</v>
      </c>
      <c r="D82" s="423">
        <v>0</v>
      </c>
      <c r="E82" s="293" t="e">
        <f t="shared" si="0"/>
        <v>#DIV/0!</v>
      </c>
      <c r="F82" s="292">
        <f t="shared" si="1"/>
        <v>0</v>
      </c>
    </row>
    <row r="83" spans="1:8" s="6" customFormat="1" ht="22.5" customHeight="1">
      <c r="A83" s="3"/>
      <c r="B83" s="253" t="s">
        <v>27</v>
      </c>
      <c r="C83" s="439">
        <f>C72+C73</f>
        <v>756169.18530999997</v>
      </c>
      <c r="D83" s="455">
        <f>D72+D73</f>
        <v>187807.75498</v>
      </c>
      <c r="E83" s="293">
        <f>SUM(D83/C83*100)</f>
        <v>24.836737416508996</v>
      </c>
      <c r="F83" s="292">
        <f>SUM(D84-C83)</f>
        <v>-783653.56261999998</v>
      </c>
      <c r="G83" s="320"/>
      <c r="H83" s="94"/>
    </row>
    <row r="84" spans="1:8" s="6" customFormat="1" ht="22.5">
      <c r="A84" s="3"/>
      <c r="B84" s="262" t="s">
        <v>320</v>
      </c>
      <c r="C84" s="427">
        <f>C83-C144</f>
        <v>-32884.951570000034</v>
      </c>
      <c r="D84" s="292">
        <f>D83-D144</f>
        <v>-27484.37731000004</v>
      </c>
      <c r="E84" s="294"/>
      <c r="F84" s="294"/>
      <c r="G84" s="94"/>
      <c r="H84" s="94"/>
    </row>
    <row r="85" spans="1:8" ht="23.25">
      <c r="A85" s="23"/>
      <c r="B85" s="24"/>
      <c r="C85" s="363"/>
      <c r="D85" s="363"/>
      <c r="E85" s="295"/>
      <c r="F85" s="295"/>
    </row>
    <row r="86" spans="1:8" ht="90">
      <c r="A86" s="28" t="s">
        <v>0</v>
      </c>
      <c r="B86" s="28" t="s">
        <v>28</v>
      </c>
      <c r="C86" s="296" t="s">
        <v>411</v>
      </c>
      <c r="D86" s="424" t="s">
        <v>438</v>
      </c>
      <c r="E86" s="296" t="s">
        <v>2</v>
      </c>
      <c r="F86" s="297" t="s">
        <v>3</v>
      </c>
    </row>
    <row r="87" spans="1:8" ht="22.5">
      <c r="A87" s="29">
        <v>1</v>
      </c>
      <c r="B87" s="28">
        <v>2</v>
      </c>
      <c r="C87" s="298">
        <v>3</v>
      </c>
      <c r="D87" s="425">
        <v>4</v>
      </c>
      <c r="E87" s="298">
        <v>5</v>
      </c>
      <c r="F87" s="298">
        <v>6</v>
      </c>
    </row>
    <row r="88" spans="1:8" s="6" customFormat="1" ht="22.5" customHeight="1">
      <c r="A88" s="30" t="s">
        <v>29</v>
      </c>
      <c r="B88" s="263" t="s">
        <v>30</v>
      </c>
      <c r="C88" s="294">
        <f>SUM(C89:C95)</f>
        <v>44100.93995</v>
      </c>
      <c r="D88" s="294">
        <f>SUM(D89:D95)</f>
        <v>13524.49807</v>
      </c>
      <c r="E88" s="299">
        <f>SUM(D88/C88*100)</f>
        <v>30.667142435815585</v>
      </c>
      <c r="F88" s="299">
        <f>SUM(D88-C88)</f>
        <v>-30576.441879999998</v>
      </c>
    </row>
    <row r="89" spans="1:8" s="6" customFormat="1" ht="37.5">
      <c r="A89" s="35" t="s">
        <v>31</v>
      </c>
      <c r="B89" s="264" t="s">
        <v>32</v>
      </c>
      <c r="C89" s="446">
        <v>50</v>
      </c>
      <c r="D89" s="446">
        <v>0</v>
      </c>
      <c r="E89" s="299">
        <f>SUM(D89/C89*100)</f>
        <v>0</v>
      </c>
      <c r="F89" s="299">
        <f>SUM(D89-C89)</f>
        <v>-50</v>
      </c>
    </row>
    <row r="90" spans="1:8" ht="21.75" customHeight="1">
      <c r="A90" s="35" t="s">
        <v>33</v>
      </c>
      <c r="B90" s="265" t="s">
        <v>34</v>
      </c>
      <c r="C90" s="446">
        <v>22317.662</v>
      </c>
      <c r="D90" s="446">
        <v>6471.5443500000001</v>
      </c>
      <c r="E90" s="300">
        <f t="shared" ref="E90:E144" si="2">SUM(D90/C90*100)</f>
        <v>28.997411780857689</v>
      </c>
      <c r="F90" s="300">
        <f t="shared" ref="F90:F144" si="3">SUM(D90-C90)</f>
        <v>-15846.11765</v>
      </c>
    </row>
    <row r="91" spans="1:8" ht="19.5" customHeight="1">
      <c r="A91" s="35" t="s">
        <v>35</v>
      </c>
      <c r="B91" s="265" t="s">
        <v>36</v>
      </c>
      <c r="C91" s="446">
        <v>10.5</v>
      </c>
      <c r="D91" s="446">
        <v>0</v>
      </c>
      <c r="E91" s="300">
        <f t="shared" si="2"/>
        <v>0</v>
      </c>
      <c r="F91" s="300">
        <f t="shared" si="3"/>
        <v>-10.5</v>
      </c>
    </row>
    <row r="92" spans="1:8" ht="38.25" customHeight="1">
      <c r="A92" s="35" t="s">
        <v>37</v>
      </c>
      <c r="B92" s="265" t="s">
        <v>38</v>
      </c>
      <c r="C92" s="447">
        <v>5040.2</v>
      </c>
      <c r="D92" s="447">
        <v>1554.7537199999999</v>
      </c>
      <c r="E92" s="300">
        <f t="shared" si="2"/>
        <v>30.847064005396614</v>
      </c>
      <c r="F92" s="300">
        <f t="shared" si="3"/>
        <v>-3485.4462800000001</v>
      </c>
    </row>
    <row r="93" spans="1:8" ht="18.75" customHeight="1">
      <c r="A93" s="35" t="s">
        <v>39</v>
      </c>
      <c r="B93" s="265" t="s">
        <v>40</v>
      </c>
      <c r="C93" s="446">
        <v>0</v>
      </c>
      <c r="D93" s="446">
        <v>0</v>
      </c>
      <c r="E93" s="300" t="e">
        <f t="shared" si="2"/>
        <v>#DIV/0!</v>
      </c>
      <c r="F93" s="300">
        <f t="shared" si="3"/>
        <v>0</v>
      </c>
    </row>
    <row r="94" spans="1:8" ht="24.75" customHeight="1">
      <c r="A94" s="35" t="s">
        <v>41</v>
      </c>
      <c r="B94" s="265" t="s">
        <v>42</v>
      </c>
      <c r="C94" s="447">
        <v>553.95495000000005</v>
      </c>
      <c r="D94" s="447">
        <v>0</v>
      </c>
      <c r="E94" s="300">
        <f t="shared" si="2"/>
        <v>0</v>
      </c>
      <c r="F94" s="300">
        <f t="shared" si="3"/>
        <v>-553.95495000000005</v>
      </c>
    </row>
    <row r="95" spans="1:8" ht="24" customHeight="1">
      <c r="A95" s="35" t="s">
        <v>43</v>
      </c>
      <c r="B95" s="265" t="s">
        <v>44</v>
      </c>
      <c r="C95" s="446">
        <v>16128.623</v>
      </c>
      <c r="D95" s="446">
        <v>5498.2</v>
      </c>
      <c r="E95" s="300">
        <f t="shared" si="2"/>
        <v>34.089704992174468</v>
      </c>
      <c r="F95" s="300">
        <f t="shared" si="3"/>
        <v>-10630.422999999999</v>
      </c>
    </row>
    <row r="96" spans="1:8" s="6" customFormat="1" ht="22.5">
      <c r="A96" s="41" t="s">
        <v>45</v>
      </c>
      <c r="B96" s="266" t="s">
        <v>46</v>
      </c>
      <c r="C96" s="294">
        <f>C97</f>
        <v>2158.6999999999998</v>
      </c>
      <c r="D96" s="294">
        <f>D97</f>
        <v>714.6</v>
      </c>
      <c r="E96" s="299">
        <f t="shared" si="2"/>
        <v>33.103256589614119</v>
      </c>
      <c r="F96" s="299">
        <f t="shared" si="3"/>
        <v>-1444.1</v>
      </c>
    </row>
    <row r="97" spans="1:7" ht="23.25">
      <c r="A97" s="43" t="s">
        <v>47</v>
      </c>
      <c r="B97" s="267" t="s">
        <v>48</v>
      </c>
      <c r="C97" s="446">
        <v>2158.6999999999998</v>
      </c>
      <c r="D97" s="446">
        <v>714.6</v>
      </c>
      <c r="E97" s="300">
        <f t="shared" si="2"/>
        <v>33.103256589614119</v>
      </c>
      <c r="F97" s="300">
        <f t="shared" si="3"/>
        <v>-1444.1</v>
      </c>
    </row>
    <row r="98" spans="1:7" s="6" customFormat="1" ht="21" customHeight="1">
      <c r="A98" s="30" t="s">
        <v>49</v>
      </c>
      <c r="B98" s="263" t="s">
        <v>50</v>
      </c>
      <c r="C98" s="294">
        <f>SUM(C100:C103)</f>
        <v>11876.5</v>
      </c>
      <c r="D98" s="294">
        <f>SUM(D100:D103)</f>
        <v>1090.40823</v>
      </c>
      <c r="E98" s="299">
        <f t="shared" si="2"/>
        <v>9.1812253610070318</v>
      </c>
      <c r="F98" s="299">
        <f t="shared" si="3"/>
        <v>-10786.091769999999</v>
      </c>
    </row>
    <row r="99" spans="1:7" ht="23.25" hidden="1" customHeight="1">
      <c r="A99" s="35" t="s">
        <v>51</v>
      </c>
      <c r="B99" s="265" t="s">
        <v>52</v>
      </c>
      <c r="C99" s="446"/>
      <c r="D99" s="446"/>
      <c r="E99" s="300" t="e">
        <f t="shared" si="2"/>
        <v>#DIV/0!</v>
      </c>
      <c r="F99" s="300">
        <f t="shared" si="3"/>
        <v>0</v>
      </c>
    </row>
    <row r="100" spans="1:7" ht="23.25">
      <c r="A100" s="45" t="s">
        <v>53</v>
      </c>
      <c r="B100" s="265" t="s">
        <v>326</v>
      </c>
      <c r="C100" s="446">
        <v>1808.2</v>
      </c>
      <c r="D100" s="446">
        <v>399.53379999999999</v>
      </c>
      <c r="E100" s="300">
        <f t="shared" si="2"/>
        <v>22.095664196438449</v>
      </c>
      <c r="F100" s="300">
        <f t="shared" si="3"/>
        <v>-1408.6662000000001</v>
      </c>
    </row>
    <row r="101" spans="1:7" ht="36.75" customHeight="1">
      <c r="A101" s="46" t="s">
        <v>55</v>
      </c>
      <c r="B101" s="268" t="s">
        <v>56</v>
      </c>
      <c r="C101" s="446">
        <v>2277.8000000000002</v>
      </c>
      <c r="D101" s="446">
        <v>636.45542999999998</v>
      </c>
      <c r="E101" s="300">
        <f t="shared" si="2"/>
        <v>27.941673105628233</v>
      </c>
      <c r="F101" s="300">
        <f t="shared" si="3"/>
        <v>-1641.3445700000002</v>
      </c>
    </row>
    <row r="102" spans="1:7" ht="21" customHeight="1">
      <c r="A102" s="46" t="s">
        <v>218</v>
      </c>
      <c r="B102" s="268" t="s">
        <v>219</v>
      </c>
      <c r="C102" s="446">
        <v>0</v>
      </c>
      <c r="D102" s="446">
        <v>0</v>
      </c>
      <c r="E102" s="300" t="e">
        <f t="shared" si="2"/>
        <v>#DIV/0!</v>
      </c>
      <c r="F102" s="300">
        <f t="shared" si="3"/>
        <v>0</v>
      </c>
    </row>
    <row r="103" spans="1:7" ht="34.5" customHeight="1">
      <c r="A103" s="46" t="s">
        <v>357</v>
      </c>
      <c r="B103" s="268" t="s">
        <v>358</v>
      </c>
      <c r="C103" s="448">
        <v>7790.5</v>
      </c>
      <c r="D103" s="446">
        <v>54.418999999999997</v>
      </c>
      <c r="E103" s="300">
        <f t="shared" si="2"/>
        <v>0.69853026121558304</v>
      </c>
      <c r="F103" s="300">
        <f t="shared" si="3"/>
        <v>-7736.0810000000001</v>
      </c>
    </row>
    <row r="104" spans="1:7" s="6" customFormat="1" ht="25.5" customHeight="1">
      <c r="A104" s="30" t="s">
        <v>57</v>
      </c>
      <c r="B104" s="263" t="s">
        <v>58</v>
      </c>
      <c r="C104" s="449">
        <f>SUM(C106:C109)</f>
        <v>196807.40899999999</v>
      </c>
      <c r="D104" s="449">
        <f>SUM(D106:D109)</f>
        <v>14976.629150000001</v>
      </c>
      <c r="E104" s="299">
        <f t="shared" si="2"/>
        <v>7.6097892991416813</v>
      </c>
      <c r="F104" s="299">
        <f t="shared" si="3"/>
        <v>-181830.77984999999</v>
      </c>
    </row>
    <row r="105" spans="1:7" ht="0.75" hidden="1" customHeight="1">
      <c r="A105" s="35" t="s">
        <v>59</v>
      </c>
      <c r="B105" s="265" t="s">
        <v>60</v>
      </c>
      <c r="C105" s="450">
        <v>0</v>
      </c>
      <c r="D105" s="446">
        <v>0</v>
      </c>
      <c r="E105" s="300" t="e">
        <f t="shared" si="2"/>
        <v>#DIV/0!</v>
      </c>
      <c r="F105" s="300">
        <f t="shared" si="3"/>
        <v>0</v>
      </c>
    </row>
    <row r="106" spans="1:7" s="6" customFormat="1" ht="20.25" customHeight="1">
      <c r="A106" s="35" t="s">
        <v>59</v>
      </c>
      <c r="B106" s="265" t="s">
        <v>323</v>
      </c>
      <c r="C106" s="450">
        <v>61.3</v>
      </c>
      <c r="D106" s="446">
        <v>4.3369999999999997</v>
      </c>
      <c r="E106" s="300">
        <f t="shared" si="2"/>
        <v>7.0750407830342574</v>
      </c>
      <c r="F106" s="300">
        <f t="shared" si="3"/>
        <v>-56.962999999999994</v>
      </c>
      <c r="G106" s="50"/>
    </row>
    <row r="107" spans="1:7" s="6" customFormat="1" ht="20.25" customHeight="1">
      <c r="A107" s="35" t="s">
        <v>61</v>
      </c>
      <c r="B107" s="265" t="s">
        <v>412</v>
      </c>
      <c r="C107" s="450">
        <v>900</v>
      </c>
      <c r="D107" s="446"/>
      <c r="E107" s="300"/>
      <c r="F107" s="300"/>
      <c r="G107" s="50"/>
    </row>
    <row r="108" spans="1:7" ht="26.25" customHeight="1">
      <c r="A108" s="35" t="s">
        <v>63</v>
      </c>
      <c r="B108" s="265" t="s">
        <v>64</v>
      </c>
      <c r="C108" s="450">
        <v>195016.709</v>
      </c>
      <c r="D108" s="446">
        <v>14683.62959</v>
      </c>
      <c r="E108" s="300">
        <f t="shared" si="2"/>
        <v>7.5294212815374708</v>
      </c>
      <c r="F108" s="300">
        <f t="shared" si="3"/>
        <v>-180333.07941000001</v>
      </c>
    </row>
    <row r="109" spans="1:7" ht="38.25">
      <c r="A109" s="35" t="s">
        <v>65</v>
      </c>
      <c r="B109" s="265" t="s">
        <v>66</v>
      </c>
      <c r="C109" s="450">
        <v>829.4</v>
      </c>
      <c r="D109" s="446">
        <v>288.66255999999998</v>
      </c>
      <c r="E109" s="300">
        <f t="shared" si="2"/>
        <v>34.803781046539669</v>
      </c>
      <c r="F109" s="300">
        <f t="shared" si="3"/>
        <v>-540.73743999999999</v>
      </c>
    </row>
    <row r="110" spans="1:7" s="6" customFormat="1" ht="37.5">
      <c r="A110" s="30" t="s">
        <v>67</v>
      </c>
      <c r="B110" s="263" t="s">
        <v>68</v>
      </c>
      <c r="C110" s="294">
        <f>SUM(C111:C113)</f>
        <v>13271.258280000002</v>
      </c>
      <c r="D110" s="294">
        <f>SUM(D111:D113)</f>
        <v>322.49274000000003</v>
      </c>
      <c r="E110" s="299">
        <f t="shared" si="2"/>
        <v>2.4300087692965917</v>
      </c>
      <c r="F110" s="299">
        <f t="shared" si="3"/>
        <v>-12948.765540000002</v>
      </c>
    </row>
    <row r="111" spans="1:7" ht="23.25">
      <c r="A111" s="35" t="s">
        <v>69</v>
      </c>
      <c r="B111" s="269" t="s">
        <v>70</v>
      </c>
      <c r="C111" s="446">
        <v>1010.6</v>
      </c>
      <c r="D111" s="446">
        <v>152.22256999999999</v>
      </c>
      <c r="E111" s="300">
        <f t="shared" si="2"/>
        <v>15.062593508806648</v>
      </c>
      <c r="F111" s="300">
        <f t="shared" si="3"/>
        <v>-858.37743</v>
      </c>
    </row>
    <row r="112" spans="1:7" ht="23.25" customHeight="1">
      <c r="A112" s="35" t="s">
        <v>71</v>
      </c>
      <c r="B112" s="269" t="s">
        <v>72</v>
      </c>
      <c r="C112" s="446">
        <v>3470.3</v>
      </c>
      <c r="D112" s="446">
        <v>170.27017000000001</v>
      </c>
      <c r="E112" s="300">
        <f t="shared" si="2"/>
        <v>4.9064971328127251</v>
      </c>
      <c r="F112" s="300">
        <f t="shared" si="3"/>
        <v>-3300.0298300000004</v>
      </c>
    </row>
    <row r="113" spans="1:7" ht="19.5" customHeight="1">
      <c r="A113" s="35" t="s">
        <v>73</v>
      </c>
      <c r="B113" s="265" t="s">
        <v>74</v>
      </c>
      <c r="C113" s="446">
        <v>8790.3582800000004</v>
      </c>
      <c r="D113" s="446">
        <v>0</v>
      </c>
      <c r="E113" s="300">
        <f t="shared" si="2"/>
        <v>0</v>
      </c>
      <c r="F113" s="300">
        <f t="shared" si="3"/>
        <v>-8790.3582800000004</v>
      </c>
    </row>
    <row r="114" spans="1:7" s="6" customFormat="1" ht="22.5">
      <c r="A114" s="30" t="s">
        <v>75</v>
      </c>
      <c r="B114" s="270" t="s">
        <v>76</v>
      </c>
      <c r="C114" s="449">
        <f>SUM(C115)</f>
        <v>32</v>
      </c>
      <c r="D114" s="449">
        <f>SUM(D115)</f>
        <v>32</v>
      </c>
      <c r="E114" s="299">
        <f t="shared" si="2"/>
        <v>100</v>
      </c>
      <c r="F114" s="299">
        <f t="shared" si="3"/>
        <v>0</v>
      </c>
    </row>
    <row r="115" spans="1:7" ht="38.25">
      <c r="A115" s="35" t="s">
        <v>77</v>
      </c>
      <c r="B115" s="269" t="s">
        <v>78</v>
      </c>
      <c r="C115" s="300">
        <v>32</v>
      </c>
      <c r="D115" s="447">
        <v>32</v>
      </c>
      <c r="E115" s="300">
        <f t="shared" si="2"/>
        <v>100</v>
      </c>
      <c r="F115" s="300">
        <f t="shared" si="3"/>
        <v>0</v>
      </c>
    </row>
    <row r="116" spans="1:7" s="6" customFormat="1" ht="22.5">
      <c r="A116" s="30" t="s">
        <v>79</v>
      </c>
      <c r="B116" s="270" t="s">
        <v>80</v>
      </c>
      <c r="C116" s="449">
        <f>SUM(C117:C121)</f>
        <v>377141.85746999999</v>
      </c>
      <c r="D116" s="449">
        <f>D117+D118+D120+D121+D119</f>
        <v>134536.71679999999</v>
      </c>
      <c r="E116" s="299">
        <f t="shared" si="2"/>
        <v>35.672708858814964</v>
      </c>
      <c r="F116" s="299">
        <f t="shared" si="3"/>
        <v>-242605.14066999999</v>
      </c>
    </row>
    <row r="117" spans="1:7" ht="23.25">
      <c r="A117" s="35" t="s">
        <v>81</v>
      </c>
      <c r="B117" s="269" t="s">
        <v>257</v>
      </c>
      <c r="C117" s="450">
        <v>94237.5</v>
      </c>
      <c r="D117" s="446">
        <v>32780.2045</v>
      </c>
      <c r="E117" s="300">
        <f t="shared" si="2"/>
        <v>34.784671176548613</v>
      </c>
      <c r="F117" s="300">
        <f t="shared" si="3"/>
        <v>-61457.2955</v>
      </c>
    </row>
    <row r="118" spans="1:7" ht="23.25">
      <c r="A118" s="35" t="s">
        <v>82</v>
      </c>
      <c r="B118" s="269" t="s">
        <v>258</v>
      </c>
      <c r="C118" s="450">
        <v>253531.85746999999</v>
      </c>
      <c r="D118" s="446">
        <v>92477.857430000004</v>
      </c>
      <c r="E118" s="300">
        <f t="shared" si="2"/>
        <v>36.475833196206025</v>
      </c>
      <c r="F118" s="300">
        <f t="shared" si="3"/>
        <v>-161054.00003999998</v>
      </c>
    </row>
    <row r="119" spans="1:7" ht="23.25">
      <c r="A119" s="35" t="s">
        <v>334</v>
      </c>
      <c r="B119" s="269" t="s">
        <v>335</v>
      </c>
      <c r="C119" s="450">
        <v>21460.9</v>
      </c>
      <c r="D119" s="446">
        <v>7952.2340000000004</v>
      </c>
      <c r="E119" s="300">
        <f t="shared" si="2"/>
        <v>37.054522410523319</v>
      </c>
      <c r="F119" s="300">
        <f t="shared" si="3"/>
        <v>-13508.666000000001</v>
      </c>
    </row>
    <row r="120" spans="1:7" ht="23.25">
      <c r="A120" s="35" t="s">
        <v>83</v>
      </c>
      <c r="B120" s="269" t="s">
        <v>259</v>
      </c>
      <c r="C120" s="450">
        <v>5403.3</v>
      </c>
      <c r="D120" s="446">
        <v>653.60699999999997</v>
      </c>
      <c r="E120" s="300">
        <f t="shared" si="2"/>
        <v>12.096441063794346</v>
      </c>
      <c r="F120" s="300">
        <f t="shared" si="3"/>
        <v>-4749.6930000000002</v>
      </c>
    </row>
    <row r="121" spans="1:7" ht="23.25">
      <c r="A121" s="35" t="s">
        <v>84</v>
      </c>
      <c r="B121" s="269" t="s">
        <v>260</v>
      </c>
      <c r="C121" s="450">
        <v>2508.3000000000002</v>
      </c>
      <c r="D121" s="446">
        <v>672.81386999999995</v>
      </c>
      <c r="E121" s="300">
        <f t="shared" si="2"/>
        <v>26.823500777418964</v>
      </c>
      <c r="F121" s="300">
        <f t="shared" si="3"/>
        <v>-1835.4861300000002</v>
      </c>
    </row>
    <row r="122" spans="1:7" s="6" customFormat="1" ht="22.5">
      <c r="A122" s="30" t="s">
        <v>85</v>
      </c>
      <c r="B122" s="263" t="s">
        <v>86</v>
      </c>
      <c r="C122" s="294">
        <f>SUM(C123:C124)</f>
        <v>53473.459340000001</v>
      </c>
      <c r="D122" s="294">
        <f>SUM(D123:D124)</f>
        <v>13519.866529999999</v>
      </c>
      <c r="E122" s="299">
        <f t="shared" si="2"/>
        <v>25.283321290355847</v>
      </c>
      <c r="F122" s="299">
        <f t="shared" si="3"/>
        <v>-39953.592810000002</v>
      </c>
    </row>
    <row r="123" spans="1:7" ht="23.25">
      <c r="A123" s="35" t="s">
        <v>87</v>
      </c>
      <c r="B123" s="265" t="s">
        <v>233</v>
      </c>
      <c r="C123" s="446">
        <v>52373.459340000001</v>
      </c>
      <c r="D123" s="446">
        <v>12819.85873</v>
      </c>
      <c r="E123" s="300">
        <f t="shared" si="2"/>
        <v>24.477777277944458</v>
      </c>
      <c r="F123" s="300">
        <f t="shared" si="3"/>
        <v>-39553.600610000001</v>
      </c>
    </row>
    <row r="124" spans="1:7" ht="38.25">
      <c r="A124" s="35" t="s">
        <v>272</v>
      </c>
      <c r="B124" s="265" t="s">
        <v>273</v>
      </c>
      <c r="C124" s="446">
        <v>1100</v>
      </c>
      <c r="D124" s="446">
        <v>700.00779999999997</v>
      </c>
      <c r="E124" s="300">
        <f t="shared" si="2"/>
        <v>63.637072727272724</v>
      </c>
      <c r="F124" s="300">
        <f t="shared" si="3"/>
        <v>-399.99220000000003</v>
      </c>
    </row>
    <row r="125" spans="1:7" s="6" customFormat="1" ht="22.5">
      <c r="A125" s="52">
        <v>1000</v>
      </c>
      <c r="B125" s="263" t="s">
        <v>88</v>
      </c>
      <c r="C125" s="294">
        <f>SUM(C126:C129)</f>
        <v>44928.220269999998</v>
      </c>
      <c r="D125" s="451">
        <f>D126+D127+D128+D129</f>
        <v>23841.867020000002</v>
      </c>
      <c r="E125" s="299">
        <f t="shared" si="2"/>
        <v>53.066573473688152</v>
      </c>
      <c r="F125" s="299">
        <f t="shared" si="3"/>
        <v>-21086.353249999996</v>
      </c>
      <c r="G125" s="94"/>
    </row>
    <row r="126" spans="1:7" ht="23.25">
      <c r="A126" s="53">
        <v>1001</v>
      </c>
      <c r="B126" s="271" t="s">
        <v>89</v>
      </c>
      <c r="C126" s="446">
        <v>60</v>
      </c>
      <c r="D126" s="446">
        <v>14.68971</v>
      </c>
      <c r="E126" s="300">
        <f t="shared" si="2"/>
        <v>24.482849999999999</v>
      </c>
      <c r="F126" s="300">
        <f t="shared" si="3"/>
        <v>-45.310290000000002</v>
      </c>
    </row>
    <row r="127" spans="1:7" ht="23.25">
      <c r="A127" s="53">
        <v>1003</v>
      </c>
      <c r="B127" s="271" t="s">
        <v>90</v>
      </c>
      <c r="C127" s="446">
        <v>18258.058529999998</v>
      </c>
      <c r="D127" s="446">
        <v>1939.70254</v>
      </c>
      <c r="E127" s="300">
        <f t="shared" si="2"/>
        <v>10.623815981380799</v>
      </c>
      <c r="F127" s="300">
        <f t="shared" si="3"/>
        <v>-16318.355989999998</v>
      </c>
    </row>
    <row r="128" spans="1:7" ht="23.25">
      <c r="A128" s="53">
        <v>1004</v>
      </c>
      <c r="B128" s="271" t="s">
        <v>91</v>
      </c>
      <c r="C128" s="446">
        <v>26460.761740000002</v>
      </c>
      <c r="D128" s="452">
        <v>21843.934929999999</v>
      </c>
      <c r="E128" s="300">
        <f t="shared" si="2"/>
        <v>82.552177237509866</v>
      </c>
      <c r="F128" s="300">
        <f t="shared" si="3"/>
        <v>-4616.8268100000023</v>
      </c>
    </row>
    <row r="129" spans="1:8" ht="24.75" customHeight="1">
      <c r="A129" s="35" t="s">
        <v>92</v>
      </c>
      <c r="B129" s="265" t="s">
        <v>93</v>
      </c>
      <c r="C129" s="446">
        <v>149.4</v>
      </c>
      <c r="D129" s="446">
        <v>43.539839999999998</v>
      </c>
      <c r="E129" s="300">
        <f t="shared" si="2"/>
        <v>29.143132530120479</v>
      </c>
      <c r="F129" s="300">
        <f t="shared" si="3"/>
        <v>-105.86016000000001</v>
      </c>
    </row>
    <row r="130" spans="1:8" ht="23.25">
      <c r="A130" s="30" t="s">
        <v>94</v>
      </c>
      <c r="B130" s="263" t="s">
        <v>95</v>
      </c>
      <c r="C130" s="294">
        <f>C131+C132</f>
        <v>5336.9</v>
      </c>
      <c r="D130" s="294">
        <f>D131+D132</f>
        <v>2569.42175</v>
      </c>
      <c r="E130" s="300">
        <f t="shared" si="2"/>
        <v>48.144461204069785</v>
      </c>
      <c r="F130" s="294">
        <f>F131+F132+F133+F134+F135</f>
        <v>-2767.4782499999997</v>
      </c>
    </row>
    <row r="131" spans="1:8" ht="23.25">
      <c r="A131" s="35" t="s">
        <v>96</v>
      </c>
      <c r="B131" s="265" t="s">
        <v>97</v>
      </c>
      <c r="C131" s="446">
        <v>350</v>
      </c>
      <c r="D131" s="446">
        <v>200.22375</v>
      </c>
      <c r="E131" s="300">
        <f t="shared" si="2"/>
        <v>57.206785714285715</v>
      </c>
      <c r="F131" s="300">
        <f t="shared" ref="F131:F139" si="4">SUM(D131-C131)</f>
        <v>-149.77625</v>
      </c>
    </row>
    <row r="132" spans="1:8" ht="20.25" customHeight="1">
      <c r="A132" s="35" t="s">
        <v>98</v>
      </c>
      <c r="B132" s="265" t="s">
        <v>99</v>
      </c>
      <c r="C132" s="446">
        <v>4986.8999999999996</v>
      </c>
      <c r="D132" s="446">
        <v>2369.1979999999999</v>
      </c>
      <c r="E132" s="300">
        <f t="shared" si="2"/>
        <v>47.508432092081257</v>
      </c>
      <c r="F132" s="300">
        <f t="shared" si="4"/>
        <v>-2617.7019999999998</v>
      </c>
    </row>
    <row r="133" spans="1:8" ht="15.75" hidden="1" customHeight="1">
      <c r="A133" s="35" t="s">
        <v>100</v>
      </c>
      <c r="B133" s="265" t="s">
        <v>101</v>
      </c>
      <c r="C133" s="446">
        <f>SUM(C123:C124)</f>
        <v>53473.459340000001</v>
      </c>
      <c r="D133" s="446"/>
      <c r="E133" s="300">
        <f t="shared" si="2"/>
        <v>0</v>
      </c>
      <c r="F133" s="300"/>
    </row>
    <row r="134" spans="1:8" ht="15.75" hidden="1" customHeight="1">
      <c r="A134" s="35" t="s">
        <v>102</v>
      </c>
      <c r="B134" s="265" t="s">
        <v>103</v>
      </c>
      <c r="C134" s="446"/>
      <c r="D134" s="446"/>
      <c r="E134" s="300" t="e">
        <f t="shared" si="2"/>
        <v>#DIV/0!</v>
      </c>
      <c r="F134" s="300"/>
    </row>
    <row r="135" spans="1:8" ht="15.75" hidden="1" customHeight="1">
      <c r="A135" s="35" t="s">
        <v>104</v>
      </c>
      <c r="B135" s="265" t="s">
        <v>105</v>
      </c>
      <c r="C135" s="446"/>
      <c r="D135" s="446"/>
      <c r="E135" s="300" t="e">
        <f t="shared" si="2"/>
        <v>#DIV/0!</v>
      </c>
      <c r="F135" s="300"/>
    </row>
    <row r="136" spans="1:8" ht="20.25" customHeight="1">
      <c r="A136" s="30" t="s">
        <v>106</v>
      </c>
      <c r="B136" s="263" t="s">
        <v>107</v>
      </c>
      <c r="C136" s="294">
        <f>C137</f>
        <v>45.14</v>
      </c>
      <c r="D136" s="453">
        <f>D137</f>
        <v>0</v>
      </c>
      <c r="E136" s="300">
        <f>SUM(D136/C136*100)</f>
        <v>0</v>
      </c>
      <c r="F136" s="300">
        <f t="shared" si="4"/>
        <v>-45.14</v>
      </c>
    </row>
    <row r="137" spans="1:8" ht="22.5" customHeight="1">
      <c r="A137" s="35" t="s">
        <v>108</v>
      </c>
      <c r="B137" s="265" t="s">
        <v>109</v>
      </c>
      <c r="C137" s="446">
        <v>45.14</v>
      </c>
      <c r="D137" s="446">
        <v>0</v>
      </c>
      <c r="E137" s="300">
        <f t="shared" si="2"/>
        <v>0</v>
      </c>
      <c r="F137" s="300">
        <f t="shared" si="4"/>
        <v>-45.14</v>
      </c>
    </row>
    <row r="138" spans="1:8" ht="19.5" customHeight="1">
      <c r="A138" s="30" t="s">
        <v>110</v>
      </c>
      <c r="B138" s="266" t="s">
        <v>111</v>
      </c>
      <c r="C138" s="454">
        <f>C139</f>
        <v>0</v>
      </c>
      <c r="D138" s="454">
        <v>0</v>
      </c>
      <c r="E138" s="300"/>
      <c r="F138" s="299">
        <f t="shared" si="4"/>
        <v>0</v>
      </c>
    </row>
    <row r="139" spans="1:8" ht="37.5" customHeight="1">
      <c r="A139" s="35" t="s">
        <v>112</v>
      </c>
      <c r="B139" s="267" t="s">
        <v>113</v>
      </c>
      <c r="C139" s="447">
        <v>0</v>
      </c>
      <c r="D139" s="447">
        <v>0</v>
      </c>
      <c r="E139" s="299"/>
      <c r="F139" s="300">
        <f t="shared" si="4"/>
        <v>0</v>
      </c>
    </row>
    <row r="140" spans="1:8" s="6" customFormat="1" ht="19.5" customHeight="1">
      <c r="A140" s="52">
        <v>1400</v>
      </c>
      <c r="B140" s="272" t="s">
        <v>114</v>
      </c>
      <c r="C140" s="449">
        <f>C141+C142+C143</f>
        <v>39881.752569999997</v>
      </c>
      <c r="D140" s="449">
        <f>D141+D142+D143</f>
        <v>10163.632</v>
      </c>
      <c r="E140" s="299">
        <f t="shared" si="2"/>
        <v>25.484416669405157</v>
      </c>
      <c r="F140" s="299">
        <f t="shared" si="3"/>
        <v>-29718.120569999999</v>
      </c>
    </row>
    <row r="141" spans="1:8" ht="40.5" customHeight="1">
      <c r="A141" s="53">
        <v>1401</v>
      </c>
      <c r="B141" s="271" t="s">
        <v>115</v>
      </c>
      <c r="C141" s="450">
        <v>28294</v>
      </c>
      <c r="D141" s="446">
        <v>9431.1319999999996</v>
      </c>
      <c r="E141" s="300">
        <f t="shared" si="2"/>
        <v>33.33262175726302</v>
      </c>
      <c r="F141" s="300">
        <f t="shared" si="3"/>
        <v>-18862.868000000002</v>
      </c>
    </row>
    <row r="142" spans="1:8" ht="24.75" customHeight="1">
      <c r="A142" s="53">
        <v>1402</v>
      </c>
      <c r="B142" s="271" t="s">
        <v>116</v>
      </c>
      <c r="C142" s="450">
        <v>5381.5</v>
      </c>
      <c r="D142" s="446">
        <v>732.5</v>
      </c>
      <c r="E142" s="300">
        <f t="shared" si="2"/>
        <v>13.611446622688842</v>
      </c>
      <c r="F142" s="300">
        <f t="shared" si="3"/>
        <v>-4649</v>
      </c>
    </row>
    <row r="143" spans="1:8" ht="27" customHeight="1">
      <c r="A143" s="53">
        <v>1403</v>
      </c>
      <c r="B143" s="271" t="s">
        <v>117</v>
      </c>
      <c r="C143" s="450">
        <v>6206.2525699999997</v>
      </c>
      <c r="D143" s="446">
        <v>0</v>
      </c>
      <c r="E143" s="300">
        <f t="shared" si="2"/>
        <v>0</v>
      </c>
      <c r="F143" s="300">
        <f t="shared" si="3"/>
        <v>-6206.2525699999997</v>
      </c>
    </row>
    <row r="144" spans="1:8" s="6" customFormat="1" ht="22.5">
      <c r="A144" s="52"/>
      <c r="B144" s="273" t="s">
        <v>118</v>
      </c>
      <c r="C144" s="455">
        <f>C88+C96+C98+C104+C110+C114+C116+C122+C125+C130+C136+C138+C140</f>
        <v>789054.13688000001</v>
      </c>
      <c r="D144" s="455">
        <f>D88+D96+D98+D104+D110+D114+D116+D122+D125+D130+D136+D138+D140</f>
        <v>215292.13229000004</v>
      </c>
      <c r="E144" s="299">
        <f t="shared" si="2"/>
        <v>27.284836645212572</v>
      </c>
      <c r="F144" s="299">
        <f t="shared" si="3"/>
        <v>-573762.00459000003</v>
      </c>
      <c r="G144" s="94"/>
      <c r="H144" s="94"/>
    </row>
    <row r="145" spans="1:4">
      <c r="C145" s="364"/>
      <c r="D145" s="426"/>
    </row>
    <row r="146" spans="1:4" s="65" customFormat="1" ht="12.75">
      <c r="A146" s="63" t="s">
        <v>119</v>
      </c>
      <c r="B146" s="63"/>
      <c r="C146" s="134"/>
      <c r="D146" s="134"/>
    </row>
    <row r="147" spans="1:4" s="65" customFormat="1" ht="12.75">
      <c r="A147" s="66" t="s">
        <v>120</v>
      </c>
      <c r="B147" s="66"/>
      <c r="C147" s="134" t="s">
        <v>121</v>
      </c>
      <c r="D147" s="134"/>
    </row>
  </sheetData>
  <customSheetViews>
    <customSheetView guid="{5BFCA170-DEAE-4D2C-98A0-1E68B427AC01}" scale="67" showPageBreaks="1" hiddenRows="1" view="pageBreakPreview">
      <selection activeCell="H53" sqref="H53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7" orientation="portrait" r:id="rId1"/>
      <headerFooter alignWithMargins="0"/>
    </customSheetView>
    <customSheetView guid="{B30CE22D-C12F-4E12-8BB9-3AAE0A6991CC}" scale="60" showPageBreaks="1" hiddenRows="1" view="pageBreakPreview" topLeftCell="A95">
      <selection activeCell="C144" sqref="C144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2"/>
      <headerFooter alignWithMargins="0"/>
    </customSheetView>
    <customSheetView guid="{1A52382B-3765-4E8C-903F-6B8919B7242E}" scale="67" showPageBreaks="1" hiddenRows="1" view="pageBreakPreview" topLeftCell="A125">
      <selection activeCell="G145" sqref="G145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7" orientation="portrait" r:id="rId3"/>
      <headerFooter alignWithMargins="0"/>
    </customSheetView>
    <customSheetView guid="{A54C432C-6C68-4B53-A75C-446EB3A61B2B}" scale="60" showPageBreaks="1" hiddenRows="1" view="pageBreakPreview" topLeftCell="A92">
      <selection activeCell="C131" sqref="C131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4"/>
      <headerFooter alignWithMargins="0"/>
    </customSheetView>
    <customSheetView guid="{3DCB9AAA-F09C-4EA6-B992-F93E466D374A}" scale="67" showPageBreaks="1" fitToPage="1" hiddenRows="1" view="pageBreakPreview" topLeftCell="A115">
      <selection activeCell="D87" sqref="D87:D142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47" fitToHeight="2" orientation="portrait" r:id="rId5"/>
      <headerFooter alignWithMargins="0"/>
    </customSheetView>
    <customSheetView guid="{1718F1EE-9F48-4DBE-9531-3B70F9C4A5DD}" scale="60" showPageBreaks="1" hiddenRows="1" view="pageBreakPreview" topLeftCell="A66">
      <selection activeCell="D77" sqref="D77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6"/>
      <headerFooter alignWithMargins="0"/>
    </customSheetView>
    <customSheetView guid="{42584DC0-1D41-4C93-9B38-C388E7B8DAC4}" scale="67" showPageBreaks="1" hiddenRows="1" view="pageBreakPreview" topLeftCell="A67">
      <selection activeCell="D86" sqref="D86"/>
      <rowBreaks count="1" manualBreakCount="1">
        <brk id="69" max="5" man="1"/>
      </rowBreaks>
      <pageMargins left="0.59055118110236227" right="0.55118110236220474" top="0.15748031496062992" bottom="0.15748031496062992" header="0.15748031496062992" footer="0.27559055118110237"/>
      <pageSetup paperSize="9" scale="45" orientation="portrait" r:id="rId7"/>
      <headerFooter alignWithMargins="0"/>
    </customSheetView>
    <customSheetView guid="{B31C8DB7-3E78-4144-A6B5-8DE36DE63F0E}" scale="67" showPageBreaks="1" hiddenRows="1" view="pageBreakPreview" topLeftCell="A110">
      <selection activeCell="C144" sqref="C144:C145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7" orientation="portrait" r:id="rId8"/>
      <headerFooter alignWithMargins="0"/>
    </customSheetView>
    <customSheetView guid="{61528DAC-5C4C-48F4-ADE2-8A724B05A086}" scale="60" showPageBreaks="1" hiddenRows="1" view="pageBreakPreview" topLeftCell="A86">
      <selection activeCell="C116" sqref="C116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9"/>
      <headerFooter alignWithMargins="0"/>
    </customSheetView>
  </customSheetViews>
  <phoneticPr fontId="0" type="noConversion"/>
  <pageMargins left="0.59055118110236227" right="0.55118110236220474" top="0.15748031496062992" bottom="0.15748031496062992" header="0.15748031496062992" footer="0.27559055118110237"/>
  <pageSetup paperSize="9" scale="37" orientation="portrait" r:id="rId10"/>
  <headerFooter alignWithMargins="0"/>
  <rowBreaks count="1" manualBreakCount="1">
    <brk id="8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100"/>
  <sheetViews>
    <sheetView zoomScaleNormal="100" zoomScaleSheetLayoutView="70" workbookViewId="0">
      <selection activeCell="C69" sqref="C69"/>
    </sheetView>
  </sheetViews>
  <sheetFormatPr defaultRowHeight="15.75"/>
  <cols>
    <col min="1" max="1" width="14.7109375" style="58" customWidth="1"/>
    <col min="2" max="2" width="57.5703125" style="59" customWidth="1"/>
    <col min="3" max="3" width="18" style="62" customWidth="1"/>
    <col min="4" max="4" width="17.85546875" style="62" customWidth="1"/>
    <col min="5" max="5" width="12" style="62" customWidth="1"/>
    <col min="6" max="6" width="10.5703125" style="62" customWidth="1"/>
    <col min="7" max="7" width="15.42578125" style="1" bestFit="1" customWidth="1"/>
    <col min="8" max="8" width="14.85546875" style="1" customWidth="1"/>
    <col min="9" max="10" width="9.140625" style="1" customWidth="1"/>
    <col min="11" max="11" width="11.7109375" style="1" bestFit="1" customWidth="1"/>
    <col min="12" max="16384" width="9.140625" style="1"/>
  </cols>
  <sheetData>
    <row r="1" spans="1:6">
      <c r="A1" s="530" t="s">
        <v>417</v>
      </c>
      <c r="B1" s="530"/>
      <c r="C1" s="530"/>
      <c r="D1" s="530"/>
      <c r="E1" s="530"/>
      <c r="F1" s="530"/>
    </row>
    <row r="2" spans="1:6">
      <c r="A2" s="530"/>
      <c r="B2" s="530"/>
      <c r="C2" s="530"/>
      <c r="D2" s="530"/>
      <c r="E2" s="530"/>
      <c r="F2" s="530"/>
    </row>
    <row r="3" spans="1:6" ht="63">
      <c r="A3" s="2" t="s">
        <v>0</v>
      </c>
      <c r="B3" s="2" t="s">
        <v>1</v>
      </c>
      <c r="C3" s="72" t="s">
        <v>411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C5+C7+C12+C14+C17+C20</f>
        <v>537.81500000000005</v>
      </c>
      <c r="D4" s="5">
        <f>D5+D12+D14+D17+D20+D7</f>
        <v>185.30547999999999</v>
      </c>
      <c r="E4" s="5">
        <f>SUM(D4/C4*100)</f>
        <v>34.455245762948223</v>
      </c>
      <c r="F4" s="5">
        <f>SUM(D4-C4)</f>
        <v>-352.50952000000007</v>
      </c>
    </row>
    <row r="5" spans="1:6" s="6" customFormat="1">
      <c r="A5" s="68">
        <v>1010000000</v>
      </c>
      <c r="B5" s="67" t="s">
        <v>5</v>
      </c>
      <c r="C5" s="5">
        <f>C6</f>
        <v>68.849999999999994</v>
      </c>
      <c r="D5" s="5">
        <f>D6</f>
        <v>31.202220000000001</v>
      </c>
      <c r="E5" s="5">
        <f t="shared" ref="E5:E47" si="0">SUM(D5/C5*100)</f>
        <v>45.319128540305016</v>
      </c>
      <c r="F5" s="5">
        <f t="shared" ref="F5:F47" si="1">SUM(D5-C5)</f>
        <v>-37.647779999999997</v>
      </c>
    </row>
    <row r="6" spans="1:6">
      <c r="A6" s="7">
        <v>1010200001</v>
      </c>
      <c r="B6" s="8" t="s">
        <v>228</v>
      </c>
      <c r="C6" s="9">
        <v>68.849999999999994</v>
      </c>
      <c r="D6" s="10">
        <v>31.202220000000001</v>
      </c>
      <c r="E6" s="9">
        <f t="shared" ref="E6:E11" si="2">SUM(D6/C6*100)</f>
        <v>45.319128540305016</v>
      </c>
      <c r="F6" s="9">
        <f t="shared" si="1"/>
        <v>-37.647779999999997</v>
      </c>
    </row>
    <row r="7" spans="1:6" ht="31.5">
      <c r="A7" s="3">
        <v>1030000000</v>
      </c>
      <c r="B7" s="13" t="s">
        <v>280</v>
      </c>
      <c r="C7" s="5">
        <f>C8+C10+C9</f>
        <v>221.96500000000003</v>
      </c>
      <c r="D7" s="5">
        <f>D8+D10+D9+D11</f>
        <v>85.739980000000003</v>
      </c>
      <c r="E7" s="9">
        <f t="shared" si="2"/>
        <v>38.627702565719815</v>
      </c>
      <c r="F7" s="9">
        <f t="shared" si="1"/>
        <v>-136.22502000000003</v>
      </c>
    </row>
    <row r="8" spans="1:6">
      <c r="A8" s="7">
        <v>1030223001</v>
      </c>
      <c r="B8" s="8" t="s">
        <v>282</v>
      </c>
      <c r="C8" s="9">
        <v>82.8</v>
      </c>
      <c r="D8" s="10">
        <v>38.585889999999999</v>
      </c>
      <c r="E8" s="9">
        <f t="shared" si="2"/>
        <v>46.601316425120778</v>
      </c>
      <c r="F8" s="9">
        <f t="shared" si="1"/>
        <v>-44.214109999999998</v>
      </c>
    </row>
    <row r="9" spans="1:6">
      <c r="A9" s="7">
        <v>1030224001</v>
      </c>
      <c r="B9" s="8" t="s">
        <v>286</v>
      </c>
      <c r="C9" s="9">
        <v>0.86499999999999999</v>
      </c>
      <c r="D9" s="10">
        <v>0.28164</v>
      </c>
      <c r="E9" s="9">
        <f t="shared" si="2"/>
        <v>32.559537572254335</v>
      </c>
      <c r="F9" s="9">
        <f t="shared" si="1"/>
        <v>-0.58335999999999999</v>
      </c>
    </row>
    <row r="10" spans="1:6">
      <c r="A10" s="7">
        <v>1030225001</v>
      </c>
      <c r="B10" s="8" t="s">
        <v>281</v>
      </c>
      <c r="C10" s="9">
        <v>138.30000000000001</v>
      </c>
      <c r="D10" s="10">
        <v>54.848039999999997</v>
      </c>
      <c r="E10" s="9">
        <f t="shared" si="2"/>
        <v>39.658741865509754</v>
      </c>
      <c r="F10" s="9">
        <f t="shared" si="1"/>
        <v>-83.451960000000014</v>
      </c>
    </row>
    <row r="11" spans="1:6">
      <c r="A11" s="7">
        <v>1030226001</v>
      </c>
      <c r="B11" s="8" t="s">
        <v>287</v>
      </c>
      <c r="C11" s="9">
        <v>0</v>
      </c>
      <c r="D11" s="10">
        <v>-7.9755900000000004</v>
      </c>
      <c r="E11" s="9" t="e">
        <f t="shared" si="2"/>
        <v>#DIV/0!</v>
      </c>
      <c r="F11" s="9">
        <f t="shared" si="1"/>
        <v>-7.9755900000000004</v>
      </c>
    </row>
    <row r="12" spans="1:6" s="6" customFormat="1">
      <c r="A12" s="68">
        <v>1050000000</v>
      </c>
      <c r="B12" s="67" t="s">
        <v>6</v>
      </c>
      <c r="C12" s="5">
        <f>C13</f>
        <v>2</v>
      </c>
      <c r="D12" s="5">
        <f>D13</f>
        <v>40.129199999999997</v>
      </c>
      <c r="E12" s="5">
        <f t="shared" si="0"/>
        <v>2006.4599999999998</v>
      </c>
      <c r="F12" s="5">
        <f t="shared" si="1"/>
        <v>38.129199999999997</v>
      </c>
    </row>
    <row r="13" spans="1:6" ht="15.75" customHeight="1">
      <c r="A13" s="7">
        <v>1050300000</v>
      </c>
      <c r="B13" s="11" t="s">
        <v>229</v>
      </c>
      <c r="C13" s="12">
        <v>2</v>
      </c>
      <c r="D13" s="10">
        <v>40.129199999999997</v>
      </c>
      <c r="E13" s="9">
        <f t="shared" si="0"/>
        <v>2006.4599999999998</v>
      </c>
      <c r="F13" s="9">
        <f t="shared" si="1"/>
        <v>38.129199999999997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240</v>
      </c>
      <c r="D14" s="5">
        <f>D15+D16</f>
        <v>27.934080000000002</v>
      </c>
      <c r="E14" s="5">
        <f t="shared" si="0"/>
        <v>11.639200000000001</v>
      </c>
      <c r="F14" s="5">
        <f t="shared" si="1"/>
        <v>-212.06592000000001</v>
      </c>
    </row>
    <row r="15" spans="1:6" s="6" customFormat="1" ht="15.75" customHeight="1">
      <c r="A15" s="7">
        <v>1060100000</v>
      </c>
      <c r="B15" s="11" t="s">
        <v>8</v>
      </c>
      <c r="C15" s="9">
        <v>40</v>
      </c>
      <c r="D15" s="10">
        <v>10.262420000000001</v>
      </c>
      <c r="E15" s="9">
        <f t="shared" si="0"/>
        <v>25.656050000000004</v>
      </c>
      <c r="F15" s="9">
        <f>SUM(D15-C15)</f>
        <v>-29.737580000000001</v>
      </c>
    </row>
    <row r="16" spans="1:6" ht="15" customHeight="1">
      <c r="A16" s="7">
        <v>1060600000</v>
      </c>
      <c r="B16" s="11" t="s">
        <v>7</v>
      </c>
      <c r="C16" s="9">
        <v>200</v>
      </c>
      <c r="D16" s="10">
        <v>17.671659999999999</v>
      </c>
      <c r="E16" s="9">
        <f t="shared" si="0"/>
        <v>8.8358299999999996</v>
      </c>
      <c r="F16" s="9">
        <f t="shared" si="1"/>
        <v>-182.32834</v>
      </c>
    </row>
    <row r="17" spans="1:6" s="6" customFormat="1" ht="15" customHeight="1">
      <c r="A17" s="3">
        <v>1080000000</v>
      </c>
      <c r="B17" s="4" t="s">
        <v>10</v>
      </c>
      <c r="C17" s="5">
        <f>C18</f>
        <v>5</v>
      </c>
      <c r="D17" s="5">
        <f>D18</f>
        <v>0.3</v>
      </c>
      <c r="E17" s="9">
        <f t="shared" si="0"/>
        <v>6</v>
      </c>
      <c r="F17" s="5">
        <f t="shared" si="1"/>
        <v>-4.7</v>
      </c>
    </row>
    <row r="18" spans="1:6" ht="18.75" customHeight="1">
      <c r="A18" s="7">
        <v>1080402001</v>
      </c>
      <c r="B18" s="8" t="s">
        <v>227</v>
      </c>
      <c r="C18" s="9">
        <v>5</v>
      </c>
      <c r="D18" s="10">
        <v>0.3</v>
      </c>
      <c r="E18" s="9">
        <f t="shared" si="0"/>
        <v>6</v>
      </c>
      <c r="F18" s="9">
        <f t="shared" si="1"/>
        <v>-4.7</v>
      </c>
    </row>
    <row r="19" spans="1:6" ht="15" hidden="1" customHeight="1">
      <c r="A19" s="7">
        <v>1080714001</v>
      </c>
      <c r="B19" s="8" t="s">
        <v>226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7.25" hidden="1" customHeight="1">
      <c r="A20" s="68">
        <v>1090000000</v>
      </c>
      <c r="B20" s="69" t="s">
        <v>230</v>
      </c>
      <c r="C20" s="5"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hidden="1" customHeight="1">
      <c r="A22" s="7">
        <v>1090400000</v>
      </c>
      <c r="B22" s="8" t="s">
        <v>125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.25" hidden="1" customHeight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C26+C31+C34+C29</f>
        <v>55</v>
      </c>
      <c r="D25" s="5">
        <f>D26+D31+D34+D29</f>
        <v>6.3845299999999998</v>
      </c>
      <c r="E25" s="5">
        <f t="shared" si="0"/>
        <v>11.608236363636363</v>
      </c>
      <c r="F25" s="5">
        <f t="shared" si="1"/>
        <v>-48.615470000000002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55</v>
      </c>
      <c r="D26" s="5">
        <f>D27+D28</f>
        <v>0</v>
      </c>
      <c r="E26" s="5">
        <f t="shared" si="0"/>
        <v>0</v>
      </c>
      <c r="F26" s="5">
        <f t="shared" si="1"/>
        <v>-55</v>
      </c>
    </row>
    <row r="27" spans="1:6" ht="22.5" customHeight="1">
      <c r="A27" s="16">
        <v>1110502000</v>
      </c>
      <c r="B27" s="17" t="s">
        <v>225</v>
      </c>
      <c r="C27" s="12">
        <v>55</v>
      </c>
      <c r="D27" s="10">
        <v>0</v>
      </c>
      <c r="E27" s="9">
        <f t="shared" si="0"/>
        <v>0</v>
      </c>
      <c r="F27" s="9">
        <f t="shared" si="1"/>
        <v>-55</v>
      </c>
    </row>
    <row r="28" spans="1:6">
      <c r="A28" s="7">
        <v>1110503505</v>
      </c>
      <c r="B28" s="11" t="s">
        <v>224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5.5" customHeight="1">
      <c r="A29" s="68">
        <v>1130000000</v>
      </c>
      <c r="B29" s="69" t="s">
        <v>130</v>
      </c>
      <c r="C29" s="5">
        <f>C30</f>
        <v>0</v>
      </c>
      <c r="D29" s="5">
        <f>D30</f>
        <v>6.3845299999999998</v>
      </c>
      <c r="E29" s="9" t="e">
        <f t="shared" si="0"/>
        <v>#DIV/0!</v>
      </c>
      <c r="F29" s="5">
        <f t="shared" si="1"/>
        <v>6.3845299999999998</v>
      </c>
    </row>
    <row r="30" spans="1:6" ht="30.75" customHeight="1">
      <c r="A30" s="7">
        <v>1130200000</v>
      </c>
      <c r="B30" s="8" t="s">
        <v>223</v>
      </c>
      <c r="C30" s="9">
        <v>0</v>
      </c>
      <c r="D30" s="10">
        <v>6.3845299999999998</v>
      </c>
      <c r="E30" s="9" t="e">
        <f t="shared" si="0"/>
        <v>#DIV/0!</v>
      </c>
      <c r="F30" s="9">
        <f t="shared" si="1"/>
        <v>6.3845299999999998</v>
      </c>
    </row>
    <row r="31" spans="1:6" ht="25.5" customHeight="1">
      <c r="A31" s="70">
        <v>1140000000</v>
      </c>
      <c r="B31" s="71" t="s">
        <v>131</v>
      </c>
      <c r="C31" s="5">
        <f>C33+C32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4.75" customHeight="1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11" ht="27.75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11">
      <c r="A34" s="3">
        <v>1170000000</v>
      </c>
      <c r="B34" s="13" t="s">
        <v>134</v>
      </c>
      <c r="C34" s="5">
        <v>0</v>
      </c>
      <c r="D34" s="370">
        <f>D35+D36</f>
        <v>0</v>
      </c>
      <c r="E34" s="9" t="e">
        <f t="shared" si="0"/>
        <v>#DIV/0!</v>
      </c>
      <c r="F34" s="5">
        <f t="shared" si="1"/>
        <v>0</v>
      </c>
    </row>
    <row r="35" spans="1:11" ht="18.75" customHeight="1">
      <c r="A35" s="7">
        <v>1170105005</v>
      </c>
      <c r="B35" s="8" t="s">
        <v>17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11" ht="0.75" customHeight="1">
      <c r="A36" s="7">
        <v>1170505005</v>
      </c>
      <c r="B36" s="11" t="s">
        <v>220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11" s="6" customFormat="1">
      <c r="A37" s="3">
        <v>1000000000</v>
      </c>
      <c r="B37" s="4" t="s">
        <v>18</v>
      </c>
      <c r="C37" s="127">
        <f>C25+C4</f>
        <v>592.81500000000005</v>
      </c>
      <c r="D37" s="127">
        <f>SUM(D4,D25)</f>
        <v>191.69001</v>
      </c>
      <c r="E37" s="5">
        <f t="shared" si="0"/>
        <v>32.33555325017079</v>
      </c>
      <c r="F37" s="5">
        <f t="shared" si="1"/>
        <v>-401.12499000000003</v>
      </c>
    </row>
    <row r="38" spans="1:11" s="6" customFormat="1">
      <c r="A38" s="3">
        <v>2000000000</v>
      </c>
      <c r="B38" s="4" t="s">
        <v>19</v>
      </c>
      <c r="C38" s="278">
        <f>C39+C40+C41+C42+C43+C44</f>
        <v>2881.4151499999998</v>
      </c>
      <c r="D38" s="278">
        <f>D39+D40+D41+D42+D43+D45</f>
        <v>742.75999999999988</v>
      </c>
      <c r="E38" s="5">
        <f t="shared" si="0"/>
        <v>25.777611393484896</v>
      </c>
      <c r="F38" s="5">
        <f t="shared" si="1"/>
        <v>-2138.65515</v>
      </c>
      <c r="G38" s="19"/>
    </row>
    <row r="39" spans="1:11">
      <c r="A39" s="16">
        <v>2021000000</v>
      </c>
      <c r="B39" s="17" t="s">
        <v>20</v>
      </c>
      <c r="C39" s="331">
        <v>1200.7</v>
      </c>
      <c r="D39" s="20">
        <v>400.23200000000003</v>
      </c>
      <c r="E39" s="9">
        <f t="shared" si="0"/>
        <v>33.333222286999252</v>
      </c>
      <c r="F39" s="9">
        <f t="shared" si="1"/>
        <v>-800.46800000000007</v>
      </c>
    </row>
    <row r="40" spans="1:11">
      <c r="A40" s="16">
        <v>2021500200</v>
      </c>
      <c r="B40" s="17" t="s">
        <v>231</v>
      </c>
      <c r="C40" s="328">
        <v>340</v>
      </c>
      <c r="D40" s="20">
        <v>112.5</v>
      </c>
      <c r="E40" s="9">
        <f>SUM(D40/C40*100)</f>
        <v>33.088235294117645</v>
      </c>
      <c r="F40" s="9">
        <f>SUM(D40-C40)</f>
        <v>-227.5</v>
      </c>
    </row>
    <row r="41" spans="1:11">
      <c r="A41" s="16">
        <v>2022000000</v>
      </c>
      <c r="B41" s="17" t="s">
        <v>21</v>
      </c>
      <c r="C41" s="328">
        <v>1188.7561900000001</v>
      </c>
      <c r="D41" s="10">
        <v>139.75200000000001</v>
      </c>
      <c r="E41" s="9">
        <f t="shared" si="0"/>
        <v>11.756153294983053</v>
      </c>
      <c r="F41" s="9">
        <f t="shared" si="1"/>
        <v>-1049.0041900000001</v>
      </c>
    </row>
    <row r="42" spans="1:11" ht="19.5" customHeight="1">
      <c r="A42" s="16">
        <v>2023000000</v>
      </c>
      <c r="B42" s="17" t="s">
        <v>22</v>
      </c>
      <c r="C42" s="328">
        <v>91.480999999999995</v>
      </c>
      <c r="D42" s="249">
        <v>29.776</v>
      </c>
      <c r="E42" s="9">
        <f t="shared" si="0"/>
        <v>32.54883527727069</v>
      </c>
      <c r="F42" s="9">
        <f t="shared" si="1"/>
        <v>-61.704999999999998</v>
      </c>
    </row>
    <row r="43" spans="1:11">
      <c r="A43" s="7">
        <v>2070500010</v>
      </c>
      <c r="B43" s="17" t="s">
        <v>356</v>
      </c>
      <c r="C43" s="328">
        <v>60.477960000000003</v>
      </c>
      <c r="D43" s="250">
        <v>60.5</v>
      </c>
      <c r="E43" s="9">
        <f t="shared" si="0"/>
        <v>100.03644302817092</v>
      </c>
      <c r="F43" s="9">
        <f t="shared" si="1"/>
        <v>2.2039999999996951E-2</v>
      </c>
    </row>
    <row r="44" spans="1:11" ht="15.75" hidden="1" customHeight="1">
      <c r="A44" s="16">
        <v>2022999910</v>
      </c>
      <c r="B44" s="18" t="s">
        <v>349</v>
      </c>
      <c r="C44" s="328">
        <v>0</v>
      </c>
      <c r="D44" s="250">
        <v>0</v>
      </c>
      <c r="E44" s="9" t="e">
        <f t="shared" si="0"/>
        <v>#DIV/0!</v>
      </c>
      <c r="F44" s="9">
        <f t="shared" si="1"/>
        <v>0</v>
      </c>
    </row>
    <row r="45" spans="1:11" ht="17.25" customHeight="1">
      <c r="A45" s="7">
        <v>2190000010</v>
      </c>
      <c r="B45" s="11" t="s">
        <v>25</v>
      </c>
      <c r="C45" s="337">
        <v>0</v>
      </c>
      <c r="D45" s="325">
        <v>0</v>
      </c>
      <c r="E45" s="5" t="e">
        <f t="shared" si="0"/>
        <v>#DIV/0!</v>
      </c>
      <c r="F45" s="5">
        <f>SUM(D45-C45)</f>
        <v>0</v>
      </c>
    </row>
    <row r="46" spans="1:11" s="6" customFormat="1" ht="31.5" hidden="1" customHeight="1">
      <c r="A46" s="3">
        <v>3000000000</v>
      </c>
      <c r="B46" s="13" t="s">
        <v>26</v>
      </c>
      <c r="C46" s="338">
        <v>0</v>
      </c>
      <c r="D46" s="339">
        <v>0</v>
      </c>
      <c r="E46" s="5" t="e">
        <f t="shared" si="0"/>
        <v>#DIV/0!</v>
      </c>
      <c r="F46" s="5">
        <f t="shared" si="1"/>
        <v>0</v>
      </c>
    </row>
    <row r="47" spans="1:11" s="6" customFormat="1" ht="15.75" customHeight="1">
      <c r="A47" s="3"/>
      <c r="B47" s="4" t="s">
        <v>27</v>
      </c>
      <c r="C47" s="378">
        <f>C37+C38</f>
        <v>3474.2301499999999</v>
      </c>
      <c r="D47" s="379">
        <f>D37+D38</f>
        <v>934.45000999999991</v>
      </c>
      <c r="E47" s="5">
        <f t="shared" si="0"/>
        <v>26.89660643236315</v>
      </c>
      <c r="F47" s="5">
        <f t="shared" si="1"/>
        <v>-2539.7801399999998</v>
      </c>
      <c r="G47" s="291"/>
      <c r="H47" s="291"/>
      <c r="K47" s="130"/>
    </row>
    <row r="48" spans="1:11" s="6" customFormat="1">
      <c r="A48" s="3"/>
      <c r="B48" s="21" t="s">
        <v>321</v>
      </c>
      <c r="C48" s="378">
        <f>C47-C94</f>
        <v>-213.83624000000009</v>
      </c>
      <c r="D48" s="378">
        <f>D47-D94</f>
        <v>232.89475999999991</v>
      </c>
      <c r="E48" s="22"/>
      <c r="F48" s="22"/>
    </row>
    <row r="49" spans="1:6">
      <c r="A49" s="23"/>
      <c r="B49" s="24"/>
      <c r="C49" s="248"/>
      <c r="D49" s="248"/>
      <c r="E49" s="26"/>
      <c r="F49" s="92"/>
    </row>
    <row r="50" spans="1:6" ht="50.25" customHeight="1">
      <c r="A50" s="28" t="s">
        <v>0</v>
      </c>
      <c r="B50" s="28" t="s">
        <v>28</v>
      </c>
      <c r="C50" s="241" t="s">
        <v>411</v>
      </c>
      <c r="D50" s="242" t="s">
        <v>419</v>
      </c>
      <c r="E50" s="72" t="s">
        <v>2</v>
      </c>
      <c r="F50" s="74" t="s">
        <v>3</v>
      </c>
    </row>
    <row r="51" spans="1:6">
      <c r="A51" s="88">
        <v>1</v>
      </c>
      <c r="B51" s="87">
        <v>2</v>
      </c>
      <c r="C51" s="87">
        <v>3</v>
      </c>
      <c r="D51" s="87">
        <v>4</v>
      </c>
      <c r="E51" s="87">
        <v>5</v>
      </c>
      <c r="F51" s="87">
        <v>6</v>
      </c>
    </row>
    <row r="52" spans="1:6" s="6" customFormat="1" ht="30.75" customHeight="1">
      <c r="A52" s="30" t="s">
        <v>29</v>
      </c>
      <c r="B52" s="31" t="s">
        <v>30</v>
      </c>
      <c r="C52" s="460">
        <f>C54+C57+C58+C59</f>
        <v>1083.4159999999999</v>
      </c>
      <c r="D52" s="460">
        <f>D54+D57+D58+D59</f>
        <v>329.76815999999997</v>
      </c>
      <c r="E52" s="34">
        <f>SUM(D52/C52*100)</f>
        <v>30.437815206716536</v>
      </c>
      <c r="F52" s="34">
        <f>SUM(D52-C52)</f>
        <v>-753.64783999999997</v>
      </c>
    </row>
    <row r="53" spans="1:6" s="6" customFormat="1" ht="31.5" hidden="1">
      <c r="A53" s="35" t="s">
        <v>31</v>
      </c>
      <c r="B53" s="36" t="s">
        <v>32</v>
      </c>
      <c r="C53" s="397"/>
      <c r="D53" s="404"/>
      <c r="E53" s="38"/>
      <c r="F53" s="38"/>
    </row>
    <row r="54" spans="1:6" ht="16.5" customHeight="1">
      <c r="A54" s="35" t="s">
        <v>33</v>
      </c>
      <c r="B54" s="39" t="s">
        <v>34</v>
      </c>
      <c r="C54" s="459">
        <v>1076.0999999999999</v>
      </c>
      <c r="D54" s="459">
        <v>327.45265999999998</v>
      </c>
      <c r="E54" s="38">
        <f>SUM(D54/C54*100)</f>
        <v>30.429575318278975</v>
      </c>
      <c r="F54" s="38">
        <f t="shared" ref="F54:F94" si="3">SUM(D54-C54)</f>
        <v>-748.64733999999999</v>
      </c>
    </row>
    <row r="55" spans="1:6" ht="0.75" hidden="1" customHeight="1">
      <c r="A55" s="35" t="s">
        <v>35</v>
      </c>
      <c r="B55" s="39" t="s">
        <v>36</v>
      </c>
      <c r="C55" s="459"/>
      <c r="D55" s="459"/>
      <c r="E55" s="38"/>
      <c r="F55" s="38">
        <f t="shared" si="3"/>
        <v>0</v>
      </c>
    </row>
    <row r="56" spans="1:6" ht="15.75" hidden="1" customHeight="1">
      <c r="A56" s="35" t="s">
        <v>37</v>
      </c>
      <c r="B56" s="39" t="s">
        <v>38</v>
      </c>
      <c r="C56" s="459"/>
      <c r="D56" s="459"/>
      <c r="E56" s="38" t="e">
        <f t="shared" ref="E56:E94" si="4">SUM(D56/C56*100)</f>
        <v>#DIV/0!</v>
      </c>
      <c r="F56" s="38">
        <f t="shared" si="3"/>
        <v>0</v>
      </c>
    </row>
    <row r="57" spans="1:6" ht="14.25" customHeight="1">
      <c r="A57" s="35" t="s">
        <v>39</v>
      </c>
      <c r="B57" s="39" t="s">
        <v>40</v>
      </c>
      <c r="C57" s="459">
        <v>0</v>
      </c>
      <c r="D57" s="459">
        <v>0</v>
      </c>
      <c r="E57" s="38" t="e">
        <f t="shared" si="4"/>
        <v>#DIV/0!</v>
      </c>
      <c r="F57" s="38">
        <f t="shared" si="3"/>
        <v>0</v>
      </c>
    </row>
    <row r="58" spans="1:6" ht="17.25" customHeight="1">
      <c r="A58" s="35" t="s">
        <v>41</v>
      </c>
      <c r="B58" s="39" t="s">
        <v>42</v>
      </c>
      <c r="C58" s="461">
        <v>5</v>
      </c>
      <c r="D58" s="461">
        <v>0</v>
      </c>
      <c r="E58" s="38">
        <f t="shared" si="4"/>
        <v>0</v>
      </c>
      <c r="F58" s="38">
        <f t="shared" si="3"/>
        <v>-5</v>
      </c>
    </row>
    <row r="59" spans="1:6" ht="17.25" customHeight="1">
      <c r="A59" s="35" t="s">
        <v>43</v>
      </c>
      <c r="B59" s="39" t="s">
        <v>44</v>
      </c>
      <c r="C59" s="459">
        <v>2.3159999999999998</v>
      </c>
      <c r="D59" s="459">
        <v>2.3155000000000001</v>
      </c>
      <c r="E59" s="38">
        <f t="shared" si="4"/>
        <v>99.978411053540597</v>
      </c>
      <c r="F59" s="38">
        <f t="shared" si="3"/>
        <v>-4.9999999999972289E-4</v>
      </c>
    </row>
    <row r="60" spans="1:6" s="6" customFormat="1">
      <c r="A60" s="41" t="s">
        <v>45</v>
      </c>
      <c r="B60" s="42" t="s">
        <v>46</v>
      </c>
      <c r="C60" s="460">
        <f>C61</f>
        <v>89.944999999999993</v>
      </c>
      <c r="D60" s="460">
        <f>D61</f>
        <v>29.768000000000001</v>
      </c>
      <c r="E60" s="34">
        <f t="shared" si="4"/>
        <v>33.095780754905782</v>
      </c>
      <c r="F60" s="34">
        <f t="shared" si="3"/>
        <v>-60.176999999999992</v>
      </c>
    </row>
    <row r="61" spans="1:6">
      <c r="A61" s="43" t="s">
        <v>47</v>
      </c>
      <c r="B61" s="44" t="s">
        <v>48</v>
      </c>
      <c r="C61" s="459">
        <v>89.944999999999993</v>
      </c>
      <c r="D61" s="459">
        <v>29.768000000000001</v>
      </c>
      <c r="E61" s="38">
        <f t="shared" si="4"/>
        <v>33.095780754905782</v>
      </c>
      <c r="F61" s="38">
        <f t="shared" si="3"/>
        <v>-60.176999999999992</v>
      </c>
    </row>
    <row r="62" spans="1:6" s="6" customFormat="1" ht="16.5" customHeight="1">
      <c r="A62" s="30" t="s">
        <v>49</v>
      </c>
      <c r="B62" s="31" t="s">
        <v>50</v>
      </c>
      <c r="C62" s="460">
        <f>C65+C66+C67</f>
        <v>14</v>
      </c>
      <c r="D62" s="460">
        <f>D65+D66</f>
        <v>0</v>
      </c>
      <c r="E62" s="34">
        <f t="shared" si="4"/>
        <v>0</v>
      </c>
      <c r="F62" s="34">
        <f t="shared" si="3"/>
        <v>-14</v>
      </c>
    </row>
    <row r="63" spans="1:6" ht="13.5" hidden="1" customHeight="1">
      <c r="A63" s="35" t="s">
        <v>51</v>
      </c>
      <c r="B63" s="39" t="s">
        <v>52</v>
      </c>
      <c r="C63" s="459"/>
      <c r="D63" s="459"/>
      <c r="E63" s="34" t="e">
        <f t="shared" si="4"/>
        <v>#DIV/0!</v>
      </c>
      <c r="F63" s="34">
        <f t="shared" si="3"/>
        <v>0</v>
      </c>
    </row>
    <row r="64" spans="1:6" hidden="1">
      <c r="A64" s="45" t="s">
        <v>53</v>
      </c>
      <c r="B64" s="39" t="s">
        <v>54</v>
      </c>
      <c r="C64" s="459"/>
      <c r="D64" s="459"/>
      <c r="E64" s="34" t="e">
        <f t="shared" si="4"/>
        <v>#DIV/0!</v>
      </c>
      <c r="F64" s="34">
        <f t="shared" si="3"/>
        <v>0</v>
      </c>
    </row>
    <row r="65" spans="1:7" ht="15.75" customHeight="1">
      <c r="A65" s="46" t="s">
        <v>55</v>
      </c>
      <c r="B65" s="47" t="s">
        <v>56</v>
      </c>
      <c r="C65" s="459">
        <v>2</v>
      </c>
      <c r="D65" s="459">
        <v>0</v>
      </c>
      <c r="E65" s="34">
        <f t="shared" si="4"/>
        <v>0</v>
      </c>
      <c r="F65" s="34">
        <f t="shared" si="3"/>
        <v>-2</v>
      </c>
    </row>
    <row r="66" spans="1:7" ht="15.75" customHeight="1">
      <c r="A66" s="46" t="s">
        <v>218</v>
      </c>
      <c r="B66" s="47" t="s">
        <v>219</v>
      </c>
      <c r="C66" s="459">
        <v>10</v>
      </c>
      <c r="D66" s="459">
        <v>0</v>
      </c>
      <c r="E66" s="38">
        <f t="shared" si="4"/>
        <v>0</v>
      </c>
      <c r="F66" s="38">
        <f t="shared" si="3"/>
        <v>-10</v>
      </c>
    </row>
    <row r="67" spans="1:7" ht="15.75" customHeight="1">
      <c r="A67" s="46" t="s">
        <v>357</v>
      </c>
      <c r="B67" s="47" t="s">
        <v>413</v>
      </c>
      <c r="C67" s="459">
        <v>2</v>
      </c>
      <c r="D67" s="459"/>
      <c r="E67" s="38"/>
      <c r="F67" s="38"/>
    </row>
    <row r="68" spans="1:7" s="6" customFormat="1">
      <c r="A68" s="30" t="s">
        <v>57</v>
      </c>
      <c r="B68" s="31" t="s">
        <v>58</v>
      </c>
      <c r="C68" s="411">
        <f>C71+C72+C69+C70</f>
        <v>1701.7858899999999</v>
      </c>
      <c r="D68" s="411">
        <f>D71+D72+D69+D70</f>
        <v>158.80862999999999</v>
      </c>
      <c r="E68" s="34">
        <f t="shared" si="4"/>
        <v>9.331880757337812</v>
      </c>
      <c r="F68" s="34">
        <f t="shared" si="3"/>
        <v>-1542.9772599999999</v>
      </c>
    </row>
    <row r="69" spans="1:7" ht="16.5" customHeight="1">
      <c r="A69" s="35" t="s">
        <v>59</v>
      </c>
      <c r="B69" s="39" t="s">
        <v>60</v>
      </c>
      <c r="C69" s="462">
        <v>4.0214999999999996</v>
      </c>
      <c r="D69" s="459">
        <v>0</v>
      </c>
      <c r="E69" s="38">
        <f t="shared" si="4"/>
        <v>0</v>
      </c>
      <c r="F69" s="38">
        <f t="shared" si="3"/>
        <v>-4.0214999999999996</v>
      </c>
    </row>
    <row r="70" spans="1:7" s="6" customFormat="1">
      <c r="A70" s="35" t="s">
        <v>61</v>
      </c>
      <c r="B70" s="39" t="s">
        <v>62</v>
      </c>
      <c r="C70" s="462">
        <v>5.2629999999999999</v>
      </c>
      <c r="D70" s="459">
        <v>0</v>
      </c>
      <c r="E70" s="38">
        <f t="shared" si="4"/>
        <v>0</v>
      </c>
      <c r="F70" s="38">
        <f t="shared" si="3"/>
        <v>-5.2629999999999999</v>
      </c>
      <c r="G70" s="50"/>
    </row>
    <row r="71" spans="1:7" ht="15.75" customHeight="1">
      <c r="A71" s="35" t="s">
        <v>63</v>
      </c>
      <c r="B71" s="39" t="s">
        <v>64</v>
      </c>
      <c r="C71" s="462">
        <v>1692.5013899999999</v>
      </c>
      <c r="D71" s="459">
        <v>158.80862999999999</v>
      </c>
      <c r="E71" s="38">
        <f t="shared" si="4"/>
        <v>9.3830723530454527</v>
      </c>
      <c r="F71" s="38">
        <f t="shared" si="3"/>
        <v>-1533.6927599999999</v>
      </c>
    </row>
    <row r="72" spans="1:7">
      <c r="A72" s="35" t="s">
        <v>65</v>
      </c>
      <c r="B72" s="39" t="s">
        <v>66</v>
      </c>
      <c r="C72" s="462"/>
      <c r="D72" s="459">
        <v>0</v>
      </c>
      <c r="E72" s="38" t="e">
        <f t="shared" si="4"/>
        <v>#DIV/0!</v>
      </c>
      <c r="F72" s="38">
        <f t="shared" si="3"/>
        <v>0</v>
      </c>
    </row>
    <row r="73" spans="1:7" s="6" customFormat="1" ht="18" customHeight="1">
      <c r="A73" s="30" t="s">
        <v>67</v>
      </c>
      <c r="B73" s="31" t="s">
        <v>68</v>
      </c>
      <c r="C73" s="460">
        <f>C76</f>
        <v>518.81949999999995</v>
      </c>
      <c r="D73" s="460">
        <f>D76</f>
        <v>90.822460000000007</v>
      </c>
      <c r="E73" s="34">
        <f t="shared" si="4"/>
        <v>17.505598767972295</v>
      </c>
      <c r="F73" s="34">
        <f t="shared" si="3"/>
        <v>-427.99703999999997</v>
      </c>
    </row>
    <row r="74" spans="1:7" ht="0.75" hidden="1" customHeight="1">
      <c r="A74" s="35" t="s">
        <v>69</v>
      </c>
      <c r="B74" s="51" t="s">
        <v>70</v>
      </c>
      <c r="C74" s="459"/>
      <c r="D74" s="459"/>
      <c r="E74" s="38" t="e">
        <f t="shared" si="4"/>
        <v>#DIV/0!</v>
      </c>
      <c r="F74" s="38">
        <f t="shared" si="3"/>
        <v>0</v>
      </c>
    </row>
    <row r="75" spans="1:7" hidden="1">
      <c r="A75" s="35" t="s">
        <v>71</v>
      </c>
      <c r="B75" s="51" t="s">
        <v>72</v>
      </c>
      <c r="C75" s="459"/>
      <c r="D75" s="459"/>
      <c r="E75" s="38" t="e">
        <f t="shared" si="4"/>
        <v>#DIV/0!</v>
      </c>
      <c r="F75" s="38">
        <f t="shared" si="3"/>
        <v>0</v>
      </c>
    </row>
    <row r="76" spans="1:7" ht="16.5" customHeight="1">
      <c r="A76" s="35" t="s">
        <v>73</v>
      </c>
      <c r="B76" s="39" t="s">
        <v>74</v>
      </c>
      <c r="C76" s="459">
        <v>518.81949999999995</v>
      </c>
      <c r="D76" s="459">
        <v>90.822460000000007</v>
      </c>
      <c r="E76" s="38">
        <f t="shared" si="4"/>
        <v>17.505598767972295</v>
      </c>
      <c r="F76" s="38">
        <f t="shared" si="3"/>
        <v>-427.99703999999997</v>
      </c>
    </row>
    <row r="77" spans="1:7" s="6" customFormat="1">
      <c r="A77" s="30" t="s">
        <v>85</v>
      </c>
      <c r="B77" s="31" t="s">
        <v>86</v>
      </c>
      <c r="C77" s="460">
        <f>C78</f>
        <v>276.10000000000002</v>
      </c>
      <c r="D77" s="460">
        <f>D78</f>
        <v>92.388000000000005</v>
      </c>
      <c r="E77" s="34">
        <f t="shared" si="4"/>
        <v>33.461789206809129</v>
      </c>
      <c r="F77" s="34">
        <f t="shared" si="3"/>
        <v>-183.71200000000002</v>
      </c>
    </row>
    <row r="78" spans="1:7" ht="14.25" customHeight="1">
      <c r="A78" s="35" t="s">
        <v>87</v>
      </c>
      <c r="B78" s="39" t="s">
        <v>233</v>
      </c>
      <c r="C78" s="459">
        <v>276.10000000000002</v>
      </c>
      <c r="D78" s="459">
        <v>92.388000000000005</v>
      </c>
      <c r="E78" s="38">
        <f t="shared" si="4"/>
        <v>33.461789206809129</v>
      </c>
      <c r="F78" s="38">
        <f t="shared" si="3"/>
        <v>-183.71200000000002</v>
      </c>
    </row>
    <row r="79" spans="1:7" s="6" customFormat="1" ht="0.75" hidden="1" customHeight="1">
      <c r="A79" s="52">
        <v>1000</v>
      </c>
      <c r="B79" s="31" t="s">
        <v>88</v>
      </c>
      <c r="C79" s="460"/>
      <c r="D79" s="460"/>
      <c r="E79" s="34" t="e">
        <f t="shared" si="4"/>
        <v>#DIV/0!</v>
      </c>
      <c r="F79" s="34">
        <f t="shared" si="3"/>
        <v>0</v>
      </c>
    </row>
    <row r="80" spans="1:7" ht="16.5" hidden="1" customHeight="1">
      <c r="A80" s="53">
        <v>1001</v>
      </c>
      <c r="B80" s="54" t="s">
        <v>89</v>
      </c>
      <c r="C80" s="459"/>
      <c r="D80" s="459"/>
      <c r="E80" s="38" t="e">
        <f t="shared" si="4"/>
        <v>#DIV/0!</v>
      </c>
      <c r="F80" s="38">
        <f t="shared" si="3"/>
        <v>0</v>
      </c>
    </row>
    <row r="81" spans="1:7" ht="15.75" hidden="1" customHeight="1">
      <c r="A81" s="53">
        <v>1003</v>
      </c>
      <c r="B81" s="54" t="s">
        <v>90</v>
      </c>
      <c r="C81" s="459"/>
      <c r="D81" s="459"/>
      <c r="E81" s="38" t="e">
        <f t="shared" si="4"/>
        <v>#DIV/0!</v>
      </c>
      <c r="F81" s="38">
        <f t="shared" si="3"/>
        <v>0</v>
      </c>
    </row>
    <row r="82" spans="1:7" ht="16.5" hidden="1" customHeight="1">
      <c r="A82" s="53">
        <v>1004</v>
      </c>
      <c r="B82" s="54" t="s">
        <v>91</v>
      </c>
      <c r="C82" s="459"/>
      <c r="D82" s="463"/>
      <c r="E82" s="38" t="e">
        <f t="shared" si="4"/>
        <v>#DIV/0!</v>
      </c>
      <c r="F82" s="38">
        <f t="shared" si="3"/>
        <v>0</v>
      </c>
    </row>
    <row r="83" spans="1:7" ht="0.75" hidden="1" customHeight="1">
      <c r="A83" s="35" t="s">
        <v>92</v>
      </c>
      <c r="B83" s="39" t="s">
        <v>93</v>
      </c>
      <c r="C83" s="459"/>
      <c r="D83" s="459"/>
      <c r="E83" s="38"/>
      <c r="F83" s="38">
        <f t="shared" si="3"/>
        <v>0</v>
      </c>
    </row>
    <row r="84" spans="1:7" ht="12" customHeight="1">
      <c r="A84" s="30" t="s">
        <v>94</v>
      </c>
      <c r="B84" s="31" t="s">
        <v>95</v>
      </c>
      <c r="C84" s="460">
        <f>C85</f>
        <v>4</v>
      </c>
      <c r="D84" s="460">
        <v>0</v>
      </c>
      <c r="E84" s="38">
        <f t="shared" si="4"/>
        <v>0</v>
      </c>
      <c r="F84" s="22">
        <f>F85+F86+F87+F88+F89</f>
        <v>-4</v>
      </c>
    </row>
    <row r="85" spans="1:7" ht="11.25" customHeight="1">
      <c r="A85" s="35" t="s">
        <v>96</v>
      </c>
      <c r="B85" s="39" t="s">
        <v>97</v>
      </c>
      <c r="C85" s="459">
        <v>4</v>
      </c>
      <c r="D85" s="459">
        <v>0</v>
      </c>
      <c r="E85" s="38">
        <v>0</v>
      </c>
      <c r="F85" s="38">
        <f>SUM(D85-C85)</f>
        <v>-4</v>
      </c>
    </row>
    <row r="86" spans="1:7" ht="14.25" customHeight="1">
      <c r="A86" s="35" t="s">
        <v>98</v>
      </c>
      <c r="B86" s="39" t="s">
        <v>99</v>
      </c>
      <c r="C86" s="459"/>
      <c r="D86" s="459"/>
      <c r="E86" s="38" t="e">
        <f t="shared" si="4"/>
        <v>#DIV/0!</v>
      </c>
      <c r="F86" s="38">
        <f>SUM(D86-C86)</f>
        <v>0</v>
      </c>
    </row>
    <row r="87" spans="1:7" ht="15.75" hidden="1" customHeight="1">
      <c r="A87" s="35" t="s">
        <v>100</v>
      </c>
      <c r="B87" s="39" t="s">
        <v>101</v>
      </c>
      <c r="C87" s="459"/>
      <c r="D87" s="459"/>
      <c r="E87" s="38" t="e">
        <f t="shared" si="4"/>
        <v>#DIV/0!</v>
      </c>
      <c r="F87" s="38"/>
    </row>
    <row r="88" spans="1:7" ht="9.75" hidden="1" customHeight="1">
      <c r="A88" s="35" t="s">
        <v>102</v>
      </c>
      <c r="B88" s="39" t="s">
        <v>103</v>
      </c>
      <c r="C88" s="459"/>
      <c r="D88" s="459"/>
      <c r="E88" s="38" t="e">
        <f t="shared" si="4"/>
        <v>#DIV/0!</v>
      </c>
      <c r="F88" s="38"/>
    </row>
    <row r="89" spans="1:7" ht="11.25" hidden="1" customHeight="1">
      <c r="A89" s="35" t="s">
        <v>104</v>
      </c>
      <c r="B89" s="39" t="s">
        <v>105</v>
      </c>
      <c r="C89" s="459"/>
      <c r="D89" s="459"/>
      <c r="E89" s="38" t="e">
        <f t="shared" si="4"/>
        <v>#DIV/0!</v>
      </c>
      <c r="F89" s="38"/>
    </row>
    <row r="90" spans="1:7" s="6" customFormat="1" ht="17.25" customHeight="1">
      <c r="A90" s="52">
        <v>1400</v>
      </c>
      <c r="B90" s="56" t="s">
        <v>114</v>
      </c>
      <c r="C90" s="411">
        <v>0</v>
      </c>
      <c r="D90" s="411">
        <f>SUM(D91:D93)</f>
        <v>0</v>
      </c>
      <c r="E90" s="34" t="e">
        <f t="shared" si="4"/>
        <v>#DIV/0!</v>
      </c>
      <c r="F90" s="34">
        <f t="shared" si="3"/>
        <v>0</v>
      </c>
    </row>
    <row r="91" spans="1:7" ht="18.75" customHeight="1">
      <c r="A91" s="53">
        <v>1401</v>
      </c>
      <c r="B91" s="54" t="s">
        <v>115</v>
      </c>
      <c r="C91" s="462"/>
      <c r="D91" s="459"/>
      <c r="E91" s="38" t="e">
        <f t="shared" si="4"/>
        <v>#DIV/0!</v>
      </c>
      <c r="F91" s="38">
        <f t="shared" si="3"/>
        <v>0</v>
      </c>
    </row>
    <row r="92" spans="1:7" ht="15.75" customHeight="1">
      <c r="A92" s="53">
        <v>1402</v>
      </c>
      <c r="B92" s="54" t="s">
        <v>116</v>
      </c>
      <c r="C92" s="462"/>
      <c r="D92" s="459"/>
      <c r="E92" s="38" t="e">
        <f t="shared" si="4"/>
        <v>#DIV/0!</v>
      </c>
      <c r="F92" s="38">
        <f t="shared" si="3"/>
        <v>0</v>
      </c>
    </row>
    <row r="93" spans="1:7" ht="12.75" customHeight="1">
      <c r="A93" s="53">
        <v>1403</v>
      </c>
      <c r="B93" s="54" t="s">
        <v>117</v>
      </c>
      <c r="C93" s="462"/>
      <c r="D93" s="459"/>
      <c r="E93" s="38" t="e">
        <f t="shared" si="4"/>
        <v>#DIV/0!</v>
      </c>
      <c r="F93" s="38">
        <f t="shared" si="3"/>
        <v>0</v>
      </c>
    </row>
    <row r="94" spans="1:7" s="6" customFormat="1">
      <c r="A94" s="52"/>
      <c r="B94" s="57" t="s">
        <v>118</v>
      </c>
      <c r="C94" s="464">
        <f>C52+C60+C62+C68+C73+C77+C84</f>
        <v>3688.06639</v>
      </c>
      <c r="D94" s="464">
        <f>D52+D60+D62+D68+D73+D77+D79+D84+D90</f>
        <v>701.55525</v>
      </c>
      <c r="E94" s="128">
        <f t="shared" si="4"/>
        <v>19.022305344129123</v>
      </c>
      <c r="F94" s="34">
        <f t="shared" si="3"/>
        <v>-2986.5111400000001</v>
      </c>
      <c r="G94" s="291">
        <f>C94-2813.74646</f>
        <v>874.31993000000011</v>
      </c>
    </row>
    <row r="95" spans="1:7">
      <c r="C95" s="126"/>
      <c r="D95" s="101"/>
    </row>
    <row r="96" spans="1:7" s="65" customFormat="1" ht="16.5" customHeight="1">
      <c r="A96" s="63" t="s">
        <v>119</v>
      </c>
      <c r="B96" s="63"/>
      <c r="C96" s="247"/>
      <c r="D96" s="247"/>
    </row>
    <row r="97" spans="1:3" s="65" customFormat="1" ht="20.25" customHeight="1">
      <c r="A97" s="66" t="s">
        <v>120</v>
      </c>
      <c r="B97" s="66"/>
      <c r="C97" s="65" t="s">
        <v>121</v>
      </c>
    </row>
    <row r="98" spans="1:3" ht="13.5" customHeight="1"/>
    <row r="100" spans="1:3" ht="5.25" customHeight="1"/>
  </sheetData>
  <customSheetViews>
    <customSheetView guid="{5BFCA170-DEAE-4D2C-98A0-1E68B427AC01}" showPageBreaks="1" hiddenRows="1">
      <selection activeCell="C69" sqref="C69"/>
      <pageMargins left="0.75" right="0.75" top="0.18" bottom="0.17" header="0.5" footer="0.25"/>
      <pageSetup paperSize="9" scale="63" orientation="portrait" r:id="rId1"/>
      <headerFooter alignWithMargins="0"/>
    </customSheetView>
    <customSheetView guid="{B30CE22D-C12F-4E12-8BB9-3AAE0A6991CC}" scale="70" showPageBreaks="1" hiddenRows="1" view="pageBreakPreview">
      <selection activeCell="A67" sqref="A67:XFD67"/>
      <pageMargins left="0.74803149606299213" right="0.74803149606299213" top="0.19685039370078741" bottom="0.15748031496062992" header="0.51181102362204722" footer="0.23622047244094491"/>
      <pageSetup paperSize="9" scale="60" orientation="portrait" r:id="rId2"/>
      <headerFooter alignWithMargins="0"/>
    </customSheetView>
    <customSheetView guid="{1A52382B-3765-4E8C-903F-6B8919B7242E}" hiddenRows="1" topLeftCell="A42">
      <selection activeCell="A67" sqref="A67:XFD67"/>
      <pageMargins left="0.75" right="0.75" top="0.18" bottom="0.17" header="0.5" footer="0.25"/>
      <pageSetup paperSize="9" scale="63" orientation="portrait" r:id="rId3"/>
      <headerFooter alignWithMargins="0"/>
    </customSheetView>
    <customSheetView guid="{A54C432C-6C68-4B53-A75C-446EB3A61B2B}" scale="70" showPageBreaks="1" hiddenRows="1" view="pageBreakPreview" topLeftCell="A4">
      <selection activeCell="G93" sqref="G93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3DCB9AAA-F09C-4EA6-B992-F93E466D374A}" hiddenRows="1">
      <selection activeCell="B100" sqref="B100"/>
      <pageMargins left="0.75" right="0.75" top="0.18" bottom="0.17" header="0.5" footer="0.25"/>
      <pageSetup paperSize="9" scale="63" orientation="portrait" r:id="rId5"/>
      <headerFooter alignWithMargins="0"/>
    </customSheetView>
    <customSheetView guid="{1718F1EE-9F48-4DBE-9531-3B70F9C4A5DD}" scale="70" showPageBreaks="1" hiddenRows="1" view="pageBreakPreview" topLeftCell="A27">
      <selection activeCell="D62" sqref="D62"/>
      <pageMargins left="0.75" right="0.75" top="0.18" bottom="0.17" header="0.5" footer="0.25"/>
      <pageSetup paperSize="9" scale="49" orientation="portrait" r:id="rId6"/>
      <headerFooter alignWithMargins="0"/>
    </customSheetView>
    <customSheetView guid="{42584DC0-1D41-4C93-9B38-C388E7B8DAC4}" scale="70" showPageBreaks="1" hiddenRows="1" view="pageBreakPreview" topLeftCell="A30">
      <selection activeCell="A43" sqref="A43:B43"/>
      <pageMargins left="0.75" right="0.75" top="0.18" bottom="0.17" header="0.5" footer="0.25"/>
      <pageSetup paperSize="9" scale="63" orientation="portrait" r:id="rId7"/>
      <headerFooter alignWithMargins="0"/>
    </customSheetView>
    <customSheetView guid="{B31C8DB7-3E78-4144-A6B5-8DE36DE63F0E}" hiddenRows="1" topLeftCell="A28">
      <selection activeCell="D42" sqref="D42"/>
      <pageMargins left="0.75" right="0.75" top="0.18" bottom="0.17" header="0.5" footer="0.25"/>
      <pageSetup paperSize="9" scale="63" orientation="portrait" r:id="rId8"/>
      <headerFooter alignWithMargins="0"/>
    </customSheetView>
    <customSheetView guid="{61528DAC-5C4C-48F4-ADE2-8A724B05A086}" scale="70" showPageBreaks="1" printArea="1" hiddenRows="1" view="pageBreakPreview" topLeftCell="A29">
      <selection activeCell="C70" sqref="C70"/>
      <pageMargins left="0.74803149606299213" right="0.74803149606299213" top="0.19685039370078741" bottom="0.15748031496062992" header="0.51181102362204722" footer="0.23622047244094491"/>
      <pageSetup paperSize="9" scale="60" orientation="portrait" r:id="rId9"/>
      <headerFooter alignWithMargins="0"/>
    </customSheetView>
  </customSheetViews>
  <mergeCells count="2">
    <mergeCell ref="A1:F1"/>
    <mergeCell ref="A2:F2"/>
  </mergeCells>
  <phoneticPr fontId="0" type="noConversion"/>
  <pageMargins left="0.75" right="0.75" top="0.18" bottom="0.17" header="0.5" footer="0.25"/>
  <pageSetup paperSize="9" scale="63" orientation="portrait" r:id="rId1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H104"/>
  <sheetViews>
    <sheetView topLeftCell="A53" zoomScaleNormal="100" zoomScaleSheetLayoutView="70" workbookViewId="0">
      <selection activeCell="C100" sqref="C100"/>
    </sheetView>
  </sheetViews>
  <sheetFormatPr defaultRowHeight="15.75"/>
  <cols>
    <col min="1" max="1" width="14.7109375" style="58" customWidth="1"/>
    <col min="2" max="2" width="56.42578125" style="59" customWidth="1"/>
    <col min="3" max="3" width="16.7109375" style="60" customWidth="1"/>
    <col min="4" max="4" width="16.85546875" style="62" customWidth="1"/>
    <col min="5" max="5" width="15.28515625" style="62" customWidth="1"/>
    <col min="6" max="6" width="13.42578125" style="62" customWidth="1"/>
    <col min="7" max="7" width="15.42578125" style="1" bestFit="1" customWidth="1"/>
    <col min="8" max="8" width="17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30" t="s">
        <v>420</v>
      </c>
      <c r="B1" s="530"/>
      <c r="C1" s="530"/>
      <c r="D1" s="530"/>
      <c r="E1" s="530"/>
      <c r="F1" s="530"/>
    </row>
    <row r="2" spans="1:6">
      <c r="A2" s="530"/>
      <c r="B2" s="530"/>
      <c r="C2" s="530"/>
      <c r="D2" s="530"/>
      <c r="E2" s="530"/>
      <c r="F2" s="530"/>
    </row>
    <row r="3" spans="1:6" ht="63">
      <c r="A3" s="2" t="s">
        <v>0</v>
      </c>
      <c r="B3" s="2" t="s">
        <v>1</v>
      </c>
      <c r="C3" s="135" t="s">
        <v>411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370">
        <f>C5+C12+C14+C17+C7</f>
        <v>3515.44</v>
      </c>
      <c r="D4" s="370">
        <f>D5+D12+D14+D17+D7</f>
        <v>618.44216000000006</v>
      </c>
      <c r="E4" s="5">
        <f>SUM(D4/C4*100)</f>
        <v>17.592169401269828</v>
      </c>
      <c r="F4" s="5">
        <f>SUM(D4-C4)</f>
        <v>-2896.99784</v>
      </c>
    </row>
    <row r="5" spans="1:6" s="6" customFormat="1">
      <c r="A5" s="68">
        <v>1010000000</v>
      </c>
      <c r="B5" s="67" t="s">
        <v>5</v>
      </c>
      <c r="C5" s="370">
        <f>C6</f>
        <v>443.71499999999997</v>
      </c>
      <c r="D5" s="370">
        <f>D6</f>
        <v>117.79398</v>
      </c>
      <c r="E5" s="5">
        <f t="shared" ref="E5:E52" si="0">SUM(D5/C5*100)</f>
        <v>26.547216118454415</v>
      </c>
      <c r="F5" s="5">
        <f t="shared" ref="F5:F52" si="1">SUM(D5-C5)</f>
        <v>-325.92102</v>
      </c>
    </row>
    <row r="6" spans="1:6">
      <c r="A6" s="7">
        <v>1010200001</v>
      </c>
      <c r="B6" s="8" t="s">
        <v>228</v>
      </c>
      <c r="C6" s="473">
        <v>443.71499999999997</v>
      </c>
      <c r="D6" s="471">
        <v>117.79398</v>
      </c>
      <c r="E6" s="9">
        <f t="shared" ref="E6:E11" si="2">SUM(D6/C6*100)</f>
        <v>26.547216118454415</v>
      </c>
      <c r="F6" s="9">
        <f t="shared" si="1"/>
        <v>-325.92102</v>
      </c>
    </row>
    <row r="7" spans="1:6" ht="31.5">
      <c r="A7" s="3">
        <v>1030000000</v>
      </c>
      <c r="B7" s="13" t="s">
        <v>280</v>
      </c>
      <c r="C7" s="370">
        <f>C8+C10+C9</f>
        <v>635.72500000000002</v>
      </c>
      <c r="D7" s="370">
        <f>D8+D10+D9+D11</f>
        <v>245.56594999999999</v>
      </c>
      <c r="E7" s="5">
        <f t="shared" si="2"/>
        <v>38.627700656730504</v>
      </c>
      <c r="F7" s="5">
        <f t="shared" si="1"/>
        <v>-390.15905000000004</v>
      </c>
    </row>
    <row r="8" spans="1:6">
      <c r="A8" s="7">
        <v>1030223001</v>
      </c>
      <c r="B8" s="8" t="s">
        <v>282</v>
      </c>
      <c r="C8" s="473">
        <v>237.12</v>
      </c>
      <c r="D8" s="471">
        <v>110.51293</v>
      </c>
      <c r="E8" s="9">
        <f t="shared" si="2"/>
        <v>46.606330128205123</v>
      </c>
      <c r="F8" s="9">
        <f t="shared" si="1"/>
        <v>-126.60707000000001</v>
      </c>
    </row>
    <row r="9" spans="1:6">
      <c r="A9" s="7">
        <v>1030224001</v>
      </c>
      <c r="B9" s="8" t="s">
        <v>288</v>
      </c>
      <c r="C9" s="473">
        <v>2.5049999999999999</v>
      </c>
      <c r="D9" s="471">
        <v>0.80669000000000002</v>
      </c>
      <c r="E9" s="9">
        <f t="shared" si="2"/>
        <v>32.203193612774456</v>
      </c>
      <c r="F9" s="9">
        <f t="shared" si="1"/>
        <v>-1.6983099999999998</v>
      </c>
    </row>
    <row r="10" spans="1:6">
      <c r="A10" s="7">
        <v>1030225001</v>
      </c>
      <c r="B10" s="8" t="s">
        <v>281</v>
      </c>
      <c r="C10" s="473">
        <v>396.1</v>
      </c>
      <c r="D10" s="471">
        <v>157.08904999999999</v>
      </c>
      <c r="E10" s="9">
        <f t="shared" si="2"/>
        <v>39.658937137086589</v>
      </c>
      <c r="F10" s="9">
        <f t="shared" si="1"/>
        <v>-239.01095000000004</v>
      </c>
    </row>
    <row r="11" spans="1:6">
      <c r="A11" s="7">
        <v>1030226001</v>
      </c>
      <c r="B11" s="8" t="s">
        <v>290</v>
      </c>
      <c r="C11" s="473">
        <v>0</v>
      </c>
      <c r="D11" s="471">
        <v>-22.84272</v>
      </c>
      <c r="E11" s="9" t="e">
        <f t="shared" si="2"/>
        <v>#DIV/0!</v>
      </c>
      <c r="F11" s="9">
        <f t="shared" si="1"/>
        <v>-22.84272</v>
      </c>
    </row>
    <row r="12" spans="1:6" s="6" customFormat="1">
      <c r="A12" s="68">
        <v>1050000000</v>
      </c>
      <c r="B12" s="67" t="s">
        <v>6</v>
      </c>
      <c r="C12" s="370">
        <f>SUM(C13:C13)</f>
        <v>40</v>
      </c>
      <c r="D12" s="370">
        <f>SUM(D13:D13)</f>
        <v>36.720509999999997</v>
      </c>
      <c r="E12" s="5">
        <f t="shared" si="0"/>
        <v>91.80127499999999</v>
      </c>
      <c r="F12" s="5">
        <f t="shared" si="1"/>
        <v>-3.2794900000000027</v>
      </c>
    </row>
    <row r="13" spans="1:6" ht="15.75" customHeight="1">
      <c r="A13" s="7">
        <v>1050300000</v>
      </c>
      <c r="B13" s="11" t="s">
        <v>229</v>
      </c>
      <c r="C13" s="480">
        <v>40</v>
      </c>
      <c r="D13" s="471">
        <v>36.720509999999997</v>
      </c>
      <c r="E13" s="9">
        <f t="shared" si="0"/>
        <v>91.80127499999999</v>
      </c>
      <c r="F13" s="9">
        <f t="shared" si="1"/>
        <v>-3.2794900000000027</v>
      </c>
    </row>
    <row r="14" spans="1:6" s="6" customFormat="1" ht="15.75" customHeight="1">
      <c r="A14" s="68">
        <v>1060000000</v>
      </c>
      <c r="B14" s="67" t="s">
        <v>135</v>
      </c>
      <c r="C14" s="370">
        <f>C15+C16</f>
        <v>2383</v>
      </c>
      <c r="D14" s="370">
        <f>D15+D16</f>
        <v>213.34172000000001</v>
      </c>
      <c r="E14" s="5">
        <f t="shared" si="0"/>
        <v>8.9526529584557277</v>
      </c>
      <c r="F14" s="5">
        <f t="shared" si="1"/>
        <v>-2169.6582800000001</v>
      </c>
    </row>
    <row r="15" spans="1:6" s="6" customFormat="1" ht="15.75" customHeight="1">
      <c r="A15" s="7">
        <v>1060100000</v>
      </c>
      <c r="B15" s="11" t="s">
        <v>8</v>
      </c>
      <c r="C15" s="473">
        <v>1098</v>
      </c>
      <c r="D15" s="471">
        <v>27.99108</v>
      </c>
      <c r="E15" s="5">
        <f t="shared" si="0"/>
        <v>2.5492786885245899</v>
      </c>
      <c r="F15" s="9">
        <f>SUM(D15-C15)</f>
        <v>-1070.00892</v>
      </c>
    </row>
    <row r="16" spans="1:6" ht="15" customHeight="1">
      <c r="A16" s="7">
        <v>1060600000</v>
      </c>
      <c r="B16" s="11" t="s">
        <v>7</v>
      </c>
      <c r="C16" s="473">
        <v>1285</v>
      </c>
      <c r="D16" s="471">
        <v>185.35064</v>
      </c>
      <c r="E16" s="5">
        <f t="shared" si="0"/>
        <v>14.424174319066147</v>
      </c>
      <c r="F16" s="9">
        <f t="shared" si="1"/>
        <v>-1099.6493599999999</v>
      </c>
    </row>
    <row r="17" spans="1:6" s="6" customFormat="1" ht="18" customHeight="1">
      <c r="A17" s="3">
        <v>1080000000</v>
      </c>
      <c r="B17" s="4" t="s">
        <v>10</v>
      </c>
      <c r="C17" s="370">
        <f>C18</f>
        <v>13</v>
      </c>
      <c r="D17" s="370">
        <f>D18</f>
        <v>5.0199999999999996</v>
      </c>
      <c r="E17" s="5">
        <f t="shared" si="0"/>
        <v>38.615384615384613</v>
      </c>
      <c r="F17" s="5">
        <f t="shared" si="1"/>
        <v>-7.98</v>
      </c>
    </row>
    <row r="18" spans="1:6" ht="18" customHeight="1">
      <c r="A18" s="7">
        <v>1080400001</v>
      </c>
      <c r="B18" s="8" t="s">
        <v>227</v>
      </c>
      <c r="C18" s="473">
        <v>13</v>
      </c>
      <c r="D18" s="471">
        <v>5.0199999999999996</v>
      </c>
      <c r="E18" s="9">
        <f t="shared" si="0"/>
        <v>38.615384615384613</v>
      </c>
      <c r="F18" s="9">
        <f t="shared" si="1"/>
        <v>-7.98</v>
      </c>
    </row>
    <row r="19" spans="1:6" ht="0.75" hidden="1" customHeight="1">
      <c r="A19" s="7">
        <v>1080714001</v>
      </c>
      <c r="B19" s="8" t="s">
        <v>11</v>
      </c>
      <c r="C19" s="473"/>
      <c r="D19" s="471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123</v>
      </c>
      <c r="C20" s="370">
        <f>C21+C22+C23+C24</f>
        <v>0</v>
      </c>
      <c r="D20" s="370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1.5" hidden="1">
      <c r="A21" s="7">
        <v>1090100000</v>
      </c>
      <c r="B21" s="8" t="s">
        <v>124</v>
      </c>
      <c r="C21" s="370"/>
      <c r="D21" s="472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125</v>
      </c>
      <c r="C22" s="370"/>
      <c r="D22" s="472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370"/>
      <c r="D23" s="472"/>
      <c r="E23" s="9" t="e">
        <f t="shared" si="0"/>
        <v>#DIV/0!</v>
      </c>
      <c r="F23" s="9">
        <f t="shared" si="1"/>
        <v>0</v>
      </c>
    </row>
    <row r="24" spans="1:6" s="15" customFormat="1" ht="31.5" hidden="1">
      <c r="A24" s="7">
        <v>1090700000</v>
      </c>
      <c r="B24" s="8" t="s">
        <v>127</v>
      </c>
      <c r="C24" s="370"/>
      <c r="D24" s="472"/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370">
        <f>C26+C30+C32+C37+C35</f>
        <v>220</v>
      </c>
      <c r="D25" s="370">
        <f>D26+D30+D32+D35+D37</f>
        <v>145.49378000000002</v>
      </c>
      <c r="E25" s="5">
        <f t="shared" si="0"/>
        <v>66.133536363636367</v>
      </c>
      <c r="F25" s="5">
        <f t="shared" si="1"/>
        <v>-74.506219999999985</v>
      </c>
    </row>
    <row r="26" spans="1:6" s="6" customFormat="1" ht="30.75" customHeight="1">
      <c r="A26" s="68">
        <v>1110000000</v>
      </c>
      <c r="B26" s="69" t="s">
        <v>128</v>
      </c>
      <c r="C26" s="370">
        <f>C28+C29</f>
        <v>220</v>
      </c>
      <c r="D26" s="370">
        <f>D28+D29</f>
        <v>43.798000000000002</v>
      </c>
      <c r="E26" s="5">
        <f t="shared" si="0"/>
        <v>19.90818181818182</v>
      </c>
      <c r="F26" s="5">
        <f t="shared" si="1"/>
        <v>-176.202</v>
      </c>
    </row>
    <row r="27" spans="1:6">
      <c r="A27" s="16">
        <v>1110502501</v>
      </c>
      <c r="B27" s="17" t="s">
        <v>225</v>
      </c>
      <c r="C27" s="480">
        <v>0</v>
      </c>
      <c r="D27" s="471">
        <v>0</v>
      </c>
      <c r="E27" s="9" t="e">
        <f t="shared" si="0"/>
        <v>#DIV/0!</v>
      </c>
      <c r="F27" s="9">
        <f t="shared" si="1"/>
        <v>0</v>
      </c>
    </row>
    <row r="28" spans="1:6" ht="15.75" customHeight="1">
      <c r="A28" s="16">
        <v>1110502510</v>
      </c>
      <c r="B28" s="17" t="s">
        <v>327</v>
      </c>
      <c r="C28" s="480">
        <v>200</v>
      </c>
      <c r="D28" s="471">
        <v>27.2</v>
      </c>
      <c r="E28" s="9">
        <f t="shared" si="0"/>
        <v>13.600000000000001</v>
      </c>
      <c r="F28" s="9">
        <f t="shared" si="1"/>
        <v>-172.8</v>
      </c>
    </row>
    <row r="29" spans="1:6">
      <c r="A29" s="7">
        <v>1110503000</v>
      </c>
      <c r="B29" s="11" t="s">
        <v>224</v>
      </c>
      <c r="C29" s="480">
        <v>20</v>
      </c>
      <c r="D29" s="471">
        <v>16.597999999999999</v>
      </c>
      <c r="E29" s="9">
        <f>SUM(D29/C29*100)</f>
        <v>82.99</v>
      </c>
      <c r="F29" s="9">
        <f t="shared" si="1"/>
        <v>-3.402000000000001</v>
      </c>
    </row>
    <row r="30" spans="1:6" s="15" customFormat="1" ht="35.25" customHeight="1">
      <c r="A30" s="68">
        <v>1130000000</v>
      </c>
      <c r="B30" s="69" t="s">
        <v>130</v>
      </c>
      <c r="C30" s="370">
        <f>C31</f>
        <v>0</v>
      </c>
      <c r="D30" s="370">
        <f>D31</f>
        <v>101.69578</v>
      </c>
      <c r="E30" s="5" t="e">
        <f t="shared" si="0"/>
        <v>#DIV/0!</v>
      </c>
      <c r="F30" s="5">
        <f t="shared" si="1"/>
        <v>101.69578</v>
      </c>
    </row>
    <row r="31" spans="1:6" ht="18" customHeight="1">
      <c r="A31" s="7">
        <v>1130206005</v>
      </c>
      <c r="B31" s="8" t="s">
        <v>223</v>
      </c>
      <c r="C31" s="473">
        <v>0</v>
      </c>
      <c r="D31" s="471">
        <v>101.69578</v>
      </c>
      <c r="E31" s="9" t="e">
        <f>SUM(D31/C31*100)</f>
        <v>#DIV/0!</v>
      </c>
      <c r="F31" s="9">
        <f t="shared" si="1"/>
        <v>101.69578</v>
      </c>
    </row>
    <row r="32" spans="1:6" ht="17.25" customHeight="1">
      <c r="A32" s="70">
        <v>1140000000</v>
      </c>
      <c r="B32" s="71" t="s">
        <v>131</v>
      </c>
      <c r="C32" s="370">
        <f>C33+C34</f>
        <v>0</v>
      </c>
      <c r="D32" s="370">
        <f>D33+D34</f>
        <v>0</v>
      </c>
      <c r="E32" s="5" t="e">
        <f t="shared" si="0"/>
        <v>#DIV/0!</v>
      </c>
      <c r="F32" s="5">
        <f t="shared" si="1"/>
        <v>0</v>
      </c>
    </row>
    <row r="33" spans="1:7" ht="19.5" customHeight="1">
      <c r="A33" s="16">
        <v>1140200000</v>
      </c>
      <c r="B33" s="18" t="s">
        <v>132</v>
      </c>
      <c r="C33" s="473">
        <v>0</v>
      </c>
      <c r="D33" s="471">
        <v>0</v>
      </c>
      <c r="E33" s="9" t="e">
        <f t="shared" si="0"/>
        <v>#DIV/0!</v>
      </c>
      <c r="F33" s="9">
        <f t="shared" si="1"/>
        <v>0</v>
      </c>
    </row>
    <row r="34" spans="1:7">
      <c r="A34" s="7">
        <v>1140600000</v>
      </c>
      <c r="B34" s="8" t="s">
        <v>222</v>
      </c>
      <c r="C34" s="473">
        <v>0</v>
      </c>
      <c r="D34" s="471">
        <v>0</v>
      </c>
      <c r="E34" s="9" t="e">
        <f t="shared" si="0"/>
        <v>#DIV/0!</v>
      </c>
      <c r="F34" s="9">
        <f t="shared" si="1"/>
        <v>0</v>
      </c>
    </row>
    <row r="35" spans="1:7">
      <c r="A35" s="100">
        <v>1163305010</v>
      </c>
      <c r="B35" s="13" t="s">
        <v>251</v>
      </c>
      <c r="C35" s="370">
        <f>C36</f>
        <v>0</v>
      </c>
      <c r="D35" s="472">
        <f>D36</f>
        <v>0</v>
      </c>
      <c r="E35" s="9" t="e">
        <f t="shared" si="0"/>
        <v>#DIV/0!</v>
      </c>
      <c r="F35" s="9">
        <f t="shared" si="1"/>
        <v>0</v>
      </c>
    </row>
    <row r="36" spans="1:7" ht="47.25">
      <c r="A36" s="7">
        <v>1163305010</v>
      </c>
      <c r="B36" s="8" t="s">
        <v>267</v>
      </c>
      <c r="C36" s="473">
        <v>0</v>
      </c>
      <c r="D36" s="471">
        <v>0</v>
      </c>
      <c r="E36" s="9" t="e">
        <f t="shared" si="0"/>
        <v>#DIV/0!</v>
      </c>
      <c r="F36" s="9">
        <f t="shared" si="1"/>
        <v>0</v>
      </c>
    </row>
    <row r="37" spans="1:7">
      <c r="A37" s="3">
        <v>1170000000</v>
      </c>
      <c r="B37" s="13" t="s">
        <v>134</v>
      </c>
      <c r="C37" s="370">
        <f>C38+C39</f>
        <v>0</v>
      </c>
      <c r="D37" s="370">
        <f>D38+D39</f>
        <v>0</v>
      </c>
      <c r="E37" s="5" t="e">
        <f t="shared" si="0"/>
        <v>#DIV/0!</v>
      </c>
      <c r="F37" s="5">
        <f t="shared" si="1"/>
        <v>0</v>
      </c>
    </row>
    <row r="38" spans="1:7">
      <c r="A38" s="7">
        <v>1170105005</v>
      </c>
      <c r="B38" s="8" t="s">
        <v>17</v>
      </c>
      <c r="C38" s="473">
        <v>0</v>
      </c>
      <c r="D38" s="473"/>
      <c r="E38" s="9" t="e">
        <f t="shared" si="0"/>
        <v>#DIV/0!</v>
      </c>
      <c r="F38" s="9">
        <f t="shared" si="1"/>
        <v>0</v>
      </c>
    </row>
    <row r="39" spans="1:7">
      <c r="A39" s="7">
        <v>1170505005</v>
      </c>
      <c r="B39" s="11" t="s">
        <v>220</v>
      </c>
      <c r="C39" s="473">
        <v>0</v>
      </c>
      <c r="D39" s="471">
        <v>0</v>
      </c>
      <c r="E39" s="9" t="e">
        <f t="shared" si="0"/>
        <v>#DIV/0!</v>
      </c>
      <c r="F39" s="9">
        <f t="shared" si="1"/>
        <v>0</v>
      </c>
    </row>
    <row r="40" spans="1:7" s="6" customFormat="1" ht="19.5" customHeight="1">
      <c r="A40" s="3">
        <v>1000000000</v>
      </c>
      <c r="B40" s="4" t="s">
        <v>18</v>
      </c>
      <c r="C40" s="466">
        <f>SUM(C4,C25)</f>
        <v>3735.44</v>
      </c>
      <c r="D40" s="466">
        <f>D4+D25</f>
        <v>763.93594000000007</v>
      </c>
      <c r="E40" s="5">
        <f t="shared" si="0"/>
        <v>20.45102959758422</v>
      </c>
      <c r="F40" s="5">
        <f t="shared" si="1"/>
        <v>-2971.5040600000002</v>
      </c>
    </row>
    <row r="41" spans="1:7" s="6" customFormat="1" ht="20.25" customHeight="1">
      <c r="A41" s="3">
        <v>2000000000</v>
      </c>
      <c r="B41" s="4" t="s">
        <v>19</v>
      </c>
      <c r="C41" s="474">
        <f>C42+C43+C44+C46+C47+C45+C48</f>
        <v>8320.0083899999991</v>
      </c>
      <c r="D41" s="474">
        <f>D42+D43+D44+D46+D47+D45+D48</f>
        <v>1928.126</v>
      </c>
      <c r="E41" s="5">
        <f t="shared" si="0"/>
        <v>23.174567976607534</v>
      </c>
      <c r="F41" s="5">
        <f t="shared" si="1"/>
        <v>-6391.8823899999988</v>
      </c>
      <c r="G41" s="19"/>
    </row>
    <row r="42" spans="1:7" ht="19.5" customHeight="1">
      <c r="A42" s="16">
        <v>2021000000</v>
      </c>
      <c r="B42" s="17" t="s">
        <v>20</v>
      </c>
      <c r="C42" s="481">
        <v>3003</v>
      </c>
      <c r="D42" s="475">
        <v>1000.8</v>
      </c>
      <c r="E42" s="9">
        <f t="shared" si="0"/>
        <v>33.326673326673323</v>
      </c>
      <c r="F42" s="9">
        <f t="shared" si="1"/>
        <v>-2002.2</v>
      </c>
    </row>
    <row r="43" spans="1:7" ht="27.75" customHeight="1">
      <c r="A43" s="16">
        <v>2021500200</v>
      </c>
      <c r="B43" s="17" t="s">
        <v>231</v>
      </c>
      <c r="C43" s="480">
        <v>0</v>
      </c>
      <c r="D43" s="476">
        <v>0</v>
      </c>
      <c r="E43" s="9" t="e">
        <f t="shared" si="0"/>
        <v>#DIV/0!</v>
      </c>
      <c r="F43" s="9">
        <f t="shared" si="1"/>
        <v>0</v>
      </c>
    </row>
    <row r="44" spans="1:7" ht="21" customHeight="1">
      <c r="A44" s="16">
        <v>2022000000</v>
      </c>
      <c r="B44" s="17" t="s">
        <v>21</v>
      </c>
      <c r="C44" s="480">
        <v>4805.0308999999997</v>
      </c>
      <c r="D44" s="471">
        <v>538.78700000000003</v>
      </c>
      <c r="E44" s="9">
        <f t="shared" si="0"/>
        <v>11.212976798962938</v>
      </c>
      <c r="F44" s="9">
        <f t="shared" si="1"/>
        <v>-4266.2438999999995</v>
      </c>
    </row>
    <row r="45" spans="1:7">
      <c r="A45" s="16">
        <v>2022999910</v>
      </c>
      <c r="B45" s="18" t="s">
        <v>349</v>
      </c>
      <c r="C45" s="480">
        <v>0</v>
      </c>
      <c r="D45" s="471">
        <v>0</v>
      </c>
      <c r="E45" s="9" t="e">
        <f>SUM(D45/C45*100)</f>
        <v>#DIV/0!</v>
      </c>
      <c r="F45" s="9">
        <f>SUM(D45-C45)</f>
        <v>0</v>
      </c>
    </row>
    <row r="46" spans="1:7" ht="21" customHeight="1">
      <c r="A46" s="16">
        <v>2023000000</v>
      </c>
      <c r="B46" s="17" t="s">
        <v>22</v>
      </c>
      <c r="C46" s="480">
        <v>183.01900000000001</v>
      </c>
      <c r="D46" s="477">
        <v>59.548999999999999</v>
      </c>
      <c r="E46" s="9">
        <f t="shared" si="0"/>
        <v>32.53705899387495</v>
      </c>
      <c r="F46" s="9">
        <f t="shared" si="1"/>
        <v>-123.47</v>
      </c>
    </row>
    <row r="47" spans="1:7">
      <c r="A47" s="16">
        <v>2020400000</v>
      </c>
      <c r="B47" s="17" t="s">
        <v>23</v>
      </c>
      <c r="C47" s="480">
        <v>0</v>
      </c>
      <c r="D47" s="478">
        <v>0</v>
      </c>
      <c r="E47" s="9" t="e">
        <f t="shared" si="0"/>
        <v>#DIV/0!</v>
      </c>
      <c r="F47" s="9">
        <f t="shared" si="1"/>
        <v>0</v>
      </c>
    </row>
    <row r="48" spans="1:7" ht="16.5" customHeight="1">
      <c r="A48" s="7">
        <v>2070500010</v>
      </c>
      <c r="B48" s="17" t="s">
        <v>350</v>
      </c>
      <c r="C48" s="480">
        <v>328.95848999999998</v>
      </c>
      <c r="D48" s="478">
        <v>328.99</v>
      </c>
      <c r="E48" s="9">
        <f t="shared" si="0"/>
        <v>100.00957871614744</v>
      </c>
      <c r="F48" s="9">
        <f t="shared" si="1"/>
        <v>3.1510000000025684E-2</v>
      </c>
    </row>
    <row r="49" spans="1:8" ht="47.25" hidden="1">
      <c r="A49" s="16">
        <v>2020900000</v>
      </c>
      <c r="B49" s="18" t="s">
        <v>24</v>
      </c>
      <c r="C49" s="480"/>
      <c r="D49" s="478"/>
      <c r="E49" s="9" t="e">
        <f t="shared" si="0"/>
        <v>#DIV/0!</v>
      </c>
      <c r="F49" s="9">
        <f t="shared" si="1"/>
        <v>0</v>
      </c>
    </row>
    <row r="50" spans="1:8" hidden="1">
      <c r="A50" s="7">
        <v>2190500005</v>
      </c>
      <c r="B50" s="11" t="s">
        <v>25</v>
      </c>
      <c r="C50" s="472">
        <v>0</v>
      </c>
      <c r="D50" s="472"/>
      <c r="E50" s="5"/>
      <c r="F50" s="5">
        <f>SUM(D50-C50)</f>
        <v>0</v>
      </c>
    </row>
    <row r="51" spans="1:8" s="6" customFormat="1" ht="31.5" hidden="1">
      <c r="A51" s="3">
        <v>3000000000</v>
      </c>
      <c r="B51" s="13" t="s">
        <v>26</v>
      </c>
      <c r="C51" s="482">
        <v>0</v>
      </c>
      <c r="D51" s="472">
        <v>0</v>
      </c>
      <c r="E51" s="5" t="e">
        <f t="shared" si="0"/>
        <v>#DIV/0!</v>
      </c>
      <c r="F51" s="5">
        <f t="shared" si="1"/>
        <v>0</v>
      </c>
    </row>
    <row r="52" spans="1:8" s="6" customFormat="1" ht="23.25" customHeight="1">
      <c r="A52" s="3"/>
      <c r="B52" s="4" t="s">
        <v>27</v>
      </c>
      <c r="C52" s="370">
        <f>SUM(C40,C41,C51)</f>
        <v>12055.44839</v>
      </c>
      <c r="D52" s="479">
        <f>D40+D41</f>
        <v>2692.06194</v>
      </c>
      <c r="E52" s="5">
        <f t="shared" si="0"/>
        <v>22.330666209255781</v>
      </c>
      <c r="F52" s="5">
        <f t="shared" si="1"/>
        <v>-9363.38645</v>
      </c>
      <c r="G52" s="94">
        <f>D52-1187.43232</f>
        <v>1504.6296200000002</v>
      </c>
      <c r="H52" s="94"/>
    </row>
    <row r="53" spans="1:8" s="6" customFormat="1">
      <c r="A53" s="3"/>
      <c r="B53" s="21" t="s">
        <v>320</v>
      </c>
      <c r="C53" s="370">
        <f>C52-C101</f>
        <v>-1205.1446799999994</v>
      </c>
      <c r="D53" s="370">
        <f>D52-D101</f>
        <v>-205.89262999999983</v>
      </c>
      <c r="E53" s="22"/>
      <c r="F53" s="22"/>
    </row>
    <row r="54" spans="1:8" ht="32.25" customHeight="1">
      <c r="A54" s="23"/>
      <c r="B54" s="24"/>
      <c r="C54" s="115"/>
      <c r="D54" s="115"/>
      <c r="E54" s="26"/>
      <c r="F54" s="27"/>
    </row>
    <row r="55" spans="1:8" ht="63">
      <c r="A55" s="28" t="s">
        <v>0</v>
      </c>
      <c r="B55" s="28" t="s">
        <v>28</v>
      </c>
      <c r="C55" s="146" t="s">
        <v>411</v>
      </c>
      <c r="D55" s="147" t="s">
        <v>421</v>
      </c>
      <c r="E55" s="72" t="s">
        <v>2</v>
      </c>
      <c r="F55" s="74" t="s">
        <v>3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7.25" customHeight="1">
      <c r="A57" s="30" t="s">
        <v>29</v>
      </c>
      <c r="B57" s="31" t="s">
        <v>30</v>
      </c>
      <c r="C57" s="102">
        <f>C58+C59+C60+C61+C62+C64+C63</f>
        <v>1760.6429999999998</v>
      </c>
      <c r="D57" s="102">
        <f>D58+D59+D60+D61+D62+D64+D63</f>
        <v>548.3820199999999</v>
      </c>
      <c r="E57" s="34">
        <f>SUM(D57/C57*100)</f>
        <v>31.14669015808429</v>
      </c>
      <c r="F57" s="34">
        <f>SUM(D57-C57)</f>
        <v>-1212.26098</v>
      </c>
    </row>
    <row r="58" spans="1:8" s="6" customFormat="1" ht="0.75" hidden="1" customHeight="1">
      <c r="A58" s="35" t="s">
        <v>31</v>
      </c>
      <c r="B58" s="36" t="s">
        <v>32</v>
      </c>
      <c r="C58" s="92"/>
      <c r="D58" s="92"/>
      <c r="E58" s="38"/>
      <c r="F58" s="38"/>
    </row>
    <row r="59" spans="1:8" ht="16.5" customHeight="1">
      <c r="A59" s="35" t="s">
        <v>33</v>
      </c>
      <c r="B59" s="39" t="s">
        <v>34</v>
      </c>
      <c r="C59" s="148">
        <v>1746.6</v>
      </c>
      <c r="D59" s="92">
        <v>539.63951999999995</v>
      </c>
      <c r="E59" s="38">
        <f t="shared" ref="E59:E101" si="3">SUM(D59/C59*100)</f>
        <v>30.896571624871179</v>
      </c>
      <c r="F59" s="38">
        <f t="shared" ref="F59:F101" si="4">SUM(D59-C59)</f>
        <v>-1206.96048</v>
      </c>
    </row>
    <row r="60" spans="1:8" ht="12.75" hidden="1" customHeight="1">
      <c r="A60" s="35" t="s">
        <v>35</v>
      </c>
      <c r="B60" s="39" t="s">
        <v>36</v>
      </c>
      <c r="C60" s="92"/>
      <c r="D60" s="92"/>
      <c r="E60" s="38" t="e">
        <f t="shared" si="3"/>
        <v>#DIV/0!</v>
      </c>
      <c r="F60" s="38">
        <f t="shared" si="4"/>
        <v>0</v>
      </c>
    </row>
    <row r="61" spans="1:8" ht="12.75" hidden="1" customHeight="1">
      <c r="A61" s="35" t="s">
        <v>37</v>
      </c>
      <c r="B61" s="39" t="s">
        <v>38</v>
      </c>
      <c r="C61" s="92"/>
      <c r="D61" s="92"/>
      <c r="E61" s="38" t="e">
        <f t="shared" si="3"/>
        <v>#DIV/0!</v>
      </c>
      <c r="F61" s="38">
        <f t="shared" si="4"/>
        <v>0</v>
      </c>
    </row>
    <row r="62" spans="1:8" ht="16.5" customHeight="1">
      <c r="A62" s="35" t="s">
        <v>39</v>
      </c>
      <c r="B62" s="39" t="s">
        <v>40</v>
      </c>
      <c r="C62" s="92">
        <v>0</v>
      </c>
      <c r="D62" s="92">
        <v>0</v>
      </c>
      <c r="E62" s="38" t="e">
        <f t="shared" si="3"/>
        <v>#DIV/0!</v>
      </c>
      <c r="F62" s="38">
        <f t="shared" si="4"/>
        <v>0</v>
      </c>
    </row>
    <row r="63" spans="1:8" ht="18" customHeight="1">
      <c r="A63" s="35" t="s">
        <v>41</v>
      </c>
      <c r="B63" s="39" t="s">
        <v>42</v>
      </c>
      <c r="C63" s="104">
        <v>5</v>
      </c>
      <c r="D63" s="104">
        <v>0</v>
      </c>
      <c r="E63" s="38">
        <f t="shared" si="3"/>
        <v>0</v>
      </c>
      <c r="F63" s="38">
        <f t="shared" si="4"/>
        <v>-5</v>
      </c>
    </row>
    <row r="64" spans="1:8" ht="18" customHeight="1">
      <c r="A64" s="35" t="s">
        <v>43</v>
      </c>
      <c r="B64" s="39" t="s">
        <v>44</v>
      </c>
      <c r="C64" s="92">
        <v>9.0429999999999993</v>
      </c>
      <c r="D64" s="92">
        <v>8.7424999999999997</v>
      </c>
      <c r="E64" s="38">
        <f t="shared" si="3"/>
        <v>96.676987725312401</v>
      </c>
      <c r="F64" s="38">
        <f t="shared" si="4"/>
        <v>-0.30049999999999955</v>
      </c>
    </row>
    <row r="65" spans="1:7" s="6" customFormat="1" ht="15.75" customHeight="1">
      <c r="A65" s="41" t="s">
        <v>45</v>
      </c>
      <c r="B65" s="42" t="s">
        <v>46</v>
      </c>
      <c r="C65" s="22">
        <f>C66</f>
        <v>179.892</v>
      </c>
      <c r="D65" s="22">
        <f>D66</f>
        <v>55.920349999999999</v>
      </c>
      <c r="E65" s="34">
        <f t="shared" si="3"/>
        <v>31.085512418562249</v>
      </c>
      <c r="F65" s="34">
        <f t="shared" si="4"/>
        <v>-123.97165</v>
      </c>
    </row>
    <row r="66" spans="1:7">
      <c r="A66" s="43" t="s">
        <v>47</v>
      </c>
      <c r="B66" s="44" t="s">
        <v>48</v>
      </c>
      <c r="C66" s="92">
        <v>179.892</v>
      </c>
      <c r="D66" s="92">
        <v>55.920349999999999</v>
      </c>
      <c r="E66" s="38">
        <f t="shared" si="3"/>
        <v>31.085512418562249</v>
      </c>
      <c r="F66" s="38">
        <f t="shared" si="4"/>
        <v>-123.97165</v>
      </c>
    </row>
    <row r="67" spans="1:7" s="6" customFormat="1" ht="20.25" customHeight="1">
      <c r="A67" s="30" t="s">
        <v>49</v>
      </c>
      <c r="B67" s="31" t="s">
        <v>50</v>
      </c>
      <c r="C67" s="410">
        <f>C70+C72+C71</f>
        <v>6.1</v>
      </c>
      <c r="D67" s="410">
        <f>D70+D72</f>
        <v>2.1</v>
      </c>
      <c r="E67" s="34">
        <f t="shared" si="3"/>
        <v>34.426229508196727</v>
      </c>
      <c r="F67" s="34">
        <f t="shared" si="4"/>
        <v>-3.9999999999999996</v>
      </c>
    </row>
    <row r="68" spans="1:7" ht="0.75" hidden="1" customHeight="1">
      <c r="A68" s="35" t="s">
        <v>51</v>
      </c>
      <c r="B68" s="39" t="s">
        <v>52</v>
      </c>
      <c r="C68" s="92"/>
      <c r="D68" s="92"/>
      <c r="E68" s="34" t="e">
        <f t="shared" si="3"/>
        <v>#DIV/0!</v>
      </c>
      <c r="F68" s="34">
        <f t="shared" si="4"/>
        <v>0</v>
      </c>
    </row>
    <row r="69" spans="1:7" ht="16.5" hidden="1" customHeight="1">
      <c r="A69" s="45" t="s">
        <v>53</v>
      </c>
      <c r="B69" s="39" t="s">
        <v>54</v>
      </c>
      <c r="C69" s="92">
        <v>0</v>
      </c>
      <c r="D69" s="92"/>
      <c r="E69" s="34" t="e">
        <f t="shared" si="3"/>
        <v>#DIV/0!</v>
      </c>
      <c r="F69" s="34">
        <f t="shared" si="4"/>
        <v>0</v>
      </c>
    </row>
    <row r="70" spans="1:7" ht="15.75" customHeight="1">
      <c r="A70" s="46" t="s">
        <v>55</v>
      </c>
      <c r="B70" s="47" t="s">
        <v>56</v>
      </c>
      <c r="C70" s="92">
        <v>2</v>
      </c>
      <c r="D70" s="92">
        <v>0</v>
      </c>
      <c r="E70" s="34">
        <f t="shared" si="3"/>
        <v>0</v>
      </c>
      <c r="F70" s="34">
        <f t="shared" si="4"/>
        <v>-2</v>
      </c>
    </row>
    <row r="71" spans="1:7" ht="15.75" customHeight="1">
      <c r="A71" s="46" t="s">
        <v>357</v>
      </c>
      <c r="B71" s="47" t="s">
        <v>358</v>
      </c>
      <c r="C71" s="92">
        <v>2</v>
      </c>
      <c r="D71" s="92">
        <v>0</v>
      </c>
      <c r="E71" s="34">
        <v>0</v>
      </c>
      <c r="F71" s="34">
        <v>0</v>
      </c>
    </row>
    <row r="72" spans="1:7" ht="15" customHeight="1">
      <c r="A72" s="46" t="s">
        <v>218</v>
      </c>
      <c r="B72" s="47" t="s">
        <v>219</v>
      </c>
      <c r="C72" s="92">
        <v>2.1</v>
      </c>
      <c r="D72" s="92">
        <v>2.1</v>
      </c>
      <c r="E72" s="38">
        <f t="shared" si="3"/>
        <v>100</v>
      </c>
      <c r="F72" s="38">
        <f t="shared" si="4"/>
        <v>0</v>
      </c>
    </row>
    <row r="73" spans="1:7" s="6" customFormat="1" ht="17.25" customHeight="1">
      <c r="A73" s="436"/>
      <c r="B73" s="31" t="s">
        <v>58</v>
      </c>
      <c r="C73" s="411">
        <f>C75+C76+C77+C74</f>
        <v>4773.1170399999992</v>
      </c>
      <c r="D73" s="105">
        <f>SUM(D74:D77)</f>
        <v>936.85621000000003</v>
      </c>
      <c r="E73" s="34">
        <f t="shared" si="3"/>
        <v>19.627765297789558</v>
      </c>
      <c r="F73" s="34">
        <f t="shared" si="4"/>
        <v>-3836.2608299999993</v>
      </c>
    </row>
    <row r="74" spans="1:7" ht="15.75" customHeight="1">
      <c r="A74" s="35" t="s">
        <v>59</v>
      </c>
      <c r="B74" s="39" t="s">
        <v>60</v>
      </c>
      <c r="C74" s="106">
        <v>8.0429999999999993</v>
      </c>
      <c r="D74" s="92">
        <v>0</v>
      </c>
      <c r="E74" s="38">
        <f t="shared" si="3"/>
        <v>0</v>
      </c>
      <c r="F74" s="38">
        <f t="shared" si="4"/>
        <v>-8.0429999999999993</v>
      </c>
    </row>
    <row r="75" spans="1:7" s="6" customFormat="1" ht="19.5" customHeight="1">
      <c r="A75" s="35" t="s">
        <v>61</v>
      </c>
      <c r="B75" s="39" t="s">
        <v>62</v>
      </c>
      <c r="C75" s="106">
        <v>1000</v>
      </c>
      <c r="D75" s="92">
        <v>322.59816999999998</v>
      </c>
      <c r="E75" s="38">
        <f t="shared" si="3"/>
        <v>32.259816999999998</v>
      </c>
      <c r="F75" s="38">
        <f t="shared" si="4"/>
        <v>-677.40183000000002</v>
      </c>
      <c r="G75" s="50"/>
    </row>
    <row r="76" spans="1:7">
      <c r="A76" s="35" t="s">
        <v>63</v>
      </c>
      <c r="B76" s="39" t="s">
        <v>64</v>
      </c>
      <c r="C76" s="106">
        <v>3763.07404</v>
      </c>
      <c r="D76" s="92">
        <v>612.25804000000005</v>
      </c>
      <c r="E76" s="38">
        <f t="shared" si="3"/>
        <v>16.270156619081565</v>
      </c>
      <c r="F76" s="38">
        <f t="shared" si="4"/>
        <v>-3150.8159999999998</v>
      </c>
    </row>
    <row r="77" spans="1:7">
      <c r="A77" s="35" t="s">
        <v>65</v>
      </c>
      <c r="B77" s="39" t="s">
        <v>66</v>
      </c>
      <c r="C77" s="106">
        <v>2</v>
      </c>
      <c r="D77" s="92">
        <v>2</v>
      </c>
      <c r="E77" s="38">
        <f t="shared" si="3"/>
        <v>100</v>
      </c>
      <c r="F77" s="38">
        <f t="shared" si="4"/>
        <v>0</v>
      </c>
    </row>
    <row r="78" spans="1:7" s="6" customFormat="1" ht="24" customHeight="1">
      <c r="A78" s="30" t="s">
        <v>67</v>
      </c>
      <c r="B78" s="31" t="s">
        <v>68</v>
      </c>
      <c r="C78" s="22">
        <f>SUM(C79:C82)</f>
        <v>3533.6530299999999</v>
      </c>
      <c r="D78" s="22">
        <f>SUM(D79:D82)</f>
        <v>369.23027000000002</v>
      </c>
      <c r="E78" s="34">
        <f t="shared" si="3"/>
        <v>10.448967877301751</v>
      </c>
      <c r="F78" s="34">
        <f t="shared" si="4"/>
        <v>-3164.4227599999999</v>
      </c>
    </row>
    <row r="79" spans="1:7" ht="2.25" hidden="1" customHeight="1">
      <c r="A79" s="35" t="s">
        <v>69</v>
      </c>
      <c r="B79" s="51" t="s">
        <v>70</v>
      </c>
      <c r="C79" s="92">
        <v>0</v>
      </c>
      <c r="D79" s="92">
        <v>0</v>
      </c>
      <c r="E79" s="38" t="e">
        <f t="shared" si="3"/>
        <v>#DIV/0!</v>
      </c>
      <c r="F79" s="38">
        <f t="shared" si="4"/>
        <v>0</v>
      </c>
    </row>
    <row r="80" spans="1:7" ht="17.25" hidden="1" customHeight="1">
      <c r="A80" s="35" t="s">
        <v>71</v>
      </c>
      <c r="B80" s="51" t="s">
        <v>72</v>
      </c>
      <c r="C80" s="92"/>
      <c r="D80" s="92"/>
      <c r="E80" s="38" t="e">
        <f t="shared" si="3"/>
        <v>#DIV/0!</v>
      </c>
      <c r="F80" s="38">
        <f t="shared" si="4"/>
        <v>0</v>
      </c>
    </row>
    <row r="81" spans="1:6" ht="15" customHeight="1">
      <c r="A81" s="35" t="s">
        <v>73</v>
      </c>
      <c r="B81" s="39" t="s">
        <v>74</v>
      </c>
      <c r="C81" s="92">
        <v>3533.6530299999999</v>
      </c>
      <c r="D81" s="92">
        <v>369.23027000000002</v>
      </c>
      <c r="E81" s="38">
        <f t="shared" si="3"/>
        <v>10.448967877301751</v>
      </c>
      <c r="F81" s="38">
        <f t="shared" si="4"/>
        <v>-3164.4227599999999</v>
      </c>
    </row>
    <row r="82" spans="1:6" ht="18" hidden="1" customHeight="1">
      <c r="A82" s="35" t="s">
        <v>263</v>
      </c>
      <c r="B82" s="39" t="s">
        <v>264</v>
      </c>
      <c r="C82" s="92">
        <v>0</v>
      </c>
      <c r="D82" s="92">
        <v>0</v>
      </c>
      <c r="E82" s="38" t="e">
        <f t="shared" si="3"/>
        <v>#DIV/0!</v>
      </c>
      <c r="F82" s="38">
        <f t="shared" si="4"/>
        <v>0</v>
      </c>
    </row>
    <row r="83" spans="1:6" s="6" customFormat="1" ht="16.5" customHeight="1">
      <c r="A83" s="30" t="s">
        <v>85</v>
      </c>
      <c r="B83" s="31" t="s">
        <v>86</v>
      </c>
      <c r="C83" s="22">
        <f>C84+C85</f>
        <v>2987.1880000000001</v>
      </c>
      <c r="D83" s="22">
        <f>D84+D85</f>
        <v>976.37572</v>
      </c>
      <c r="E83" s="34">
        <f t="shared" si="3"/>
        <v>32.685445977956526</v>
      </c>
      <c r="F83" s="34">
        <f t="shared" si="4"/>
        <v>-2010.8122800000001</v>
      </c>
    </row>
    <row r="84" spans="1:6" ht="14.25" customHeight="1">
      <c r="A84" s="35" t="s">
        <v>87</v>
      </c>
      <c r="B84" s="39" t="s">
        <v>233</v>
      </c>
      <c r="C84" s="92">
        <v>2987.1880000000001</v>
      </c>
      <c r="D84" s="92">
        <v>976.37572</v>
      </c>
      <c r="E84" s="38">
        <f t="shared" si="3"/>
        <v>32.685445977956526</v>
      </c>
      <c r="F84" s="38">
        <f t="shared" si="4"/>
        <v>-2010.8122800000001</v>
      </c>
    </row>
    <row r="85" spans="1:6" ht="14.25" customHeight="1">
      <c r="A85" s="35" t="s">
        <v>272</v>
      </c>
      <c r="B85" s="39" t="s">
        <v>273</v>
      </c>
      <c r="C85" s="92"/>
      <c r="D85" s="92">
        <v>0</v>
      </c>
      <c r="E85" s="38" t="e">
        <f t="shared" si="3"/>
        <v>#DIV/0!</v>
      </c>
      <c r="F85" s="38">
        <f t="shared" si="4"/>
        <v>0</v>
      </c>
    </row>
    <row r="86" spans="1:6" s="6" customFormat="1" ht="15" customHeight="1">
      <c r="A86" s="52">
        <v>1000</v>
      </c>
      <c r="B86" s="31" t="s">
        <v>88</v>
      </c>
      <c r="C86" s="22">
        <f>SUM(C87:C90)</f>
        <v>0</v>
      </c>
      <c r="D86" s="22">
        <f>SUM(D87:D90)</f>
        <v>0</v>
      </c>
      <c r="E86" s="34" t="e">
        <f t="shared" si="3"/>
        <v>#DIV/0!</v>
      </c>
      <c r="F86" s="34">
        <f t="shared" si="4"/>
        <v>0</v>
      </c>
    </row>
    <row r="87" spans="1:6">
      <c r="A87" s="53">
        <v>1001</v>
      </c>
      <c r="B87" s="54" t="s">
        <v>89</v>
      </c>
      <c r="C87" s="92"/>
      <c r="D87" s="92"/>
      <c r="E87" s="34" t="e">
        <f t="shared" si="3"/>
        <v>#DIV/0!</v>
      </c>
      <c r="F87" s="38">
        <f t="shared" si="4"/>
        <v>0</v>
      </c>
    </row>
    <row r="88" spans="1:6" hidden="1">
      <c r="A88" s="53">
        <v>1003</v>
      </c>
      <c r="B88" s="54" t="s">
        <v>90</v>
      </c>
      <c r="C88" s="92">
        <v>0</v>
      </c>
      <c r="D88" s="92">
        <v>0</v>
      </c>
      <c r="E88" s="34" t="e">
        <f t="shared" si="3"/>
        <v>#DIV/0!</v>
      </c>
      <c r="F88" s="38">
        <f t="shared" si="4"/>
        <v>0</v>
      </c>
    </row>
    <row r="89" spans="1:6" hidden="1">
      <c r="A89" s="53">
        <v>1004</v>
      </c>
      <c r="B89" s="54" t="s">
        <v>91</v>
      </c>
      <c r="C89" s="92"/>
      <c r="D89" s="274"/>
      <c r="E89" s="34" t="e">
        <f t="shared" si="3"/>
        <v>#DIV/0!</v>
      </c>
      <c r="F89" s="38">
        <f t="shared" si="4"/>
        <v>0</v>
      </c>
    </row>
    <row r="90" spans="1:6">
      <c r="A90" s="35" t="s">
        <v>92</v>
      </c>
      <c r="B90" s="39" t="s">
        <v>93</v>
      </c>
      <c r="C90" s="92">
        <v>0</v>
      </c>
      <c r="D90" s="92">
        <v>0</v>
      </c>
      <c r="E90" s="38" t="e">
        <f t="shared" si="3"/>
        <v>#DIV/0!</v>
      </c>
      <c r="F90" s="38">
        <f t="shared" si="4"/>
        <v>0</v>
      </c>
    </row>
    <row r="91" spans="1:6" ht="15" customHeight="1">
      <c r="A91" s="30" t="s">
        <v>94</v>
      </c>
      <c r="B91" s="31" t="s">
        <v>95</v>
      </c>
      <c r="C91" s="22">
        <f>C92+C93+C94+C95+C96</f>
        <v>20</v>
      </c>
      <c r="D91" s="22">
        <f>D92+D93+D94+D95+D96</f>
        <v>9.09</v>
      </c>
      <c r="E91" s="34">
        <f t="shared" si="3"/>
        <v>45.45</v>
      </c>
      <c r="F91" s="22">
        <f>F92+F93+F94+F95+F96</f>
        <v>-10.91</v>
      </c>
    </row>
    <row r="92" spans="1:6" ht="15.75" customHeight="1">
      <c r="A92" s="35" t="s">
        <v>96</v>
      </c>
      <c r="B92" s="39" t="s">
        <v>97</v>
      </c>
      <c r="C92" s="92">
        <v>20</v>
      </c>
      <c r="D92" s="92">
        <v>9.09</v>
      </c>
      <c r="E92" s="38">
        <f t="shared" si="3"/>
        <v>45.45</v>
      </c>
      <c r="F92" s="38">
        <f>SUM(D92-C92)</f>
        <v>-10.91</v>
      </c>
    </row>
    <row r="93" spans="1:6" ht="15" hidden="1" customHeight="1">
      <c r="A93" s="35" t="s">
        <v>98</v>
      </c>
      <c r="B93" s="39" t="s">
        <v>99</v>
      </c>
      <c r="C93" s="132"/>
      <c r="D93" s="92"/>
      <c r="E93" s="38" t="e">
        <f t="shared" si="3"/>
        <v>#DIV/0!</v>
      </c>
      <c r="F93" s="38">
        <f>SUM(D93-C93)</f>
        <v>0</v>
      </c>
    </row>
    <row r="94" spans="1:6" ht="15" hidden="1" customHeight="1">
      <c r="A94" s="35" t="s">
        <v>100</v>
      </c>
      <c r="B94" s="39" t="s">
        <v>101</v>
      </c>
      <c r="C94" s="132"/>
      <c r="D94" s="92"/>
      <c r="E94" s="38" t="e">
        <f t="shared" si="3"/>
        <v>#DIV/0!</v>
      </c>
      <c r="F94" s="38"/>
    </row>
    <row r="95" spans="1:6" ht="15" hidden="1" customHeight="1">
      <c r="A95" s="35" t="s">
        <v>102</v>
      </c>
      <c r="B95" s="39" t="s">
        <v>103</v>
      </c>
      <c r="C95" s="132"/>
      <c r="D95" s="92"/>
      <c r="E95" s="38" t="e">
        <f t="shared" si="3"/>
        <v>#DIV/0!</v>
      </c>
      <c r="F95" s="38"/>
    </row>
    <row r="96" spans="1:6" ht="57.75" hidden="1" customHeight="1">
      <c r="A96" s="35" t="s">
        <v>104</v>
      </c>
      <c r="B96" s="39" t="s">
        <v>105</v>
      </c>
      <c r="C96" s="238"/>
      <c r="D96" s="92"/>
      <c r="E96" s="38" t="e">
        <f t="shared" si="3"/>
        <v>#DIV/0!</v>
      </c>
      <c r="F96" s="38"/>
    </row>
    <row r="97" spans="1:7" s="6" customFormat="1" ht="18" hidden="1" customHeight="1">
      <c r="A97" s="52">
        <v>1400</v>
      </c>
      <c r="B97" s="56" t="s">
        <v>114</v>
      </c>
      <c r="C97" s="48"/>
      <c r="D97" s="105"/>
      <c r="E97" s="34" t="e">
        <f t="shared" si="3"/>
        <v>#DIV/0!</v>
      </c>
      <c r="F97" s="34">
        <f t="shared" si="4"/>
        <v>0</v>
      </c>
    </row>
    <row r="98" spans="1:7" ht="16.5" customHeight="1">
      <c r="A98" s="53">
        <v>1401</v>
      </c>
      <c r="B98" s="54" t="s">
        <v>115</v>
      </c>
      <c r="C98" s="106">
        <v>0</v>
      </c>
      <c r="D98" s="92">
        <v>0</v>
      </c>
      <c r="E98" s="38" t="e">
        <f t="shared" si="3"/>
        <v>#DIV/0!</v>
      </c>
      <c r="F98" s="38">
        <f t="shared" si="4"/>
        <v>0</v>
      </c>
    </row>
    <row r="99" spans="1:7" ht="20.25" customHeight="1">
      <c r="A99" s="53">
        <v>1402</v>
      </c>
      <c r="B99" s="54" t="s">
        <v>116</v>
      </c>
      <c r="C99" s="106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7" ht="13.5" customHeight="1">
      <c r="A100" s="53">
        <v>1403</v>
      </c>
      <c r="B100" s="54" t="s">
        <v>117</v>
      </c>
      <c r="C100" s="106">
        <v>0</v>
      </c>
      <c r="D100" s="92">
        <v>0</v>
      </c>
      <c r="E100" s="38" t="e">
        <f t="shared" si="3"/>
        <v>#DIV/0!</v>
      </c>
      <c r="F100" s="38">
        <f t="shared" si="4"/>
        <v>0</v>
      </c>
    </row>
    <row r="101" spans="1:7" s="6" customFormat="1" ht="15" customHeight="1">
      <c r="A101" s="52"/>
      <c r="B101" s="57" t="s">
        <v>118</v>
      </c>
      <c r="C101" s="382">
        <f>C57+C65+C67+C73+C78+C83+C91+C86+C97</f>
        <v>13260.593069999999</v>
      </c>
      <c r="D101" s="382">
        <f>D57+D65+D67+D73+D78+D83+D91+D86+D97</f>
        <v>2897.9545699999999</v>
      </c>
      <c r="E101" s="34">
        <f t="shared" si="3"/>
        <v>21.853883568421725</v>
      </c>
      <c r="F101" s="34">
        <f t="shared" si="4"/>
        <v>-10362.638499999999</v>
      </c>
      <c r="G101" s="94"/>
    </row>
    <row r="102" spans="1:7" ht="5.25" customHeight="1">
      <c r="D102" s="61"/>
    </row>
    <row r="103" spans="1:7" s="65" customFormat="1" ht="12.75">
      <c r="A103" s="63" t="s">
        <v>119</v>
      </c>
      <c r="B103" s="63"/>
      <c r="C103" s="133"/>
      <c r="D103" s="64"/>
    </row>
    <row r="104" spans="1:7" s="65" customFormat="1" ht="12.75">
      <c r="A104" s="66" t="s">
        <v>120</v>
      </c>
      <c r="B104" s="66"/>
      <c r="C104" s="133" t="s">
        <v>121</v>
      </c>
    </row>
  </sheetData>
  <customSheetViews>
    <customSheetView guid="{5BFCA170-DEAE-4D2C-98A0-1E68B427AC01}" showPageBreaks="1" hiddenRows="1" topLeftCell="A53">
      <selection activeCell="C100" sqref="C100"/>
      <pageMargins left="0.75" right="0.75" top="1" bottom="1" header="0.5" footer="0.5"/>
      <pageSetup paperSize="9" scale="46" orientation="portrait" r:id="rId1"/>
      <headerFooter alignWithMargins="0"/>
    </customSheetView>
    <customSheetView guid="{B30CE22D-C12F-4E12-8BB9-3AAE0A6991CC}" scale="70" showPageBreaks="1" printArea="1" hiddenRows="1" view="pageBreakPreview">
      <selection activeCell="G53" sqref="G53"/>
      <pageMargins left="0.74803149606299213" right="0.74803149606299213" top="0.98425196850393704" bottom="0.98425196850393704" header="0.51181102362204722" footer="0.51181102362204722"/>
      <pageSetup paperSize="9" scale="59" orientation="portrait" r:id="rId2"/>
      <headerFooter alignWithMargins="0"/>
    </customSheetView>
    <customSheetView guid="{1A52382B-3765-4E8C-903F-6B8919B7242E}" hiddenRows="1">
      <selection activeCell="C62" sqref="C62"/>
      <pageMargins left="0.75" right="0.75" top="1" bottom="1" header="0.5" footer="0.5"/>
      <pageSetup paperSize="9" scale="46" orientation="portrait" r:id="rId3"/>
      <headerFooter alignWithMargins="0"/>
    </customSheetView>
    <customSheetView guid="{A54C432C-6C68-4B53-A75C-446EB3A61B2B}" scale="70" showPageBreaks="1" hiddenRows="1" view="pageBreakPreview" topLeftCell="A55">
      <selection activeCell="C53" sqref="C53:D53"/>
      <pageMargins left="0.70866141732283472" right="0.70866141732283472" top="0.74803149606299213" bottom="0.74803149606299213" header="0.31496062992125984" footer="0.31496062992125984"/>
      <pageSetup paperSize="9" scale="62" orientation="portrait" r:id="rId4"/>
    </customSheetView>
    <customSheetView guid="{3DCB9AAA-F09C-4EA6-B992-F93E466D374A}" hiddenRows="1" topLeftCell="A52">
      <selection activeCell="B100" sqref="B100"/>
      <pageMargins left="0.75" right="0.75" top="1" bottom="1" header="0.5" footer="0.5"/>
      <pageSetup paperSize="9" scale="46" orientation="portrait" r:id="rId5"/>
      <headerFooter alignWithMargins="0"/>
    </customSheetView>
    <customSheetView guid="{1718F1EE-9F48-4DBE-9531-3B70F9C4A5DD}" scale="70" showPageBreaks="1" hiddenRows="1" view="pageBreakPreview" topLeftCell="A44">
      <selection activeCell="C100" sqref="C100:D100"/>
      <pageMargins left="0.75" right="0.75" top="1" bottom="1" header="0.5" footer="0.5"/>
      <pageSetup paperSize="9" scale="36" orientation="portrait" r:id="rId6"/>
      <headerFooter alignWithMargins="0"/>
    </customSheetView>
    <customSheetView guid="{42584DC0-1D41-4C93-9B38-C388E7B8DAC4}" scale="70" showPageBreaks="1" hiddenRows="1" view="pageBreakPreview" topLeftCell="A42">
      <selection activeCell="C90" sqref="C90"/>
      <pageMargins left="0.74803149606299213" right="0.74803149606299213" top="0.98425196850393704" bottom="0.98425196850393704" header="0.51181102362204722" footer="0.51181102362204722"/>
      <pageSetup paperSize="9" scale="55" orientation="portrait" r:id="rId7"/>
      <headerFooter alignWithMargins="0"/>
    </customSheetView>
    <customSheetView guid="{B31C8DB7-3E78-4144-A6B5-8DE36DE63F0E}" hiddenRows="1" topLeftCell="A33">
      <selection activeCell="D45" sqref="D45"/>
      <pageMargins left="0.75" right="0.75" top="1" bottom="1" header="0.5" footer="0.5"/>
      <pageSetup paperSize="9" scale="46" orientation="portrait" r:id="rId8"/>
      <headerFooter alignWithMargins="0"/>
    </customSheetView>
    <customSheetView guid="{61528DAC-5C4C-48F4-ADE2-8A724B05A086}" scale="70" showPageBreaks="1" printArea="1" hiddenRows="1" view="pageBreakPreview" topLeftCell="A31">
      <selection activeCell="C77" sqref="C77"/>
      <pageMargins left="0.74803149606299213" right="0.74803149606299213" top="0.98425196850393704" bottom="0.98425196850393704" header="0.51181102362204722" footer="0.51181102362204722"/>
      <pageSetup paperSize="9" scale="59" orientation="portrait" r:id="rId9"/>
      <headerFooter alignWithMargins="0"/>
    </customSheetView>
  </customSheetViews>
  <mergeCells count="2">
    <mergeCell ref="A1:F1"/>
    <mergeCell ref="A2:F2"/>
  </mergeCells>
  <phoneticPr fontId="0" type="noConversion"/>
  <pageMargins left="0.75" right="0.75" top="1" bottom="1" header="0.5" footer="0.5"/>
  <pageSetup paperSize="9" scale="46" orientation="portrait" r:id="rId1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H105"/>
  <sheetViews>
    <sheetView view="pageBreakPreview" topLeftCell="A49" zoomScale="89" zoomScaleNormal="100" zoomScaleSheetLayoutView="70" workbookViewId="0">
      <selection activeCell="D76" sqref="D76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5.5703125" style="62" customWidth="1"/>
    <col min="5" max="5" width="10.28515625" style="62" customWidth="1"/>
    <col min="6" max="6" width="16.28515625" style="62" customWidth="1"/>
    <col min="7" max="7" width="15.42578125" style="1" bestFit="1" customWidth="1"/>
    <col min="8" max="8" width="10.5703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30" t="s">
        <v>425</v>
      </c>
      <c r="B1" s="530"/>
      <c r="C1" s="530"/>
      <c r="D1" s="530"/>
      <c r="E1" s="530"/>
      <c r="F1" s="530"/>
    </row>
    <row r="2" spans="1:6">
      <c r="A2" s="530"/>
      <c r="B2" s="530"/>
      <c r="C2" s="530"/>
      <c r="D2" s="530"/>
      <c r="E2" s="530"/>
      <c r="F2" s="530"/>
    </row>
    <row r="3" spans="1:6" ht="63">
      <c r="A3" s="2" t="s">
        <v>0</v>
      </c>
      <c r="B3" s="2" t="s">
        <v>1</v>
      </c>
      <c r="C3" s="72" t="s">
        <v>411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1771.4749999999999</v>
      </c>
      <c r="D4" s="370">
        <f>D5+D12+D14+D17+D7</f>
        <v>319.73599000000002</v>
      </c>
      <c r="E4" s="5">
        <f>SUM(D4/C4*100)</f>
        <v>18.049139276591543</v>
      </c>
      <c r="F4" s="5">
        <f>SUM(D4-C4)</f>
        <v>-1451.7390099999998</v>
      </c>
    </row>
    <row r="5" spans="1:6" s="6" customFormat="1">
      <c r="A5" s="68">
        <v>1010000000</v>
      </c>
      <c r="B5" s="67" t="s">
        <v>5</v>
      </c>
      <c r="C5" s="5">
        <f>C6</f>
        <v>100.23</v>
      </c>
      <c r="D5" s="370">
        <f>D6</f>
        <v>19.418970000000002</v>
      </c>
      <c r="E5" s="5">
        <f t="shared" ref="E5:E52" si="0">SUM(D5/C5*100)</f>
        <v>19.374408859622868</v>
      </c>
      <c r="F5" s="5">
        <f t="shared" ref="F5:F52" si="1">SUM(D5-C5)</f>
        <v>-80.811030000000002</v>
      </c>
    </row>
    <row r="6" spans="1:6">
      <c r="A6" s="7">
        <v>1010200001</v>
      </c>
      <c r="B6" s="8" t="s">
        <v>228</v>
      </c>
      <c r="C6" s="9">
        <v>100.23</v>
      </c>
      <c r="D6" s="471">
        <v>19.418970000000002</v>
      </c>
      <c r="E6" s="9">
        <f t="shared" ref="E6:E11" si="2">SUM(D6/C6*100)</f>
        <v>19.374408859622868</v>
      </c>
      <c r="F6" s="9">
        <f t="shared" si="1"/>
        <v>-80.811030000000002</v>
      </c>
    </row>
    <row r="7" spans="1:6" ht="31.5">
      <c r="A7" s="3">
        <v>1030000000</v>
      </c>
      <c r="B7" s="13" t="s">
        <v>280</v>
      </c>
      <c r="C7" s="340">
        <f>C8+C10+C9</f>
        <v>601.24499999999989</v>
      </c>
      <c r="D7" s="370">
        <f>D8+D10+D9+D11</f>
        <v>232.24712</v>
      </c>
      <c r="E7" s="9">
        <f t="shared" si="2"/>
        <v>38.627700854061167</v>
      </c>
      <c r="F7" s="9">
        <f t="shared" si="1"/>
        <v>-368.9978799999999</v>
      </c>
    </row>
    <row r="8" spans="1:6">
      <c r="A8" s="7">
        <v>1030223001</v>
      </c>
      <c r="B8" s="8" t="s">
        <v>282</v>
      </c>
      <c r="C8" s="9">
        <v>224.26</v>
      </c>
      <c r="D8" s="471">
        <v>104.51903</v>
      </c>
      <c r="E8" s="9">
        <f t="shared" si="2"/>
        <v>46.606184785516817</v>
      </c>
      <c r="F8" s="9">
        <f t="shared" si="1"/>
        <v>-119.74096999999999</v>
      </c>
    </row>
    <row r="9" spans="1:6">
      <c r="A9" s="7">
        <v>1030224001</v>
      </c>
      <c r="B9" s="8" t="s">
        <v>288</v>
      </c>
      <c r="C9" s="9">
        <v>2.4049999999999998</v>
      </c>
      <c r="D9" s="471">
        <v>0.76292000000000004</v>
      </c>
      <c r="E9" s="9">
        <f t="shared" si="2"/>
        <v>31.722245322245328</v>
      </c>
      <c r="F9" s="9">
        <f t="shared" si="1"/>
        <v>-1.6420799999999998</v>
      </c>
    </row>
    <row r="10" spans="1:6">
      <c r="A10" s="7">
        <v>1030225001</v>
      </c>
      <c r="B10" s="8" t="s">
        <v>281</v>
      </c>
      <c r="C10" s="9">
        <v>374.58</v>
      </c>
      <c r="D10" s="471">
        <v>148.56898000000001</v>
      </c>
      <c r="E10" s="9">
        <f t="shared" si="2"/>
        <v>39.662817021731009</v>
      </c>
      <c r="F10" s="9">
        <f t="shared" si="1"/>
        <v>-226.01101999999997</v>
      </c>
    </row>
    <row r="11" spans="1:6">
      <c r="A11" s="7">
        <v>1030226001</v>
      </c>
      <c r="B11" s="8" t="s">
        <v>290</v>
      </c>
      <c r="C11" s="9">
        <v>0</v>
      </c>
      <c r="D11" s="471">
        <v>-21.603809999999999</v>
      </c>
      <c r="E11" s="9" t="e">
        <f t="shared" si="2"/>
        <v>#DIV/0!</v>
      </c>
      <c r="F11" s="9">
        <f t="shared" si="1"/>
        <v>-21.603809999999999</v>
      </c>
    </row>
    <row r="12" spans="1:6" s="6" customFormat="1">
      <c r="A12" s="68">
        <v>1050000000</v>
      </c>
      <c r="B12" s="67" t="s">
        <v>6</v>
      </c>
      <c r="C12" s="5">
        <f>SUM(C13:C13)</f>
        <v>7</v>
      </c>
      <c r="D12" s="370">
        <f>SUM(D13:D13)</f>
        <v>7.8471299999999999</v>
      </c>
      <c r="E12" s="5">
        <f t="shared" si="0"/>
        <v>112.10185714285714</v>
      </c>
      <c r="F12" s="5">
        <f t="shared" si="1"/>
        <v>0.84712999999999994</v>
      </c>
    </row>
    <row r="13" spans="1:6" ht="15.75" customHeight="1">
      <c r="A13" s="7">
        <v>1050300000</v>
      </c>
      <c r="B13" s="11" t="s">
        <v>229</v>
      </c>
      <c r="C13" s="12">
        <v>7</v>
      </c>
      <c r="D13" s="471">
        <v>7.8471299999999999</v>
      </c>
      <c r="E13" s="9">
        <f t="shared" si="0"/>
        <v>112.10185714285714</v>
      </c>
      <c r="F13" s="9">
        <f t="shared" si="1"/>
        <v>0.84712999999999994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1058</v>
      </c>
      <c r="D14" s="370">
        <f>D15+D16</f>
        <v>58.222769999999997</v>
      </c>
      <c r="E14" s="5">
        <f t="shared" si="0"/>
        <v>5.5030973534971643</v>
      </c>
      <c r="F14" s="5">
        <f t="shared" si="1"/>
        <v>-999.77723000000003</v>
      </c>
    </row>
    <row r="15" spans="1:6" s="6" customFormat="1" ht="15.75" customHeight="1">
      <c r="A15" s="7">
        <v>1060100000</v>
      </c>
      <c r="B15" s="11" t="s">
        <v>8</v>
      </c>
      <c r="C15" s="9">
        <v>248</v>
      </c>
      <c r="D15" s="471">
        <v>4.8604000000000003</v>
      </c>
      <c r="E15" s="9">
        <f t="shared" si="0"/>
        <v>1.9598387096774195</v>
      </c>
      <c r="F15" s="9">
        <f>SUM(D15-C15)</f>
        <v>-243.1396</v>
      </c>
    </row>
    <row r="16" spans="1:6" ht="15.75" customHeight="1">
      <c r="A16" s="7">
        <v>1060600000</v>
      </c>
      <c r="B16" s="11" t="s">
        <v>7</v>
      </c>
      <c r="C16" s="9">
        <v>810</v>
      </c>
      <c r="D16" s="471">
        <v>53.362369999999999</v>
      </c>
      <c r="E16" s="9">
        <f t="shared" si="0"/>
        <v>6.5879469135802466</v>
      </c>
      <c r="F16" s="9">
        <f t="shared" si="1"/>
        <v>-756.63762999999994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370">
        <f>D18</f>
        <v>2</v>
      </c>
      <c r="E17" s="5">
        <f t="shared" si="0"/>
        <v>40</v>
      </c>
      <c r="F17" s="5">
        <f t="shared" si="1"/>
        <v>-3</v>
      </c>
    </row>
    <row r="18" spans="1:6" ht="21.75" customHeight="1">
      <c r="A18" s="7">
        <v>1080400001</v>
      </c>
      <c r="B18" s="8" t="s">
        <v>227</v>
      </c>
      <c r="C18" s="9">
        <v>5</v>
      </c>
      <c r="D18" s="471">
        <v>2</v>
      </c>
      <c r="E18" s="9">
        <f t="shared" si="0"/>
        <v>40</v>
      </c>
      <c r="F18" s="9">
        <f t="shared" si="1"/>
        <v>-3</v>
      </c>
    </row>
    <row r="19" spans="1:6" ht="0.75" hidden="1" customHeight="1">
      <c r="A19" s="7">
        <v>1080714001</v>
      </c>
      <c r="B19" s="8" t="s">
        <v>11</v>
      </c>
      <c r="C19" s="9"/>
      <c r="D19" s="471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123</v>
      </c>
      <c r="C20" s="5">
        <f>C21+C22+C23+C24</f>
        <v>0</v>
      </c>
      <c r="D20" s="370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124</v>
      </c>
      <c r="C21" s="5"/>
      <c r="D21" s="472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125</v>
      </c>
      <c r="C22" s="5"/>
      <c r="D22" s="472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5"/>
      <c r="D23" s="472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127</v>
      </c>
      <c r="C24" s="5"/>
      <c r="D24" s="472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C26+C30+C32+C37</f>
        <v>220</v>
      </c>
      <c r="D25" s="370">
        <f>D26+D30+D32+D37+D35</f>
        <v>48.13964</v>
      </c>
      <c r="E25" s="5">
        <f t="shared" si="0"/>
        <v>21.881654545454545</v>
      </c>
      <c r="F25" s="5">
        <f t="shared" si="1"/>
        <v>-171.86036000000001</v>
      </c>
    </row>
    <row r="26" spans="1:6" s="6" customFormat="1" ht="30" customHeight="1">
      <c r="A26" s="68">
        <v>1110000000</v>
      </c>
      <c r="B26" s="69" t="s">
        <v>128</v>
      </c>
      <c r="C26" s="5">
        <f>C27+C28+C29</f>
        <v>220</v>
      </c>
      <c r="D26" s="370">
        <f>D27+D28+D29</f>
        <v>33.440600000000003</v>
      </c>
      <c r="E26" s="5">
        <f t="shared" si="0"/>
        <v>15.200272727272729</v>
      </c>
      <c r="F26" s="5">
        <f t="shared" si="1"/>
        <v>-186.55939999999998</v>
      </c>
    </row>
    <row r="27" spans="1:6">
      <c r="A27" s="16">
        <v>1110501101</v>
      </c>
      <c r="B27" s="17" t="s">
        <v>225</v>
      </c>
      <c r="C27" s="12">
        <v>0</v>
      </c>
      <c r="D27" s="471">
        <v>0</v>
      </c>
      <c r="E27" s="9" t="e">
        <f t="shared" si="0"/>
        <v>#DIV/0!</v>
      </c>
      <c r="F27" s="9">
        <f t="shared" si="1"/>
        <v>0</v>
      </c>
    </row>
    <row r="28" spans="1:6" ht="79.5" customHeight="1">
      <c r="A28" s="16">
        <v>1110502510</v>
      </c>
      <c r="B28" s="18" t="s">
        <v>299</v>
      </c>
      <c r="C28" s="12">
        <v>200</v>
      </c>
      <c r="D28" s="471">
        <v>12.2</v>
      </c>
      <c r="E28" s="9">
        <f t="shared" si="0"/>
        <v>6.1</v>
      </c>
      <c r="F28" s="9">
        <f t="shared" si="1"/>
        <v>-187.8</v>
      </c>
    </row>
    <row r="29" spans="1:6" ht="18" customHeight="1">
      <c r="A29" s="7">
        <v>1110503505</v>
      </c>
      <c r="B29" s="11" t="s">
        <v>224</v>
      </c>
      <c r="C29" s="12">
        <v>20</v>
      </c>
      <c r="D29" s="471">
        <v>21.240600000000001</v>
      </c>
      <c r="E29" s="9">
        <f t="shared" si="0"/>
        <v>106.203</v>
      </c>
      <c r="F29" s="9">
        <f t="shared" si="1"/>
        <v>1.2406000000000006</v>
      </c>
    </row>
    <row r="30" spans="1:6" s="15" customFormat="1" ht="15.75" hidden="1" customHeight="1">
      <c r="A30" s="68">
        <v>1130000000</v>
      </c>
      <c r="B30" s="69" t="s">
        <v>130</v>
      </c>
      <c r="C30" s="5">
        <f>C31</f>
        <v>0</v>
      </c>
      <c r="D30" s="370">
        <f>D31</f>
        <v>14.69904</v>
      </c>
      <c r="E30" s="5" t="e">
        <f t="shared" si="0"/>
        <v>#DIV/0!</v>
      </c>
      <c r="F30" s="5">
        <f t="shared" si="1"/>
        <v>14.69904</v>
      </c>
    </row>
    <row r="31" spans="1:6" hidden="1">
      <c r="A31" s="7">
        <v>1130305005</v>
      </c>
      <c r="B31" s="8" t="s">
        <v>14</v>
      </c>
      <c r="C31" s="9">
        <v>0</v>
      </c>
      <c r="D31" s="471">
        <v>14.69904</v>
      </c>
      <c r="E31" s="9" t="e">
        <f t="shared" si="0"/>
        <v>#DIV/0!</v>
      </c>
      <c r="F31" s="9">
        <f t="shared" si="1"/>
        <v>14.69904</v>
      </c>
    </row>
    <row r="32" spans="1:6" ht="17.25" customHeight="1">
      <c r="A32" s="70">
        <v>1140000000</v>
      </c>
      <c r="B32" s="71" t="s">
        <v>131</v>
      </c>
      <c r="C32" s="5">
        <f>C34</f>
        <v>0</v>
      </c>
      <c r="D32" s="370">
        <f>D33+D34</f>
        <v>0</v>
      </c>
      <c r="E32" s="5" t="e">
        <f t="shared" si="0"/>
        <v>#DIV/0!</v>
      </c>
      <c r="F32" s="5">
        <f t="shared" si="1"/>
        <v>0</v>
      </c>
    </row>
    <row r="33" spans="1:7" hidden="1">
      <c r="A33" s="16">
        <v>1140200000</v>
      </c>
      <c r="B33" s="18" t="s">
        <v>132</v>
      </c>
      <c r="C33" s="9">
        <v>0</v>
      </c>
      <c r="D33" s="471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7">
        <v>1140600000</v>
      </c>
      <c r="B34" s="8" t="s">
        <v>222</v>
      </c>
      <c r="C34" s="9">
        <v>0</v>
      </c>
      <c r="D34" s="471">
        <v>0</v>
      </c>
      <c r="E34" s="9" t="e">
        <f t="shared" si="0"/>
        <v>#DIV/0!</v>
      </c>
      <c r="F34" s="9">
        <f t="shared" si="1"/>
        <v>0</v>
      </c>
    </row>
    <row r="35" spans="1:7" ht="16.5" customHeight="1">
      <c r="A35" s="3">
        <v>1160000000</v>
      </c>
      <c r="B35" s="13" t="s">
        <v>251</v>
      </c>
      <c r="C35" s="5">
        <f>C36</f>
        <v>0</v>
      </c>
      <c r="D35" s="370">
        <f>D36</f>
        <v>0</v>
      </c>
      <c r="E35" s="5" t="e">
        <f t="shared" si="0"/>
        <v>#DIV/0!</v>
      </c>
      <c r="F35" s="5">
        <f t="shared" si="1"/>
        <v>0</v>
      </c>
    </row>
    <row r="36" spans="1:7" ht="52.5" customHeight="1">
      <c r="A36" s="7">
        <v>1169005010</v>
      </c>
      <c r="B36" s="8" t="s">
        <v>322</v>
      </c>
      <c r="C36" s="9">
        <v>0</v>
      </c>
      <c r="D36" s="471">
        <v>0</v>
      </c>
      <c r="E36" s="9" t="e">
        <f t="shared" si="0"/>
        <v>#DIV/0!</v>
      </c>
      <c r="F36" s="9">
        <f t="shared" si="1"/>
        <v>0</v>
      </c>
    </row>
    <row r="37" spans="1:7" ht="18" customHeight="1">
      <c r="A37" s="3">
        <v>1170000000</v>
      </c>
      <c r="B37" s="13" t="s">
        <v>134</v>
      </c>
      <c r="C37" s="5">
        <f>C38+C39</f>
        <v>0</v>
      </c>
      <c r="D37" s="370">
        <f>D38+D39</f>
        <v>0</v>
      </c>
      <c r="E37" s="9" t="e">
        <f t="shared" si="0"/>
        <v>#DIV/0!</v>
      </c>
      <c r="F37" s="5">
        <f t="shared" si="1"/>
        <v>0</v>
      </c>
    </row>
    <row r="38" spans="1:7" ht="15" customHeight="1">
      <c r="A38" s="7">
        <v>1170105005</v>
      </c>
      <c r="B38" s="8" t="s">
        <v>17</v>
      </c>
      <c r="C38" s="9">
        <v>0</v>
      </c>
      <c r="D38" s="473">
        <v>0</v>
      </c>
      <c r="E38" s="9" t="e">
        <f t="shared" si="0"/>
        <v>#DIV/0!</v>
      </c>
      <c r="F38" s="9">
        <f t="shared" si="1"/>
        <v>0</v>
      </c>
    </row>
    <row r="39" spans="1:7" ht="17.25" customHeight="1">
      <c r="A39" s="7">
        <v>1170505005</v>
      </c>
      <c r="B39" s="11" t="s">
        <v>220</v>
      </c>
      <c r="C39" s="9">
        <v>0</v>
      </c>
      <c r="D39" s="471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18</v>
      </c>
      <c r="C40" s="127">
        <f>SUM(C4,C25)</f>
        <v>1991.4749999999999</v>
      </c>
      <c r="D40" s="466">
        <f>D4+D25</f>
        <v>367.87563</v>
      </c>
      <c r="E40" s="5">
        <f t="shared" si="0"/>
        <v>18.472520619139082</v>
      </c>
      <c r="F40" s="5">
        <f t="shared" si="1"/>
        <v>-1623.5993699999999</v>
      </c>
    </row>
    <row r="41" spans="1:7" s="6" customFormat="1">
      <c r="A41" s="3">
        <v>2000000000</v>
      </c>
      <c r="B41" s="4" t="s">
        <v>19</v>
      </c>
      <c r="C41" s="375">
        <f>C42+C44+C46+C47+C48+C49+C43+C45+C51</f>
        <v>7087.7537100000009</v>
      </c>
      <c r="D41" s="370">
        <f>D42+D44+D46+D47+D48+D49+D43+D45+D51</f>
        <v>956.55600000000004</v>
      </c>
      <c r="E41" s="5">
        <f t="shared" si="0"/>
        <v>13.495897842082325</v>
      </c>
      <c r="F41" s="5">
        <f t="shared" si="1"/>
        <v>-6131.1977100000004</v>
      </c>
      <c r="G41" s="19"/>
    </row>
    <row r="42" spans="1:7">
      <c r="A42" s="16">
        <v>2021000000</v>
      </c>
      <c r="B42" s="17" t="s">
        <v>20</v>
      </c>
      <c r="C42" s="401">
        <v>1759.1</v>
      </c>
      <c r="D42" s="476">
        <v>586.36800000000005</v>
      </c>
      <c r="E42" s="9">
        <f t="shared" si="0"/>
        <v>33.333409129668581</v>
      </c>
      <c r="F42" s="9">
        <f t="shared" si="1"/>
        <v>-1172.732</v>
      </c>
    </row>
    <row r="43" spans="1:7">
      <c r="A43" s="16">
        <v>2021500200</v>
      </c>
      <c r="B43" s="17" t="s">
        <v>231</v>
      </c>
      <c r="C43" s="399">
        <v>270</v>
      </c>
      <c r="D43" s="476">
        <v>60</v>
      </c>
      <c r="E43" s="9">
        <f t="shared" si="0"/>
        <v>22.222222222222221</v>
      </c>
      <c r="F43" s="9">
        <f t="shared" si="1"/>
        <v>-210</v>
      </c>
    </row>
    <row r="44" spans="1:7" ht="16.5" customHeight="1">
      <c r="A44" s="16">
        <v>2022000000</v>
      </c>
      <c r="B44" s="17" t="s">
        <v>21</v>
      </c>
      <c r="C44" s="399">
        <v>3964.4985700000002</v>
      </c>
      <c r="D44" s="471">
        <v>220</v>
      </c>
      <c r="E44" s="9">
        <f t="shared" si="0"/>
        <v>5.5492515917340839</v>
      </c>
      <c r="F44" s="9">
        <f t="shared" si="1"/>
        <v>-3744.4985700000002</v>
      </c>
    </row>
    <row r="45" spans="1:7" hidden="1">
      <c r="A45" s="16">
        <v>2022999910</v>
      </c>
      <c r="B45" s="18" t="s">
        <v>349</v>
      </c>
      <c r="C45" s="399"/>
      <c r="D45" s="471">
        <v>0</v>
      </c>
      <c r="E45" s="9" t="e">
        <f>SUM(D45/C45*100)</f>
        <v>#DIV/0!</v>
      </c>
      <c r="F45" s="9">
        <f>SUM(D45-C45)</f>
        <v>0</v>
      </c>
    </row>
    <row r="46" spans="1:7">
      <c r="A46" s="16">
        <v>2023000000</v>
      </c>
      <c r="B46" s="17" t="s">
        <v>22</v>
      </c>
      <c r="C46" s="399">
        <v>181.08199999999999</v>
      </c>
      <c r="D46" s="477">
        <v>59.548999999999999</v>
      </c>
      <c r="E46" s="9">
        <f>SUM(D46/C46*100)</f>
        <v>32.885101777095457</v>
      </c>
      <c r="F46" s="9">
        <f>SUM(D46-C46)</f>
        <v>-121.53299999999999</v>
      </c>
    </row>
    <row r="47" spans="1:7">
      <c r="A47" s="16">
        <v>2024000000</v>
      </c>
      <c r="B47" s="17" t="s">
        <v>23</v>
      </c>
      <c r="C47" s="399">
        <v>641.37527999999998</v>
      </c>
      <c r="D47" s="478">
        <v>0</v>
      </c>
      <c r="E47" s="9">
        <f t="shared" si="0"/>
        <v>0</v>
      </c>
      <c r="F47" s="9">
        <f t="shared" si="1"/>
        <v>-641.37527999999998</v>
      </c>
    </row>
    <row r="48" spans="1:7" ht="47.25">
      <c r="A48" s="16">
        <v>2020900000</v>
      </c>
      <c r="B48" s="18" t="s">
        <v>24</v>
      </c>
      <c r="C48" s="399">
        <v>0</v>
      </c>
      <c r="D48" s="478">
        <v>0</v>
      </c>
      <c r="E48" s="9" t="e">
        <f t="shared" si="0"/>
        <v>#DIV/0!</v>
      </c>
      <c r="F48" s="9">
        <f t="shared" si="1"/>
        <v>0</v>
      </c>
    </row>
    <row r="49" spans="1:8">
      <c r="A49" s="7">
        <v>2190500005</v>
      </c>
      <c r="B49" s="11" t="s">
        <v>25</v>
      </c>
      <c r="C49" s="398">
        <v>0</v>
      </c>
      <c r="D49" s="471">
        <v>0</v>
      </c>
      <c r="E49" s="9" t="e">
        <f t="shared" si="0"/>
        <v>#DIV/0!</v>
      </c>
      <c r="F49" s="9">
        <f>SUM(D49-C49)</f>
        <v>0</v>
      </c>
    </row>
    <row r="50" spans="1:8" s="6" customFormat="1" ht="31.5" hidden="1">
      <c r="A50" s="3">
        <v>3000000000</v>
      </c>
      <c r="B50" s="13" t="s">
        <v>26</v>
      </c>
      <c r="C50" s="402">
        <v>0</v>
      </c>
      <c r="D50" s="472">
        <v>0</v>
      </c>
      <c r="E50" s="5" t="e">
        <f t="shared" si="0"/>
        <v>#DIV/0!</v>
      </c>
      <c r="F50" s="5">
        <f t="shared" si="1"/>
        <v>0</v>
      </c>
    </row>
    <row r="51" spans="1:8" s="6" customFormat="1">
      <c r="A51" s="7">
        <v>2070500010</v>
      </c>
      <c r="B51" s="17" t="s">
        <v>356</v>
      </c>
      <c r="C51" s="399">
        <v>271.69785999999999</v>
      </c>
      <c r="D51" s="471">
        <v>30.638999999999999</v>
      </c>
      <c r="E51" s="9">
        <f t="shared" si="0"/>
        <v>11.276864676078052</v>
      </c>
      <c r="F51" s="9">
        <f t="shared" si="1"/>
        <v>-241.05885999999998</v>
      </c>
    </row>
    <row r="52" spans="1:8" s="6" customFormat="1" ht="23.25" customHeight="1">
      <c r="A52" s="3"/>
      <c r="B52" s="4" t="s">
        <v>27</v>
      </c>
      <c r="C52" s="340">
        <f>C40+C41</f>
        <v>9079.2287100000012</v>
      </c>
      <c r="D52" s="484">
        <f>D40+D41</f>
        <v>1324.43163</v>
      </c>
      <c r="E52" s="5">
        <f t="shared" si="0"/>
        <v>14.587490549073301</v>
      </c>
      <c r="F52" s="5">
        <f t="shared" si="1"/>
        <v>-7754.7970800000012</v>
      </c>
      <c r="G52" s="94"/>
      <c r="H52" s="94"/>
    </row>
    <row r="53" spans="1:8" s="6" customFormat="1">
      <c r="A53" s="3"/>
      <c r="B53" s="21" t="s">
        <v>320</v>
      </c>
      <c r="C53" s="340">
        <f>C52-C101</f>
        <v>-513.93217999999797</v>
      </c>
      <c r="D53" s="370">
        <f>D52-D101</f>
        <v>-185.33789999999999</v>
      </c>
      <c r="E53" s="22"/>
      <c r="F53" s="22"/>
    </row>
    <row r="54" spans="1:8" ht="32.25" customHeight="1">
      <c r="A54" s="23"/>
      <c r="B54" s="24"/>
      <c r="C54" s="245"/>
      <c r="D54" s="25"/>
      <c r="E54" s="26"/>
      <c r="F54" s="27"/>
    </row>
    <row r="55" spans="1:8" ht="63">
      <c r="A55" s="28" t="s">
        <v>0</v>
      </c>
      <c r="B55" s="28" t="s">
        <v>28</v>
      </c>
      <c r="C55" s="72" t="s">
        <v>411</v>
      </c>
      <c r="D55" s="73" t="s">
        <v>419</v>
      </c>
      <c r="E55" s="72" t="s">
        <v>2</v>
      </c>
      <c r="F55" s="74" t="s">
        <v>3</v>
      </c>
    </row>
    <row r="56" spans="1:8">
      <c r="A56" s="8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8" customHeight="1">
      <c r="A57" s="30" t="s">
        <v>29</v>
      </c>
      <c r="B57" s="31" t="s">
        <v>30</v>
      </c>
      <c r="C57" s="460">
        <f>C58+C59+C60+C61+C62+C64+C63</f>
        <v>1256.1510000000001</v>
      </c>
      <c r="D57" s="33">
        <f>D58+D59+D60+D61+D62+D64+D63</f>
        <v>408.29978</v>
      </c>
      <c r="E57" s="34">
        <f>SUM(D57/C57*100)</f>
        <v>32.504036537008687</v>
      </c>
      <c r="F57" s="34">
        <f>SUM(D57-C57)</f>
        <v>-847.85122000000001</v>
      </c>
    </row>
    <row r="58" spans="1:8" s="6" customFormat="1" ht="1.5" customHeight="1">
      <c r="A58" s="35" t="s">
        <v>31</v>
      </c>
      <c r="B58" s="36" t="s">
        <v>32</v>
      </c>
      <c r="C58" s="459">
        <v>0</v>
      </c>
      <c r="D58" s="37">
        <v>0</v>
      </c>
      <c r="E58" s="38" t="e">
        <f>SUM(D58/C58*100)</f>
        <v>#DIV/0!</v>
      </c>
      <c r="F58" s="38">
        <f>SUM(D58-C58)</f>
        <v>0</v>
      </c>
    </row>
    <row r="59" spans="1:8">
      <c r="A59" s="35" t="s">
        <v>33</v>
      </c>
      <c r="B59" s="39" t="s">
        <v>34</v>
      </c>
      <c r="C59" s="459">
        <v>1247.4000000000001</v>
      </c>
      <c r="D59" s="37">
        <v>404.54878000000002</v>
      </c>
      <c r="E59" s="38">
        <f t="shared" ref="E59:E101" si="3">SUM(D59/C59*100)</f>
        <v>32.431359628026293</v>
      </c>
      <c r="F59" s="38">
        <f t="shared" ref="F59:F101" si="4">SUM(D59-C59)</f>
        <v>-842.85122000000001</v>
      </c>
    </row>
    <row r="60" spans="1:8" ht="16.5" hidden="1" customHeight="1">
      <c r="A60" s="35" t="s">
        <v>35</v>
      </c>
      <c r="B60" s="39" t="s">
        <v>36</v>
      </c>
      <c r="C60" s="459"/>
      <c r="D60" s="37"/>
      <c r="E60" s="38"/>
      <c r="F60" s="38">
        <f t="shared" si="4"/>
        <v>0</v>
      </c>
    </row>
    <row r="61" spans="1:8" ht="31.5" hidden="1" customHeight="1">
      <c r="A61" s="35" t="s">
        <v>37</v>
      </c>
      <c r="B61" s="39" t="s">
        <v>38</v>
      </c>
      <c r="C61" s="459"/>
      <c r="D61" s="37"/>
      <c r="E61" s="38" t="e">
        <f t="shared" si="3"/>
        <v>#DIV/0!</v>
      </c>
      <c r="F61" s="38">
        <f t="shared" si="4"/>
        <v>0</v>
      </c>
    </row>
    <row r="62" spans="1:8" ht="17.25" customHeight="1">
      <c r="A62" s="35" t="s">
        <v>39</v>
      </c>
      <c r="B62" s="39" t="s">
        <v>40</v>
      </c>
      <c r="C62" s="459">
        <v>0</v>
      </c>
      <c r="D62" s="37">
        <v>0</v>
      </c>
      <c r="E62" s="38" t="e">
        <f t="shared" si="3"/>
        <v>#DIV/0!</v>
      </c>
      <c r="F62" s="38">
        <f t="shared" si="4"/>
        <v>0</v>
      </c>
    </row>
    <row r="63" spans="1:8" ht="15.75" customHeight="1">
      <c r="A63" s="35" t="s">
        <v>41</v>
      </c>
      <c r="B63" s="39" t="s">
        <v>42</v>
      </c>
      <c r="C63" s="461">
        <v>5</v>
      </c>
      <c r="D63" s="40">
        <v>0</v>
      </c>
      <c r="E63" s="38">
        <f t="shared" si="3"/>
        <v>0</v>
      </c>
      <c r="F63" s="38">
        <f t="shared" si="4"/>
        <v>-5</v>
      </c>
    </row>
    <row r="64" spans="1:8" ht="14.25" customHeight="1">
      <c r="A64" s="35" t="s">
        <v>43</v>
      </c>
      <c r="B64" s="39" t="s">
        <v>44</v>
      </c>
      <c r="C64" s="459">
        <v>3.7509999999999999</v>
      </c>
      <c r="D64" s="37">
        <v>3.7509999999999999</v>
      </c>
      <c r="E64" s="38">
        <f t="shared" si="3"/>
        <v>100</v>
      </c>
      <c r="F64" s="38">
        <f t="shared" si="4"/>
        <v>0</v>
      </c>
    </row>
    <row r="65" spans="1:7" s="6" customFormat="1">
      <c r="A65" s="41" t="s">
        <v>45</v>
      </c>
      <c r="B65" s="42" t="s">
        <v>46</v>
      </c>
      <c r="C65" s="460">
        <f>C66</f>
        <v>179.892</v>
      </c>
      <c r="D65" s="32">
        <f>D66</f>
        <v>59.527000000000001</v>
      </c>
      <c r="E65" s="34">
        <f t="shared" si="3"/>
        <v>33.090409801436422</v>
      </c>
      <c r="F65" s="34">
        <f t="shared" si="4"/>
        <v>-120.36499999999999</v>
      </c>
    </row>
    <row r="66" spans="1:7" ht="15" customHeight="1">
      <c r="A66" s="43" t="s">
        <v>47</v>
      </c>
      <c r="B66" s="44" t="s">
        <v>48</v>
      </c>
      <c r="C66" s="459">
        <v>179.892</v>
      </c>
      <c r="D66" s="37">
        <v>59.527000000000001</v>
      </c>
      <c r="E66" s="38">
        <f t="shared" si="3"/>
        <v>33.090409801436422</v>
      </c>
      <c r="F66" s="38">
        <f t="shared" si="4"/>
        <v>-120.36499999999999</v>
      </c>
    </row>
    <row r="67" spans="1:7" s="6" customFormat="1" ht="18" customHeight="1">
      <c r="A67" s="30" t="s">
        <v>49</v>
      </c>
      <c r="B67" s="31" t="s">
        <v>50</v>
      </c>
      <c r="C67" s="460">
        <f>C70+C71+C72</f>
        <v>6</v>
      </c>
      <c r="D67" s="32">
        <f>D70+D71+D72</f>
        <v>0</v>
      </c>
      <c r="E67" s="34">
        <f t="shared" si="3"/>
        <v>0</v>
      </c>
      <c r="F67" s="34">
        <f t="shared" si="4"/>
        <v>-6</v>
      </c>
    </row>
    <row r="68" spans="1:7" ht="0.75" hidden="1" customHeight="1">
      <c r="A68" s="35" t="s">
        <v>51</v>
      </c>
      <c r="B68" s="39" t="s">
        <v>52</v>
      </c>
      <c r="C68" s="459"/>
      <c r="D68" s="37"/>
      <c r="E68" s="34" t="e">
        <f t="shared" si="3"/>
        <v>#DIV/0!</v>
      </c>
      <c r="F68" s="34">
        <f t="shared" si="4"/>
        <v>0</v>
      </c>
    </row>
    <row r="69" spans="1:7" ht="18" hidden="1" customHeight="1">
      <c r="A69" s="45" t="s">
        <v>53</v>
      </c>
      <c r="B69" s="39" t="s">
        <v>54</v>
      </c>
      <c r="C69" s="459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55</v>
      </c>
      <c r="B70" s="47" t="s">
        <v>56</v>
      </c>
      <c r="C70" s="459">
        <v>2</v>
      </c>
      <c r="D70" s="37">
        <v>0</v>
      </c>
      <c r="E70" s="34">
        <f t="shared" si="3"/>
        <v>0</v>
      </c>
      <c r="F70" s="34">
        <f t="shared" si="4"/>
        <v>-2</v>
      </c>
    </row>
    <row r="71" spans="1:7" ht="17.25" customHeight="1">
      <c r="A71" s="46" t="s">
        <v>218</v>
      </c>
      <c r="B71" s="47" t="s">
        <v>219</v>
      </c>
      <c r="C71" s="459">
        <v>2</v>
      </c>
      <c r="D71" s="37">
        <v>0</v>
      </c>
      <c r="E71" s="38">
        <f t="shared" si="3"/>
        <v>0</v>
      </c>
      <c r="F71" s="38">
        <f t="shared" si="4"/>
        <v>-2</v>
      </c>
    </row>
    <row r="72" spans="1:7" ht="17.25" customHeight="1">
      <c r="A72" s="46" t="s">
        <v>357</v>
      </c>
      <c r="B72" s="47" t="s">
        <v>408</v>
      </c>
      <c r="C72" s="459">
        <v>2</v>
      </c>
      <c r="D72" s="37">
        <v>0</v>
      </c>
      <c r="E72" s="38">
        <f>SUM(D72/C72*100)</f>
        <v>0</v>
      </c>
      <c r="F72" s="38">
        <f>SUM(D72-C72)</f>
        <v>-2</v>
      </c>
    </row>
    <row r="73" spans="1:7" s="6" customFormat="1" ht="19.5" customHeight="1">
      <c r="A73" s="30" t="s">
        <v>57</v>
      </c>
      <c r="B73" s="31" t="s">
        <v>58</v>
      </c>
      <c r="C73" s="411">
        <f>C75+C76+C77+C74</f>
        <v>5933.4492899999996</v>
      </c>
      <c r="D73" s="48">
        <f>SUM(D74:D77)</f>
        <v>250</v>
      </c>
      <c r="E73" s="34">
        <f t="shared" si="3"/>
        <v>4.2134008024866771</v>
      </c>
      <c r="F73" s="34">
        <f t="shared" si="4"/>
        <v>-5683.4492899999996</v>
      </c>
    </row>
    <row r="74" spans="1:7" ht="17.25" customHeight="1">
      <c r="A74" s="35" t="s">
        <v>59</v>
      </c>
      <c r="B74" s="39" t="s">
        <v>60</v>
      </c>
      <c r="C74" s="462">
        <v>2.681</v>
      </c>
      <c r="D74" s="37">
        <v>0</v>
      </c>
      <c r="E74" s="38">
        <f t="shared" si="3"/>
        <v>0</v>
      </c>
      <c r="F74" s="38">
        <f t="shared" si="4"/>
        <v>-2.681</v>
      </c>
    </row>
    <row r="75" spans="1:7" s="6" customFormat="1" ht="17.25" customHeight="1">
      <c r="A75" s="35" t="s">
        <v>61</v>
      </c>
      <c r="B75" s="39" t="s">
        <v>62</v>
      </c>
      <c r="C75" s="462">
        <v>600</v>
      </c>
      <c r="D75" s="37">
        <v>0</v>
      </c>
      <c r="E75" s="38">
        <f t="shared" si="3"/>
        <v>0</v>
      </c>
      <c r="F75" s="38">
        <f t="shared" si="4"/>
        <v>-600</v>
      </c>
      <c r="G75" s="50"/>
    </row>
    <row r="76" spans="1:7" ht="16.5" customHeight="1">
      <c r="A76" s="35" t="s">
        <v>63</v>
      </c>
      <c r="B76" s="39" t="s">
        <v>64</v>
      </c>
      <c r="C76" s="462">
        <v>5250.76829</v>
      </c>
      <c r="D76" s="37">
        <v>250</v>
      </c>
      <c r="E76" s="38">
        <f t="shared" si="3"/>
        <v>4.7612080021912373</v>
      </c>
      <c r="F76" s="38">
        <f t="shared" si="4"/>
        <v>-5000.76829</v>
      </c>
    </row>
    <row r="77" spans="1:7" ht="16.5" customHeight="1">
      <c r="A77" s="35" t="s">
        <v>65</v>
      </c>
      <c r="B77" s="39" t="s">
        <v>66</v>
      </c>
      <c r="C77" s="462">
        <v>80</v>
      </c>
      <c r="D77" s="37">
        <v>0</v>
      </c>
      <c r="E77" s="38">
        <f t="shared" si="3"/>
        <v>0</v>
      </c>
      <c r="F77" s="38">
        <f t="shared" si="4"/>
        <v>-80</v>
      </c>
    </row>
    <row r="78" spans="1:7" ht="15.75" hidden="1" customHeight="1">
      <c r="A78" s="30" t="s">
        <v>49</v>
      </c>
      <c r="B78" s="31" t="s">
        <v>50</v>
      </c>
      <c r="C78" s="411">
        <v>0</v>
      </c>
      <c r="D78" s="37"/>
      <c r="E78" s="38"/>
      <c r="F78" s="38"/>
    </row>
    <row r="79" spans="1:7" ht="15.75" hidden="1" customHeight="1">
      <c r="A79" s="46" t="s">
        <v>218</v>
      </c>
      <c r="B79" s="47" t="s">
        <v>219</v>
      </c>
      <c r="C79" s="462">
        <v>0</v>
      </c>
      <c r="D79" s="37"/>
      <c r="E79" s="38"/>
      <c r="F79" s="38"/>
    </row>
    <row r="80" spans="1:7" s="6" customFormat="1" ht="19.5" customHeight="1">
      <c r="A80" s="30" t="s">
        <v>67</v>
      </c>
      <c r="B80" s="31" t="s">
        <v>68</v>
      </c>
      <c r="C80" s="460">
        <f>SUM(C81:C83)</f>
        <v>368.5686</v>
      </c>
      <c r="D80" s="32">
        <f>SUM(D81:D83)</f>
        <v>150.49757</v>
      </c>
      <c r="E80" s="34">
        <f t="shared" si="3"/>
        <v>40.832987400445944</v>
      </c>
      <c r="F80" s="34">
        <f t="shared" si="4"/>
        <v>-218.07103000000001</v>
      </c>
    </row>
    <row r="81" spans="1:6" hidden="1">
      <c r="A81" s="35" t="s">
        <v>69</v>
      </c>
      <c r="B81" s="51" t="s">
        <v>70</v>
      </c>
      <c r="C81" s="459"/>
      <c r="D81" s="37"/>
      <c r="E81" s="38" t="e">
        <f t="shared" si="3"/>
        <v>#DIV/0!</v>
      </c>
      <c r="F81" s="38">
        <f t="shared" si="4"/>
        <v>0</v>
      </c>
    </row>
    <row r="82" spans="1:6">
      <c r="A82" s="35" t="s">
        <v>71</v>
      </c>
      <c r="B82" s="51" t="s">
        <v>72</v>
      </c>
      <c r="C82" s="459"/>
      <c r="D82" s="37"/>
      <c r="E82" s="38" t="e">
        <f t="shared" si="3"/>
        <v>#DIV/0!</v>
      </c>
      <c r="F82" s="38">
        <f t="shared" si="4"/>
        <v>0</v>
      </c>
    </row>
    <row r="83" spans="1:6" ht="12.75" customHeight="1">
      <c r="A83" s="35" t="s">
        <v>73</v>
      </c>
      <c r="B83" s="39" t="s">
        <v>74</v>
      </c>
      <c r="C83" s="459">
        <v>368.5686</v>
      </c>
      <c r="D83" s="37">
        <v>150.49757</v>
      </c>
      <c r="E83" s="38">
        <f t="shared" si="3"/>
        <v>40.832987400445944</v>
      </c>
      <c r="F83" s="38">
        <f t="shared" si="4"/>
        <v>-218.07103000000001</v>
      </c>
    </row>
    <row r="84" spans="1:6" s="6" customFormat="1" ht="11.25" customHeight="1">
      <c r="A84" s="30" t="s">
        <v>85</v>
      </c>
      <c r="B84" s="31" t="s">
        <v>86</v>
      </c>
      <c r="C84" s="460">
        <f>C85</f>
        <v>1847.1</v>
      </c>
      <c r="D84" s="32">
        <f>SUM(D85)</f>
        <v>641.44518000000005</v>
      </c>
      <c r="E84" s="34">
        <f t="shared" si="3"/>
        <v>34.72714958583726</v>
      </c>
      <c r="F84" s="34">
        <f t="shared" si="4"/>
        <v>-1205.6548199999997</v>
      </c>
    </row>
    <row r="85" spans="1:6" ht="14.25" customHeight="1">
      <c r="A85" s="35" t="s">
        <v>87</v>
      </c>
      <c r="B85" s="39" t="s">
        <v>233</v>
      </c>
      <c r="C85" s="459">
        <v>1847.1</v>
      </c>
      <c r="D85" s="37">
        <v>641.44518000000005</v>
      </c>
      <c r="E85" s="38">
        <f t="shared" si="3"/>
        <v>34.72714958583726</v>
      </c>
      <c r="F85" s="38">
        <f t="shared" si="4"/>
        <v>-1205.6548199999997</v>
      </c>
    </row>
    <row r="86" spans="1:6" s="6" customFormat="1" ht="12" customHeight="1">
      <c r="A86" s="52">
        <v>1000</v>
      </c>
      <c r="B86" s="31" t="s">
        <v>88</v>
      </c>
      <c r="C86" s="460">
        <f>SUM(C87:C90)</f>
        <v>0</v>
      </c>
      <c r="D86" s="32">
        <f>SUM(D87:D90)</f>
        <v>0</v>
      </c>
      <c r="E86" s="34" t="e">
        <f t="shared" si="3"/>
        <v>#DIV/0!</v>
      </c>
      <c r="F86" s="34">
        <f t="shared" si="4"/>
        <v>0</v>
      </c>
    </row>
    <row r="87" spans="1:6" ht="9" customHeight="1">
      <c r="A87" s="53">
        <v>1001</v>
      </c>
      <c r="B87" s="54" t="s">
        <v>89</v>
      </c>
      <c r="C87" s="459"/>
      <c r="D87" s="37"/>
      <c r="E87" s="38" t="e">
        <f t="shared" si="3"/>
        <v>#DIV/0!</v>
      </c>
      <c r="F87" s="38">
        <f t="shared" si="4"/>
        <v>0</v>
      </c>
    </row>
    <row r="88" spans="1:6" ht="12" customHeight="1">
      <c r="A88" s="53">
        <v>1003</v>
      </c>
      <c r="B88" s="54" t="s">
        <v>90</v>
      </c>
      <c r="C88" s="459">
        <v>0</v>
      </c>
      <c r="D88" s="37">
        <v>0</v>
      </c>
      <c r="E88" s="38" t="e">
        <f t="shared" si="3"/>
        <v>#DIV/0!</v>
      </c>
      <c r="F88" s="38">
        <f t="shared" si="4"/>
        <v>0</v>
      </c>
    </row>
    <row r="89" spans="1:6" ht="12.75" customHeight="1">
      <c r="A89" s="53">
        <v>1004</v>
      </c>
      <c r="B89" s="54" t="s">
        <v>91</v>
      </c>
      <c r="C89" s="459">
        <v>0</v>
      </c>
      <c r="D89" s="55">
        <v>0</v>
      </c>
      <c r="E89" s="38" t="e">
        <f t="shared" si="3"/>
        <v>#DIV/0!</v>
      </c>
      <c r="F89" s="38">
        <f t="shared" si="4"/>
        <v>0</v>
      </c>
    </row>
    <row r="90" spans="1:6" ht="19.5" customHeight="1">
      <c r="A90" s="35" t="s">
        <v>92</v>
      </c>
      <c r="B90" s="39" t="s">
        <v>93</v>
      </c>
      <c r="C90" s="459">
        <v>0</v>
      </c>
      <c r="D90" s="37">
        <v>0</v>
      </c>
      <c r="E90" s="38"/>
      <c r="F90" s="38">
        <f t="shared" si="4"/>
        <v>0</v>
      </c>
    </row>
    <row r="91" spans="1:6" ht="15" customHeight="1">
      <c r="A91" s="30" t="s">
        <v>94</v>
      </c>
      <c r="B91" s="31" t="s">
        <v>95</v>
      </c>
      <c r="C91" s="460">
        <f>C92+C93+C94+C95+C96</f>
        <v>2</v>
      </c>
      <c r="D91" s="32">
        <f>D92+D93+D94+D95+D96</f>
        <v>0</v>
      </c>
      <c r="E91" s="38">
        <f t="shared" si="3"/>
        <v>0</v>
      </c>
      <c r="F91" s="22">
        <f>F92+F93+F94+F95+F96</f>
        <v>-2</v>
      </c>
    </row>
    <row r="92" spans="1:6" ht="19.5" customHeight="1">
      <c r="A92" s="35" t="s">
        <v>96</v>
      </c>
      <c r="B92" s="39" t="s">
        <v>97</v>
      </c>
      <c r="C92" s="459">
        <v>2</v>
      </c>
      <c r="D92" s="37">
        <v>0</v>
      </c>
      <c r="E92" s="38">
        <f t="shared" si="3"/>
        <v>0</v>
      </c>
      <c r="F92" s="38">
        <f>SUM(D92-C92)</f>
        <v>-2</v>
      </c>
    </row>
    <row r="93" spans="1:6" ht="15" hidden="1" customHeight="1">
      <c r="A93" s="35" t="s">
        <v>98</v>
      </c>
      <c r="B93" s="39" t="s">
        <v>99</v>
      </c>
      <c r="C93" s="459"/>
      <c r="D93" s="37"/>
      <c r="E93" s="38" t="e">
        <f t="shared" si="3"/>
        <v>#DIV/0!</v>
      </c>
      <c r="F93" s="38">
        <f>SUM(D93-C93)</f>
        <v>0</v>
      </c>
    </row>
    <row r="94" spans="1:6" ht="15" hidden="1" customHeight="1">
      <c r="A94" s="35" t="s">
        <v>100</v>
      </c>
      <c r="B94" s="39" t="s">
        <v>101</v>
      </c>
      <c r="C94" s="459"/>
      <c r="D94" s="37"/>
      <c r="E94" s="38" t="e">
        <f t="shared" si="3"/>
        <v>#DIV/0!</v>
      </c>
      <c r="F94" s="38"/>
    </row>
    <row r="95" spans="1:6" ht="15" hidden="1" customHeight="1">
      <c r="A95" s="35" t="s">
        <v>102</v>
      </c>
      <c r="B95" s="39" t="s">
        <v>103</v>
      </c>
      <c r="C95" s="459"/>
      <c r="D95" s="37"/>
      <c r="E95" s="38" t="e">
        <f t="shared" si="3"/>
        <v>#DIV/0!</v>
      </c>
      <c r="F95" s="38"/>
    </row>
    <row r="96" spans="1:6" ht="57.75" hidden="1" customHeight="1">
      <c r="A96" s="35" t="s">
        <v>104</v>
      </c>
      <c r="B96" s="39" t="s">
        <v>105</v>
      </c>
      <c r="C96" s="459"/>
      <c r="D96" s="238"/>
      <c r="E96" s="38" t="e">
        <f t="shared" si="3"/>
        <v>#DIV/0!</v>
      </c>
      <c r="F96" s="38"/>
    </row>
    <row r="97" spans="1:6" s="6" customFormat="1" ht="15" hidden="1" customHeight="1">
      <c r="A97" s="52">
        <v>1400</v>
      </c>
      <c r="B97" s="56" t="s">
        <v>114</v>
      </c>
      <c r="C97" s="411">
        <f>C98+C99+C100</f>
        <v>0</v>
      </c>
      <c r="D97" s="48">
        <f>SUM(D98:D100)</f>
        <v>0</v>
      </c>
      <c r="E97" s="34" t="e">
        <f t="shared" si="3"/>
        <v>#DIV/0!</v>
      </c>
      <c r="F97" s="34">
        <f t="shared" si="4"/>
        <v>0</v>
      </c>
    </row>
    <row r="98" spans="1:6" ht="16.5" customHeight="1">
      <c r="A98" s="53">
        <v>1401</v>
      </c>
      <c r="B98" s="54" t="s">
        <v>115</v>
      </c>
      <c r="C98" s="459">
        <v>0</v>
      </c>
      <c r="D98" s="92">
        <v>0</v>
      </c>
      <c r="E98" s="38" t="e">
        <f t="shared" si="3"/>
        <v>#DIV/0!</v>
      </c>
      <c r="F98" s="38">
        <f t="shared" si="4"/>
        <v>0</v>
      </c>
    </row>
    <row r="99" spans="1:6" ht="20.25" customHeight="1">
      <c r="A99" s="53">
        <v>1402</v>
      </c>
      <c r="B99" s="54" t="s">
        <v>116</v>
      </c>
      <c r="C99" s="462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6" ht="13.5" customHeight="1">
      <c r="A100" s="53">
        <v>1403</v>
      </c>
      <c r="B100" s="54" t="s">
        <v>117</v>
      </c>
      <c r="C100" s="462">
        <v>0</v>
      </c>
      <c r="D100" s="92">
        <v>0</v>
      </c>
      <c r="E100" s="38" t="e">
        <f t="shared" si="3"/>
        <v>#DIV/0!</v>
      </c>
      <c r="F100" s="38">
        <f t="shared" si="4"/>
        <v>0</v>
      </c>
    </row>
    <row r="101" spans="1:6" s="6" customFormat="1">
      <c r="A101" s="52"/>
      <c r="B101" s="57" t="s">
        <v>118</v>
      </c>
      <c r="C101" s="464">
        <f>C57+C65+C67+C73+C80+C84+C86+C91+C78</f>
        <v>9593.1608899999992</v>
      </c>
      <c r="D101" s="382">
        <f>D57+D65+D67+D73+D80+D84+D91+D86</f>
        <v>1509.76953</v>
      </c>
      <c r="E101" s="34">
        <f t="shared" si="3"/>
        <v>15.737977787632</v>
      </c>
      <c r="F101" s="34">
        <f t="shared" si="4"/>
        <v>-8083.3913599999996</v>
      </c>
    </row>
    <row r="102" spans="1:6" ht="5.25" customHeight="1">
      <c r="C102" s="120"/>
      <c r="D102" s="61"/>
    </row>
    <row r="103" spans="1:6" s="65" customFormat="1" ht="12.75">
      <c r="A103" s="63" t="s">
        <v>119</v>
      </c>
      <c r="B103" s="63"/>
      <c r="C103" s="116"/>
      <c r="D103" s="64"/>
    </row>
    <row r="104" spans="1:6" s="65" customFormat="1" ht="12.75">
      <c r="A104" s="66" t="s">
        <v>120</v>
      </c>
      <c r="B104" s="66"/>
      <c r="C104" s="65" t="s">
        <v>121</v>
      </c>
    </row>
    <row r="105" spans="1:6">
      <c r="C105" s="120"/>
    </row>
  </sheetData>
  <customSheetViews>
    <customSheetView guid="{5BFCA170-DEAE-4D2C-98A0-1E68B427AC01}" scale="89" showPageBreaks="1" printArea="1" hiddenRows="1" view="pageBreakPreview" topLeftCell="A49">
      <selection activeCell="D76" sqref="D76"/>
      <pageMargins left="0.7" right="0.7" top="0.75" bottom="0.75" header="0.3" footer="0.3"/>
      <pageSetup paperSize="9" scale="48" orientation="portrait" r:id="rId1"/>
    </customSheetView>
    <customSheetView guid="{B30CE22D-C12F-4E12-8BB9-3AAE0A6991CC}" scale="70" showPageBreaks="1" printArea="1" hiddenRows="1" view="pageBreakPreview">
      <selection activeCell="D15" sqref="D15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1A52382B-3765-4E8C-903F-6B8919B7242E}" scale="89" showPageBreaks="1" printArea="1" hiddenRows="1" view="pageBreakPreview" topLeftCell="A44">
      <selection activeCell="D76" sqref="D76"/>
      <pageMargins left="0.7" right="0.7" top="0.75" bottom="0.75" header="0.3" footer="0.3"/>
      <pageSetup paperSize="9" scale="48" orientation="portrait" r:id="rId3"/>
    </customSheetView>
    <customSheetView guid="{A54C432C-6C68-4B53-A75C-446EB3A61B2B}" scale="70" showPageBreaks="1" printArea="1" hiddenRows="1" view="pageBreakPreview" topLeftCell="A46">
      <selection activeCell="C72" sqref="C72"/>
      <pageMargins left="0.70866141732283472" right="0.70866141732283472" top="0.74803149606299213" bottom="0.74803149606299213" header="0.31496062992125984" footer="0.31496062992125984"/>
      <pageSetup paperSize="9" scale="63" orientation="portrait" r:id="rId4"/>
    </customSheetView>
    <customSheetView guid="{3DCB9AAA-F09C-4EA6-B992-F93E466D374A}" hiddenRows="1" topLeftCell="A47">
      <selection activeCell="B100" sqref="B100"/>
      <pageMargins left="0.7" right="0.7" top="0.75" bottom="0.75" header="0.3" footer="0.3"/>
      <pageSetup paperSize="9" scale="51" orientation="portrait" r:id="rId5"/>
    </customSheetView>
    <customSheetView guid="{1718F1EE-9F48-4DBE-9531-3B70F9C4A5DD}" scale="70" showPageBreaks="1" printArea="1" hiddenRows="1" view="pageBreakPreview" topLeftCell="A40">
      <selection activeCell="C99" sqref="C99:D99"/>
      <pageMargins left="0.7" right="0.7" top="0.75" bottom="0.75" header="0.3" footer="0.3"/>
      <pageSetup paperSize="9" scale="39" orientation="portrait" r:id="rId6"/>
    </customSheetView>
    <customSheetView guid="{42584DC0-1D41-4C93-9B38-C388E7B8DAC4}" scale="70" showPageBreaks="1" printArea="1" hiddenRows="1" view="pageBreakPreview" topLeftCell="A40">
      <selection activeCell="A51" sqref="A51:B51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B31C8DB7-3E78-4144-A6B5-8DE36DE63F0E}" scale="89" showPageBreaks="1" printArea="1" hiddenRows="1" view="pageBreakPreview">
      <selection activeCell="C12" sqref="C12"/>
      <pageMargins left="0.7" right="0.7" top="0.75" bottom="0.75" header="0.3" footer="0.3"/>
      <pageSetup paperSize="9" scale="47" orientation="portrait" r:id="rId8"/>
    </customSheetView>
    <customSheetView guid="{61528DAC-5C4C-48F4-ADE2-8A724B05A086}" scale="70" showPageBreaks="1" fitToPage="1" printArea="1" hiddenRows="1" view="pageBreakPreview" topLeftCell="A31">
      <selection activeCell="C77" sqref="C77"/>
      <pageMargins left="0.70866141732283472" right="0.70866141732283472" top="0.74803149606299213" bottom="0.74803149606299213" header="0.31496062992125984" footer="0.31496062992125984"/>
      <pageSetup paperSize="9" scale="55" orientation="portrait" r:id="rId9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48" orientation="portrait" r:id="rId1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H102"/>
  <sheetViews>
    <sheetView topLeftCell="A48" zoomScaleNormal="100" zoomScaleSheetLayoutView="70" workbookViewId="0">
      <selection activeCell="C96" sqref="C96"/>
    </sheetView>
  </sheetViews>
  <sheetFormatPr defaultRowHeight="15.75"/>
  <cols>
    <col min="1" max="1" width="14.7109375" style="58" customWidth="1"/>
    <col min="2" max="2" width="57.5703125" style="59" customWidth="1"/>
    <col min="3" max="3" width="17.85546875" style="62" customWidth="1"/>
    <col min="4" max="4" width="16.140625" style="62" customWidth="1"/>
    <col min="5" max="5" width="11" style="62" customWidth="1"/>
    <col min="6" max="6" width="10.85546875" style="62" customWidth="1"/>
    <col min="7" max="7" width="15.42578125" style="1" bestFit="1" customWidth="1"/>
    <col min="8" max="8" width="10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30" t="s">
        <v>430</v>
      </c>
      <c r="B1" s="530"/>
      <c r="C1" s="530"/>
      <c r="D1" s="530"/>
      <c r="E1" s="530"/>
      <c r="F1" s="530"/>
    </row>
    <row r="2" spans="1:6">
      <c r="A2" s="530"/>
      <c r="B2" s="530"/>
      <c r="C2" s="530"/>
      <c r="D2" s="530"/>
      <c r="E2" s="530"/>
      <c r="F2" s="530"/>
    </row>
    <row r="3" spans="1:6" ht="63">
      <c r="A3" s="2" t="s">
        <v>0</v>
      </c>
      <c r="B3" s="2" t="s">
        <v>1</v>
      </c>
      <c r="C3" s="72" t="s">
        <v>411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278">
        <f>C5+C12+C14+C17+C20+C7</f>
        <v>4380.491</v>
      </c>
      <c r="D4" s="278">
        <f>D5+D12+D14+D17+D20+D7</f>
        <v>773.01719000000003</v>
      </c>
      <c r="E4" s="5">
        <f>SUM(D4/C4*100)</f>
        <v>17.646816076097409</v>
      </c>
      <c r="F4" s="5">
        <f>SUM(D4-C4)</f>
        <v>-3607.47381</v>
      </c>
    </row>
    <row r="5" spans="1:6" s="6" customFormat="1">
      <c r="A5" s="68">
        <v>1010000000</v>
      </c>
      <c r="B5" s="67" t="s">
        <v>5</v>
      </c>
      <c r="C5" s="278">
        <f>C6</f>
        <v>452.03100000000001</v>
      </c>
      <c r="D5" s="278">
        <f>D6</f>
        <v>130.15568999999999</v>
      </c>
      <c r="E5" s="5">
        <f t="shared" ref="E5:E50" si="0">SUM(D5/C5*100)</f>
        <v>28.793531859540604</v>
      </c>
      <c r="F5" s="5">
        <f t="shared" ref="F5:F50" si="1">SUM(D5-C5)</f>
        <v>-321.87531000000001</v>
      </c>
    </row>
    <row r="6" spans="1:6">
      <c r="A6" s="7">
        <v>1010200001</v>
      </c>
      <c r="B6" s="8" t="s">
        <v>228</v>
      </c>
      <c r="C6" s="326">
        <v>452.03100000000001</v>
      </c>
      <c r="D6" s="327">
        <v>130.15568999999999</v>
      </c>
      <c r="E6" s="9">
        <f t="shared" ref="E6:E11" si="2">SUM(D6/C6*100)</f>
        <v>28.793531859540604</v>
      </c>
      <c r="F6" s="9">
        <f t="shared" si="1"/>
        <v>-321.87531000000001</v>
      </c>
    </row>
    <row r="7" spans="1:6" ht="31.5">
      <c r="A7" s="3">
        <v>1030000000</v>
      </c>
      <c r="B7" s="13" t="s">
        <v>280</v>
      </c>
      <c r="C7" s="428">
        <f>C8+C10+C9</f>
        <v>715.46</v>
      </c>
      <c r="D7" s="278">
        <f>D8+D10+D9+D11</f>
        <v>276.36574000000002</v>
      </c>
      <c r="E7" s="5">
        <f t="shared" si="2"/>
        <v>38.627699661756068</v>
      </c>
      <c r="F7" s="5">
        <f t="shared" si="1"/>
        <v>-439.09426000000002</v>
      </c>
    </row>
    <row r="8" spans="1:6">
      <c r="A8" s="7">
        <v>1030223001</v>
      </c>
      <c r="B8" s="8" t="s">
        <v>282</v>
      </c>
      <c r="C8" s="326">
        <v>266.87</v>
      </c>
      <c r="D8" s="327">
        <v>124.37385999999999</v>
      </c>
      <c r="E8" s="9">
        <f t="shared" si="2"/>
        <v>46.604661445647686</v>
      </c>
      <c r="F8" s="9">
        <f t="shared" si="1"/>
        <v>-142.49614000000003</v>
      </c>
    </row>
    <row r="9" spans="1:6">
      <c r="A9" s="7">
        <v>1030224001</v>
      </c>
      <c r="B9" s="8" t="s">
        <v>288</v>
      </c>
      <c r="C9" s="326">
        <v>2.86</v>
      </c>
      <c r="D9" s="327">
        <v>0.90786</v>
      </c>
      <c r="E9" s="9">
        <f t="shared" si="2"/>
        <v>31.743356643356645</v>
      </c>
      <c r="F9" s="9">
        <f t="shared" si="1"/>
        <v>-1.95214</v>
      </c>
    </row>
    <row r="10" spans="1:6">
      <c r="A10" s="7">
        <v>1030225001</v>
      </c>
      <c r="B10" s="8" t="s">
        <v>281</v>
      </c>
      <c r="C10" s="326">
        <v>445.73</v>
      </c>
      <c r="D10" s="327">
        <v>176.79175000000001</v>
      </c>
      <c r="E10" s="9">
        <f t="shared" si="2"/>
        <v>39.66341731541516</v>
      </c>
      <c r="F10" s="9">
        <f t="shared" si="1"/>
        <v>-268.93825000000004</v>
      </c>
    </row>
    <row r="11" spans="1:6">
      <c r="A11" s="7">
        <v>1030226001</v>
      </c>
      <c r="B11" s="8" t="s">
        <v>289</v>
      </c>
      <c r="C11" s="326">
        <v>0</v>
      </c>
      <c r="D11" s="325">
        <v>-25.707730000000002</v>
      </c>
      <c r="E11" s="9" t="e">
        <f t="shared" si="2"/>
        <v>#DIV/0!</v>
      </c>
      <c r="F11" s="9">
        <f t="shared" si="1"/>
        <v>-25.707730000000002</v>
      </c>
    </row>
    <row r="12" spans="1:6" s="6" customFormat="1">
      <c r="A12" s="68">
        <v>1050000000</v>
      </c>
      <c r="B12" s="67" t="s">
        <v>6</v>
      </c>
      <c r="C12" s="278">
        <f>SUM(C13:C13)</f>
        <v>50</v>
      </c>
      <c r="D12" s="278">
        <f>D13</f>
        <v>21.569400000000002</v>
      </c>
      <c r="E12" s="5">
        <f t="shared" si="0"/>
        <v>43.138800000000003</v>
      </c>
      <c r="F12" s="5">
        <f t="shared" si="1"/>
        <v>-28.430599999999998</v>
      </c>
    </row>
    <row r="13" spans="1:6" ht="15.75" customHeight="1">
      <c r="A13" s="7">
        <v>1050300000</v>
      </c>
      <c r="B13" s="11" t="s">
        <v>229</v>
      </c>
      <c r="C13" s="328">
        <v>50</v>
      </c>
      <c r="D13" s="327">
        <v>21.569400000000002</v>
      </c>
      <c r="E13" s="9">
        <f t="shared" si="0"/>
        <v>43.138800000000003</v>
      </c>
      <c r="F13" s="9">
        <f t="shared" si="1"/>
        <v>-28.430599999999998</v>
      </c>
    </row>
    <row r="14" spans="1:6" s="6" customFormat="1" ht="15.75" customHeight="1">
      <c r="A14" s="68">
        <v>1060000000</v>
      </c>
      <c r="B14" s="67" t="s">
        <v>135</v>
      </c>
      <c r="C14" s="278">
        <f>C15+C16</f>
        <v>3138</v>
      </c>
      <c r="D14" s="278">
        <f>D15+D16</f>
        <v>336.72636</v>
      </c>
      <c r="E14" s="5">
        <f t="shared" si="0"/>
        <v>10.730604206500956</v>
      </c>
      <c r="F14" s="5">
        <f t="shared" si="1"/>
        <v>-2801.2736399999999</v>
      </c>
    </row>
    <row r="15" spans="1:6" s="6" customFormat="1" ht="15.75" customHeight="1">
      <c r="A15" s="7">
        <v>1060100000</v>
      </c>
      <c r="B15" s="11" t="s">
        <v>8</v>
      </c>
      <c r="C15" s="326">
        <v>338</v>
      </c>
      <c r="D15" s="327">
        <v>32.70673</v>
      </c>
      <c r="E15" s="9">
        <f t="shared" si="0"/>
        <v>9.6765473372781052</v>
      </c>
      <c r="F15" s="9">
        <f>SUM(D15-C15)</f>
        <v>-305.29327000000001</v>
      </c>
    </row>
    <row r="16" spans="1:6" ht="15.75" customHeight="1">
      <c r="A16" s="7">
        <v>1060600000</v>
      </c>
      <c r="B16" s="11" t="s">
        <v>7</v>
      </c>
      <c r="C16" s="326">
        <v>2800</v>
      </c>
      <c r="D16" s="327">
        <v>304.01963000000001</v>
      </c>
      <c r="E16" s="9">
        <f t="shared" si="0"/>
        <v>10.857843928571429</v>
      </c>
      <c r="F16" s="9">
        <f t="shared" si="1"/>
        <v>-2495.9803700000002</v>
      </c>
    </row>
    <row r="17" spans="1:6" s="6" customFormat="1">
      <c r="A17" s="3">
        <v>1080000000</v>
      </c>
      <c r="B17" s="4" t="s">
        <v>10</v>
      </c>
      <c r="C17" s="278">
        <f>C18</f>
        <v>25</v>
      </c>
      <c r="D17" s="278">
        <f>D18</f>
        <v>8.1999999999999993</v>
      </c>
      <c r="E17" s="5">
        <f t="shared" si="0"/>
        <v>32.799999999999997</v>
      </c>
      <c r="F17" s="5">
        <f t="shared" si="1"/>
        <v>-16.8</v>
      </c>
    </row>
    <row r="18" spans="1:6" ht="18" customHeight="1">
      <c r="A18" s="7">
        <v>1080400001</v>
      </c>
      <c r="B18" s="8" t="s">
        <v>227</v>
      </c>
      <c r="C18" s="326">
        <v>25</v>
      </c>
      <c r="D18" s="327">
        <v>8.1999999999999993</v>
      </c>
      <c r="E18" s="9">
        <f t="shared" si="0"/>
        <v>32.799999999999997</v>
      </c>
      <c r="F18" s="9">
        <f t="shared" si="1"/>
        <v>-16.8</v>
      </c>
    </row>
    <row r="19" spans="1:6" ht="47.25" hidden="1" customHeight="1">
      <c r="A19" s="7">
        <v>1080714001</v>
      </c>
      <c r="B19" s="8" t="s">
        <v>11</v>
      </c>
      <c r="C19" s="326"/>
      <c r="D19" s="327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123</v>
      </c>
      <c r="C20" s="278">
        <f>C21+C22+C23+C24</f>
        <v>0</v>
      </c>
      <c r="D20" s="278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124</v>
      </c>
      <c r="C21" s="278"/>
      <c r="D21" s="329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125</v>
      </c>
      <c r="C22" s="278"/>
      <c r="D22" s="329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126</v>
      </c>
      <c r="C23" s="278"/>
      <c r="D23" s="329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127</v>
      </c>
      <c r="C24" s="278"/>
      <c r="D24" s="329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278">
        <f>C26+C29+C31+C36</f>
        <v>40</v>
      </c>
      <c r="D25" s="93">
        <f>D26+D29+D31+D36+D34</f>
        <v>79.634309999999999</v>
      </c>
      <c r="E25" s="5">
        <f t="shared" si="0"/>
        <v>199.08577500000001</v>
      </c>
      <c r="F25" s="5">
        <f t="shared" si="1"/>
        <v>39.634309999999999</v>
      </c>
    </row>
    <row r="26" spans="1:6" s="6" customFormat="1" ht="30" customHeight="1">
      <c r="A26" s="68">
        <v>1110000000</v>
      </c>
      <c r="B26" s="69" t="s">
        <v>128</v>
      </c>
      <c r="C26" s="278">
        <f>C27+C28</f>
        <v>40</v>
      </c>
      <c r="D26" s="93">
        <f>D27+D28</f>
        <v>66.080380000000005</v>
      </c>
      <c r="E26" s="5">
        <f t="shared" si="0"/>
        <v>165.20095000000001</v>
      </c>
      <c r="F26" s="5">
        <f t="shared" si="1"/>
        <v>26.080380000000005</v>
      </c>
    </row>
    <row r="27" spans="1:6" ht="15" customHeight="1">
      <c r="A27" s="16">
        <v>1110502510</v>
      </c>
      <c r="B27" s="17" t="s">
        <v>225</v>
      </c>
      <c r="C27" s="328">
        <v>40</v>
      </c>
      <c r="D27" s="325">
        <v>66.080380000000005</v>
      </c>
      <c r="E27" s="9">
        <f t="shared" si="0"/>
        <v>165.20095000000001</v>
      </c>
      <c r="F27" s="9">
        <f t="shared" si="1"/>
        <v>26.080380000000005</v>
      </c>
    </row>
    <row r="28" spans="1:6" ht="15.75" customHeight="1">
      <c r="A28" s="7">
        <v>1110503505</v>
      </c>
      <c r="B28" s="11" t="s">
        <v>224</v>
      </c>
      <c r="C28" s="328">
        <v>0</v>
      </c>
      <c r="D28" s="327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>
      <c r="A29" s="68">
        <v>1130000000</v>
      </c>
      <c r="B29" s="69" t="s">
        <v>130</v>
      </c>
      <c r="C29" s="278">
        <f>C30</f>
        <v>0</v>
      </c>
      <c r="D29" s="278">
        <f>D30</f>
        <v>13.553929999999999</v>
      </c>
      <c r="E29" s="5" t="e">
        <f t="shared" si="0"/>
        <v>#DIV/0!</v>
      </c>
      <c r="F29" s="5">
        <f t="shared" si="1"/>
        <v>13.553929999999999</v>
      </c>
    </row>
    <row r="30" spans="1:6" ht="17.25" customHeight="1">
      <c r="A30" s="7">
        <v>1130206005</v>
      </c>
      <c r="B30" s="8" t="s">
        <v>223</v>
      </c>
      <c r="C30" s="326">
        <v>0</v>
      </c>
      <c r="D30" s="327">
        <v>13.553929999999999</v>
      </c>
      <c r="E30" s="9" t="e">
        <f t="shared" si="0"/>
        <v>#DIV/0!</v>
      </c>
      <c r="F30" s="9">
        <f t="shared" si="1"/>
        <v>13.553929999999999</v>
      </c>
    </row>
    <row r="31" spans="1:6" ht="28.5">
      <c r="A31" s="70">
        <v>1140000000</v>
      </c>
      <c r="B31" s="71" t="s">
        <v>131</v>
      </c>
      <c r="C31" s="278">
        <f>C32+C33</f>
        <v>0</v>
      </c>
      <c r="D31" s="278">
        <f>D32+D33</f>
        <v>0</v>
      </c>
      <c r="E31" s="5" t="e">
        <f t="shared" si="0"/>
        <v>#DIV/0!</v>
      </c>
      <c r="F31" s="5">
        <f t="shared" si="1"/>
        <v>0</v>
      </c>
    </row>
    <row r="32" spans="1:6">
      <c r="A32" s="16">
        <v>1140200000</v>
      </c>
      <c r="B32" s="18" t="s">
        <v>221</v>
      </c>
      <c r="C32" s="326">
        <v>0</v>
      </c>
      <c r="D32" s="327">
        <v>0</v>
      </c>
      <c r="E32" s="9" t="e">
        <f t="shared" si="0"/>
        <v>#DIV/0!</v>
      </c>
      <c r="F32" s="9">
        <f t="shared" si="1"/>
        <v>0</v>
      </c>
    </row>
    <row r="33" spans="1:7">
      <c r="A33" s="7">
        <v>1140600000</v>
      </c>
      <c r="B33" s="8" t="s">
        <v>222</v>
      </c>
      <c r="C33" s="326">
        <v>0</v>
      </c>
      <c r="D33" s="327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251</v>
      </c>
      <c r="C34" s="278">
        <f>C35</f>
        <v>0</v>
      </c>
      <c r="D34" s="278">
        <f>D35</f>
        <v>0</v>
      </c>
      <c r="E34" s="5" t="e">
        <f>SUM(D34/C34*100)</f>
        <v>#DIV/0!</v>
      </c>
      <c r="F34" s="5">
        <f>SUM(D34-C34)</f>
        <v>0</v>
      </c>
    </row>
    <row r="35" spans="1:7" ht="47.25">
      <c r="A35" s="7">
        <v>1163305010</v>
      </c>
      <c r="B35" s="8" t="s">
        <v>267</v>
      </c>
      <c r="C35" s="326">
        <v>0</v>
      </c>
      <c r="D35" s="327">
        <v>0</v>
      </c>
      <c r="E35" s="9" t="e">
        <f>SUM(D35/C35*100)</f>
        <v>#DIV/0!</v>
      </c>
      <c r="F35" s="9">
        <f>SUM(D35-C35)</f>
        <v>0</v>
      </c>
    </row>
    <row r="36" spans="1:7" ht="16.5" customHeight="1">
      <c r="A36" s="3">
        <v>1170000000</v>
      </c>
      <c r="B36" s="13" t="s">
        <v>134</v>
      </c>
      <c r="C36" s="278">
        <f>C37+C38</f>
        <v>0</v>
      </c>
      <c r="D36" s="93">
        <f>D37</f>
        <v>0</v>
      </c>
      <c r="E36" s="5" t="e">
        <f t="shared" si="0"/>
        <v>#DIV/0!</v>
      </c>
      <c r="F36" s="5">
        <f t="shared" si="1"/>
        <v>0</v>
      </c>
    </row>
    <row r="37" spans="1:7" ht="19.5" customHeight="1">
      <c r="A37" s="7">
        <v>1170105005</v>
      </c>
      <c r="B37" s="8" t="s">
        <v>17</v>
      </c>
      <c r="C37" s="326">
        <f>C38</f>
        <v>0</v>
      </c>
      <c r="D37" s="336">
        <v>0</v>
      </c>
      <c r="E37" s="9" t="e">
        <f t="shared" si="0"/>
        <v>#DIV/0!</v>
      </c>
      <c r="F37" s="9">
        <f t="shared" si="1"/>
        <v>0</v>
      </c>
    </row>
    <row r="38" spans="1:7" ht="17.25" customHeight="1">
      <c r="A38" s="7">
        <v>1170505005</v>
      </c>
      <c r="B38" s="11" t="s">
        <v>220</v>
      </c>
      <c r="C38" s="326">
        <v>0</v>
      </c>
      <c r="D38" s="327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18</v>
      </c>
      <c r="C39" s="330">
        <f>SUM(C4,C25)</f>
        <v>4420.491</v>
      </c>
      <c r="D39" s="330">
        <f>D4+D25</f>
        <v>852.65150000000006</v>
      </c>
      <c r="E39" s="5">
        <f t="shared" si="0"/>
        <v>19.288615223964943</v>
      </c>
      <c r="F39" s="5">
        <f t="shared" si="1"/>
        <v>-3567.8395</v>
      </c>
    </row>
    <row r="40" spans="1:7" s="6" customFormat="1">
      <c r="A40" s="3">
        <v>2000000000</v>
      </c>
      <c r="B40" s="4" t="s">
        <v>19</v>
      </c>
      <c r="C40" s="383">
        <f>C41+C43+C45+C46+C47+C48+C42+C44</f>
        <v>4258.9895800000004</v>
      </c>
      <c r="D40" s="278">
        <f>D41+D43+D45+D46+D47+D48+D42</f>
        <v>788.05099999999993</v>
      </c>
      <c r="E40" s="5">
        <f t="shared" si="0"/>
        <v>18.503238507571083</v>
      </c>
      <c r="F40" s="5">
        <f t="shared" si="1"/>
        <v>-3470.9385800000005</v>
      </c>
      <c r="G40" s="19"/>
    </row>
    <row r="41" spans="1:7">
      <c r="A41" s="16">
        <v>2021000000</v>
      </c>
      <c r="B41" s="17" t="s">
        <v>20</v>
      </c>
      <c r="C41" s="331">
        <v>1101.0999999999999</v>
      </c>
      <c r="D41" s="332">
        <v>367.03199999999998</v>
      </c>
      <c r="E41" s="9">
        <f t="shared" si="0"/>
        <v>33.333212242303148</v>
      </c>
      <c r="F41" s="9">
        <f t="shared" si="1"/>
        <v>-734.06799999999998</v>
      </c>
    </row>
    <row r="42" spans="1:7" ht="17.25" customHeight="1">
      <c r="A42" s="16">
        <v>2021500200</v>
      </c>
      <c r="B42" s="17" t="s">
        <v>231</v>
      </c>
      <c r="C42" s="331">
        <v>0</v>
      </c>
      <c r="D42" s="332">
        <v>0</v>
      </c>
      <c r="E42" s="9" t="e">
        <f>SUM(D42/C42*100)</f>
        <v>#DIV/0!</v>
      </c>
      <c r="F42" s="9">
        <f>SUM(D42-C42)</f>
        <v>0</v>
      </c>
    </row>
    <row r="43" spans="1:7" ht="15.75" customHeight="1">
      <c r="A43" s="16">
        <v>2022000000</v>
      </c>
      <c r="B43" s="17" t="s">
        <v>21</v>
      </c>
      <c r="C43" s="331">
        <v>2973.0091900000002</v>
      </c>
      <c r="D43" s="327">
        <v>361.47</v>
      </c>
      <c r="E43" s="9">
        <f t="shared" si="0"/>
        <v>12.158388249045405</v>
      </c>
      <c r="F43" s="9">
        <f t="shared" si="1"/>
        <v>-2611.5391900000004</v>
      </c>
    </row>
    <row r="44" spans="1:7" ht="0.75" hidden="1" customHeight="1">
      <c r="A44" s="16">
        <v>2022999910</v>
      </c>
      <c r="B44" s="18" t="s">
        <v>349</v>
      </c>
      <c r="C44" s="331">
        <v>0</v>
      </c>
      <c r="D44" s="327">
        <v>0</v>
      </c>
      <c r="E44" s="9" t="e">
        <f>SUM(D44/C44*100)</f>
        <v>#DIV/0!</v>
      </c>
      <c r="F44" s="9">
        <f>SUM(D44-C44)</f>
        <v>0</v>
      </c>
    </row>
    <row r="45" spans="1:7" ht="15.75" customHeight="1">
      <c r="A45" s="16">
        <v>2023000000</v>
      </c>
      <c r="B45" s="17" t="s">
        <v>22</v>
      </c>
      <c r="C45" s="328">
        <v>182.38900000000001</v>
      </c>
      <c r="D45" s="333">
        <v>59.548999999999999</v>
      </c>
      <c r="E45" s="9">
        <f t="shared" si="0"/>
        <v>32.649447060952141</v>
      </c>
      <c r="F45" s="9">
        <f t="shared" si="1"/>
        <v>-122.84</v>
      </c>
    </row>
    <row r="46" spans="1:7" ht="12.75" customHeight="1">
      <c r="A46" s="16">
        <v>2020400000</v>
      </c>
      <c r="B46" s="17" t="s">
        <v>23</v>
      </c>
      <c r="C46" s="328"/>
      <c r="D46" s="334"/>
      <c r="E46" s="9" t="e">
        <f t="shared" si="0"/>
        <v>#DIV/0!</v>
      </c>
      <c r="F46" s="9">
        <f t="shared" si="1"/>
        <v>0</v>
      </c>
    </row>
    <row r="47" spans="1:7" ht="17.25" customHeight="1">
      <c r="A47" s="7">
        <v>2070500010</v>
      </c>
      <c r="B47" s="17" t="s">
        <v>356</v>
      </c>
      <c r="C47" s="328">
        <v>2.49139</v>
      </c>
      <c r="D47" s="334">
        <v>0</v>
      </c>
      <c r="E47" s="9">
        <f t="shared" si="0"/>
        <v>0</v>
      </c>
      <c r="F47" s="9">
        <f t="shared" si="1"/>
        <v>-2.49139</v>
      </c>
    </row>
    <row r="48" spans="1:7" ht="21" customHeight="1">
      <c r="A48" s="7">
        <v>2190500005</v>
      </c>
      <c r="B48" s="11" t="s">
        <v>25</v>
      </c>
      <c r="C48" s="329"/>
      <c r="D48" s="329"/>
      <c r="E48" s="5"/>
      <c r="F48" s="5">
        <f>SUM(D48-C48)</f>
        <v>0</v>
      </c>
    </row>
    <row r="49" spans="1:8" s="6" customFormat="1" ht="17.25" customHeight="1">
      <c r="A49" s="3">
        <v>3000000000</v>
      </c>
      <c r="B49" s="13" t="s">
        <v>26</v>
      </c>
      <c r="C49" s="335">
        <v>0</v>
      </c>
      <c r="D49" s="329">
        <v>0</v>
      </c>
      <c r="E49" s="5" t="e">
        <f t="shared" si="0"/>
        <v>#DIV/0!</v>
      </c>
      <c r="F49" s="5">
        <f t="shared" si="1"/>
        <v>0</v>
      </c>
    </row>
    <row r="50" spans="1:8" s="6" customFormat="1" ht="18" customHeight="1">
      <c r="A50" s="3"/>
      <c r="B50" s="4" t="s">
        <v>27</v>
      </c>
      <c r="C50" s="371">
        <f>C39+C40</f>
        <v>8679.4805799999995</v>
      </c>
      <c r="D50" s="369">
        <f>D39+D40</f>
        <v>1640.7024999999999</v>
      </c>
      <c r="E50" s="278">
        <f t="shared" si="0"/>
        <v>18.903233723232781</v>
      </c>
      <c r="F50" s="93">
        <f t="shared" si="1"/>
        <v>-7038.77808</v>
      </c>
      <c r="G50" s="151"/>
      <c r="H50" s="291"/>
    </row>
    <row r="51" spans="1:8" s="6" customFormat="1">
      <c r="A51" s="3"/>
      <c r="B51" s="21" t="s">
        <v>320</v>
      </c>
      <c r="C51" s="93">
        <f>C50-C97</f>
        <v>-906.38555000000088</v>
      </c>
      <c r="D51" s="93">
        <f>D50-D97</f>
        <v>-760.58545000000004</v>
      </c>
      <c r="E51" s="32"/>
      <c r="F51" s="32"/>
    </row>
    <row r="52" spans="1:8">
      <c r="A52" s="23"/>
      <c r="B52" s="24"/>
      <c r="C52" s="323"/>
      <c r="D52" s="323"/>
      <c r="E52" s="26"/>
      <c r="F52" s="27"/>
    </row>
    <row r="53" spans="1:8" ht="45.75" customHeight="1">
      <c r="A53" s="28" t="s">
        <v>0</v>
      </c>
      <c r="B53" s="28" t="s">
        <v>28</v>
      </c>
      <c r="C53" s="241" t="s">
        <v>411</v>
      </c>
      <c r="D53" s="242" t="s">
        <v>419</v>
      </c>
      <c r="E53" s="72" t="s">
        <v>2</v>
      </c>
      <c r="F53" s="74" t="s">
        <v>3</v>
      </c>
    </row>
    <row r="54" spans="1:8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8" s="6" customFormat="1" ht="29.25" customHeight="1">
      <c r="A55" s="30" t="s">
        <v>29</v>
      </c>
      <c r="B55" s="31" t="s">
        <v>30</v>
      </c>
      <c r="C55" s="32">
        <f>C56+C57+C58+C59+C60+C62+C61</f>
        <v>1642.1209999999999</v>
      </c>
      <c r="D55" s="32">
        <f>D56+D57+D58+D59+D60+D62+D61</f>
        <v>520.90062999999998</v>
      </c>
      <c r="E55" s="34">
        <f>SUM(D55/C55*100)</f>
        <v>31.721208729441987</v>
      </c>
      <c r="F55" s="34">
        <f>SUM(D55-C55)</f>
        <v>-1121.22037</v>
      </c>
    </row>
    <row r="56" spans="1:8" s="6" customFormat="1" ht="31.5" hidden="1">
      <c r="A56" s="35" t="s">
        <v>31</v>
      </c>
      <c r="B56" s="36" t="s">
        <v>32</v>
      </c>
      <c r="C56" s="37"/>
      <c r="D56" s="37"/>
      <c r="E56" s="38"/>
      <c r="F56" s="38"/>
    </row>
    <row r="57" spans="1:8" ht="15.75" customHeight="1">
      <c r="A57" s="35" t="s">
        <v>33</v>
      </c>
      <c r="B57" s="39" t="s">
        <v>34</v>
      </c>
      <c r="C57" s="37">
        <v>1582.0709999999999</v>
      </c>
      <c r="D57" s="37">
        <v>465.85063000000002</v>
      </c>
      <c r="E57" s="38">
        <f t="shared" ref="E57:E69" si="3">SUM(D57/C57*100)</f>
        <v>29.445620961385426</v>
      </c>
      <c r="F57" s="38">
        <f t="shared" ref="F57:F69" si="4">SUM(D57-C57)</f>
        <v>-1116.22037</v>
      </c>
    </row>
    <row r="58" spans="1:8" ht="0.75" hidden="1" customHeight="1">
      <c r="A58" s="35" t="s">
        <v>35</v>
      </c>
      <c r="B58" s="39" t="s">
        <v>36</v>
      </c>
      <c r="C58" s="37"/>
      <c r="D58" s="37"/>
      <c r="E58" s="38"/>
      <c r="F58" s="38">
        <f t="shared" si="4"/>
        <v>0</v>
      </c>
    </row>
    <row r="59" spans="1:8" ht="31.5" hidden="1" customHeight="1">
      <c r="A59" s="35" t="s">
        <v>37</v>
      </c>
      <c r="B59" s="39" t="s">
        <v>38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8" ht="17.25" customHeight="1">
      <c r="A60" s="35" t="s">
        <v>39</v>
      </c>
      <c r="B60" s="39" t="s">
        <v>40</v>
      </c>
      <c r="C60" s="37">
        <v>0</v>
      </c>
      <c r="D60" s="37">
        <v>0</v>
      </c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41</v>
      </c>
      <c r="B61" s="39" t="s">
        <v>42</v>
      </c>
      <c r="C61" s="37">
        <v>5</v>
      </c>
      <c r="D61" s="32">
        <v>0</v>
      </c>
      <c r="E61" s="38">
        <f t="shared" si="3"/>
        <v>0</v>
      </c>
      <c r="F61" s="38">
        <f t="shared" si="4"/>
        <v>-5</v>
      </c>
    </row>
    <row r="62" spans="1:8" ht="15" customHeight="1">
      <c r="A62" s="35" t="s">
        <v>43</v>
      </c>
      <c r="B62" s="39" t="s">
        <v>44</v>
      </c>
      <c r="C62" s="37">
        <v>55.05</v>
      </c>
      <c r="D62" s="37">
        <v>55.05</v>
      </c>
      <c r="E62" s="38">
        <f t="shared" si="3"/>
        <v>100</v>
      </c>
      <c r="F62" s="38">
        <f t="shared" si="4"/>
        <v>0</v>
      </c>
    </row>
    <row r="63" spans="1:8" s="6" customFormat="1">
      <c r="A63" s="41" t="s">
        <v>45</v>
      </c>
      <c r="B63" s="42" t="s">
        <v>46</v>
      </c>
      <c r="C63" s="32">
        <f>C64</f>
        <v>179.892</v>
      </c>
      <c r="D63" s="32">
        <f>D64</f>
        <v>59.5456</v>
      </c>
      <c r="E63" s="34">
        <f t="shared" si="3"/>
        <v>33.100749338491987</v>
      </c>
      <c r="F63" s="34">
        <f t="shared" si="4"/>
        <v>-120.34639999999999</v>
      </c>
    </row>
    <row r="64" spans="1:8">
      <c r="A64" s="43" t="s">
        <v>47</v>
      </c>
      <c r="B64" s="44" t="s">
        <v>48</v>
      </c>
      <c r="C64" s="37">
        <v>179.892</v>
      </c>
      <c r="D64" s="37">
        <v>59.5456</v>
      </c>
      <c r="E64" s="38">
        <f t="shared" si="3"/>
        <v>33.100749338491987</v>
      </c>
      <c r="F64" s="38">
        <f t="shared" si="4"/>
        <v>-120.34639999999999</v>
      </c>
    </row>
    <row r="65" spans="1:7" s="6" customFormat="1" ht="15.75" customHeight="1">
      <c r="A65" s="30" t="s">
        <v>49</v>
      </c>
      <c r="B65" s="31" t="s">
        <v>50</v>
      </c>
      <c r="C65" s="32">
        <f>C68+C69+C70</f>
        <v>6</v>
      </c>
      <c r="D65" s="32">
        <f>D68+D69</f>
        <v>0.6</v>
      </c>
      <c r="E65" s="34">
        <f t="shared" si="3"/>
        <v>10</v>
      </c>
      <c r="F65" s="34">
        <f t="shared" si="4"/>
        <v>-5.4</v>
      </c>
    </row>
    <row r="66" spans="1:7" hidden="1">
      <c r="A66" s="35" t="s">
        <v>51</v>
      </c>
      <c r="B66" s="39" t="s">
        <v>52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 hidden="1">
      <c r="A67" s="45" t="s">
        <v>53</v>
      </c>
      <c r="B67" s="39" t="s">
        <v>54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t="17.25" customHeight="1">
      <c r="A68" s="46" t="s">
        <v>55</v>
      </c>
      <c r="B68" s="47" t="s">
        <v>56</v>
      </c>
      <c r="C68" s="37">
        <v>1.6</v>
      </c>
      <c r="D68" s="37">
        <v>0</v>
      </c>
      <c r="E68" s="34">
        <f t="shared" si="3"/>
        <v>0</v>
      </c>
      <c r="F68" s="34">
        <f t="shared" si="4"/>
        <v>-1.6</v>
      </c>
    </row>
    <row r="69" spans="1:7" s="6" customFormat="1" ht="15.75" customHeight="1">
      <c r="A69" s="46" t="s">
        <v>218</v>
      </c>
      <c r="B69" s="47" t="s">
        <v>219</v>
      </c>
      <c r="C69" s="37">
        <v>2.4</v>
      </c>
      <c r="D69" s="37">
        <v>0.6</v>
      </c>
      <c r="E69" s="38">
        <f t="shared" si="3"/>
        <v>25</v>
      </c>
      <c r="F69" s="38">
        <f t="shared" si="4"/>
        <v>-1.7999999999999998</v>
      </c>
    </row>
    <row r="70" spans="1:7" s="6" customFormat="1" ht="15.75" customHeight="1">
      <c r="A70" s="46" t="s">
        <v>357</v>
      </c>
      <c r="B70" s="47" t="s">
        <v>413</v>
      </c>
      <c r="C70" s="37">
        <v>2</v>
      </c>
      <c r="D70" s="37"/>
      <c r="E70" s="38"/>
      <c r="F70" s="38"/>
    </row>
    <row r="71" spans="1:7">
      <c r="A71" s="30" t="s">
        <v>57</v>
      </c>
      <c r="B71" s="31" t="s">
        <v>58</v>
      </c>
      <c r="C71" s="48">
        <f>SUM(C72:C75)</f>
        <v>4631.5961299999999</v>
      </c>
      <c r="D71" s="48">
        <f>SUM(D72:D75)</f>
        <v>757.36041</v>
      </c>
      <c r="E71" s="34">
        <f t="shared" ref="E71:E86" si="5">SUM(D71/C71*100)</f>
        <v>16.352039097156773</v>
      </c>
      <c r="F71" s="34">
        <f t="shared" ref="F71:F86" si="6">SUM(D71-C71)</f>
        <v>-3874.2357199999997</v>
      </c>
    </row>
    <row r="72" spans="1:7" s="6" customFormat="1" ht="17.25" customHeight="1">
      <c r="A72" s="35" t="s">
        <v>59</v>
      </c>
      <c r="B72" s="39" t="s">
        <v>60</v>
      </c>
      <c r="C72" s="49">
        <v>6.7024999999999997</v>
      </c>
      <c r="D72" s="37">
        <v>0</v>
      </c>
      <c r="E72" s="38">
        <f t="shared" si="5"/>
        <v>0</v>
      </c>
      <c r="F72" s="38">
        <f t="shared" si="6"/>
        <v>-6.7024999999999997</v>
      </c>
      <c r="G72" s="50"/>
    </row>
    <row r="73" spans="1:7">
      <c r="A73" s="35" t="s">
        <v>61</v>
      </c>
      <c r="B73" s="39" t="s">
        <v>62</v>
      </c>
      <c r="C73" s="49">
        <v>430</v>
      </c>
      <c r="D73" s="37">
        <v>344</v>
      </c>
      <c r="E73" s="38">
        <f t="shared" si="5"/>
        <v>80</v>
      </c>
      <c r="F73" s="38">
        <f t="shared" si="6"/>
        <v>-86</v>
      </c>
    </row>
    <row r="74" spans="1:7">
      <c r="A74" s="35" t="s">
        <v>63</v>
      </c>
      <c r="B74" s="39" t="s">
        <v>64</v>
      </c>
      <c r="C74" s="49">
        <v>4084.89363</v>
      </c>
      <c r="D74" s="37">
        <v>410.76040999999998</v>
      </c>
      <c r="E74" s="38">
        <f t="shared" si="5"/>
        <v>10.05559623348136</v>
      </c>
      <c r="F74" s="38">
        <f t="shared" si="6"/>
        <v>-3674.1332200000002</v>
      </c>
    </row>
    <row r="75" spans="1:7" s="6" customFormat="1">
      <c r="A75" s="35" t="s">
        <v>65</v>
      </c>
      <c r="B75" s="39" t="s">
        <v>66</v>
      </c>
      <c r="C75" s="49">
        <v>110</v>
      </c>
      <c r="D75" s="37">
        <v>2.6</v>
      </c>
      <c r="E75" s="38">
        <f t="shared" si="5"/>
        <v>2.3636363636363638</v>
      </c>
      <c r="F75" s="38">
        <f t="shared" si="6"/>
        <v>-107.4</v>
      </c>
    </row>
    <row r="76" spans="1:7" ht="17.25" customHeight="1">
      <c r="A76" s="30" t="s">
        <v>67</v>
      </c>
      <c r="B76" s="31" t="s">
        <v>68</v>
      </c>
      <c r="C76" s="32">
        <f>SUM(C77:C79)</f>
        <v>833.45699999999999</v>
      </c>
      <c r="D76" s="32">
        <f>SUM(D77:D79)</f>
        <v>495.88130999999998</v>
      </c>
      <c r="E76" s="34">
        <f t="shared" si="5"/>
        <v>59.496927855906179</v>
      </c>
      <c r="F76" s="34">
        <f t="shared" si="6"/>
        <v>-337.57569000000001</v>
      </c>
    </row>
    <row r="77" spans="1:7" ht="0.75" customHeight="1">
      <c r="A77" s="35" t="s">
        <v>69</v>
      </c>
      <c r="B77" s="51" t="s">
        <v>70</v>
      </c>
      <c r="C77" s="37">
        <v>0</v>
      </c>
      <c r="D77" s="37">
        <v>0</v>
      </c>
      <c r="E77" s="38" t="e">
        <f t="shared" si="5"/>
        <v>#DIV/0!</v>
      </c>
      <c r="F77" s="38">
        <f t="shared" si="6"/>
        <v>0</v>
      </c>
    </row>
    <row r="78" spans="1:7" ht="17.25" customHeight="1">
      <c r="A78" s="35" t="s">
        <v>71</v>
      </c>
      <c r="B78" s="51" t="s">
        <v>72</v>
      </c>
      <c r="C78" s="37">
        <v>0</v>
      </c>
      <c r="D78" s="37">
        <v>0</v>
      </c>
      <c r="E78" s="38" t="e">
        <f t="shared" si="5"/>
        <v>#DIV/0!</v>
      </c>
      <c r="F78" s="38">
        <f t="shared" si="6"/>
        <v>0</v>
      </c>
    </row>
    <row r="79" spans="1:7" s="6" customFormat="1">
      <c r="A79" s="35" t="s">
        <v>73</v>
      </c>
      <c r="B79" s="39" t="s">
        <v>74</v>
      </c>
      <c r="C79" s="37">
        <v>833.45699999999999</v>
      </c>
      <c r="D79" s="37">
        <v>495.88130999999998</v>
      </c>
      <c r="E79" s="38">
        <f t="shared" si="5"/>
        <v>59.496927855906179</v>
      </c>
      <c r="F79" s="38">
        <f t="shared" si="6"/>
        <v>-337.57569000000001</v>
      </c>
    </row>
    <row r="80" spans="1:7">
      <c r="A80" s="30" t="s">
        <v>85</v>
      </c>
      <c r="B80" s="31" t="s">
        <v>86</v>
      </c>
      <c r="C80" s="32">
        <f>C81</f>
        <v>2291.8000000000002</v>
      </c>
      <c r="D80" s="32">
        <f>D81</f>
        <v>567</v>
      </c>
      <c r="E80" s="34">
        <f t="shared" si="5"/>
        <v>24.740378741600484</v>
      </c>
      <c r="F80" s="34">
        <f t="shared" si="6"/>
        <v>-1724.8000000000002</v>
      </c>
    </row>
    <row r="81" spans="1:6" s="6" customFormat="1" ht="15" customHeight="1">
      <c r="A81" s="35" t="s">
        <v>87</v>
      </c>
      <c r="B81" s="39" t="s">
        <v>233</v>
      </c>
      <c r="C81" s="37">
        <v>2291.8000000000002</v>
      </c>
      <c r="D81" s="37">
        <v>567</v>
      </c>
      <c r="E81" s="38">
        <f t="shared" si="5"/>
        <v>24.740378741600484</v>
      </c>
      <c r="F81" s="38">
        <f t="shared" si="6"/>
        <v>-1724.8000000000002</v>
      </c>
    </row>
    <row r="82" spans="1:6" ht="20.25" customHeight="1">
      <c r="A82" s="52">
        <v>1000</v>
      </c>
      <c r="B82" s="31" t="s">
        <v>88</v>
      </c>
      <c r="C82" s="32">
        <f>SUM(C83:C86)</f>
        <v>0</v>
      </c>
      <c r="D82" s="32">
        <f>SUM(D83:D86)</f>
        <v>0</v>
      </c>
      <c r="E82" s="34" t="e">
        <f t="shared" si="5"/>
        <v>#DIV/0!</v>
      </c>
      <c r="F82" s="34">
        <f t="shared" si="6"/>
        <v>0</v>
      </c>
    </row>
    <row r="83" spans="1:6" ht="18" hidden="1" customHeight="1">
      <c r="A83" s="53">
        <v>1001</v>
      </c>
      <c r="B83" s="54" t="s">
        <v>89</v>
      </c>
      <c r="C83" s="37">
        <v>0</v>
      </c>
      <c r="D83" s="37">
        <v>0</v>
      </c>
      <c r="E83" s="38" t="e">
        <f t="shared" si="5"/>
        <v>#DIV/0!</v>
      </c>
      <c r="F83" s="38">
        <f t="shared" si="6"/>
        <v>0</v>
      </c>
    </row>
    <row r="84" spans="1:6" ht="17.25" hidden="1" customHeight="1">
      <c r="A84" s="53">
        <v>1003</v>
      </c>
      <c r="B84" s="54" t="s">
        <v>90</v>
      </c>
      <c r="C84" s="37">
        <v>0</v>
      </c>
      <c r="D84" s="37">
        <v>0</v>
      </c>
      <c r="E84" s="38" t="e">
        <f t="shared" si="5"/>
        <v>#DIV/0!</v>
      </c>
      <c r="F84" s="38">
        <f t="shared" si="6"/>
        <v>0</v>
      </c>
    </row>
    <row r="85" spans="1:6" ht="17.25" hidden="1" customHeight="1">
      <c r="A85" s="53">
        <v>1004</v>
      </c>
      <c r="B85" s="54" t="s">
        <v>91</v>
      </c>
      <c r="C85" s="37">
        <v>0</v>
      </c>
      <c r="D85" s="55">
        <v>0</v>
      </c>
      <c r="E85" s="38" t="e">
        <f t="shared" si="5"/>
        <v>#DIV/0!</v>
      </c>
      <c r="F85" s="38">
        <f t="shared" si="6"/>
        <v>0</v>
      </c>
    </row>
    <row r="86" spans="1:6" ht="21.75" customHeight="1">
      <c r="A86" s="35" t="s">
        <v>92</v>
      </c>
      <c r="B86" s="39" t="s">
        <v>93</v>
      </c>
      <c r="C86" s="37">
        <v>0</v>
      </c>
      <c r="D86" s="37"/>
      <c r="E86" s="38" t="e">
        <f t="shared" si="5"/>
        <v>#DIV/0!</v>
      </c>
      <c r="F86" s="38">
        <f t="shared" si="6"/>
        <v>0</v>
      </c>
    </row>
    <row r="87" spans="1:6">
      <c r="A87" s="30" t="s">
        <v>94</v>
      </c>
      <c r="B87" s="31" t="s">
        <v>95</v>
      </c>
      <c r="C87" s="32">
        <f>C88+C89+C90+C91+C92</f>
        <v>1</v>
      </c>
      <c r="D87" s="32">
        <f>D88+D89+D90+D91+D92</f>
        <v>0</v>
      </c>
      <c r="E87" s="38">
        <f t="shared" ref="E87:E97" si="7">SUM(D87/C87*100)</f>
        <v>0</v>
      </c>
      <c r="F87" s="22">
        <f>F88+F89+F90+F91+F92</f>
        <v>-1</v>
      </c>
    </row>
    <row r="88" spans="1:6" ht="15.75" customHeight="1">
      <c r="A88" s="35" t="s">
        <v>96</v>
      </c>
      <c r="B88" s="39" t="s">
        <v>97</v>
      </c>
      <c r="C88" s="37">
        <v>1</v>
      </c>
      <c r="D88" s="37">
        <v>0</v>
      </c>
      <c r="E88" s="38">
        <f t="shared" si="7"/>
        <v>0</v>
      </c>
      <c r="F88" s="38">
        <f>SUM(D88-C88)</f>
        <v>-1</v>
      </c>
    </row>
    <row r="89" spans="1:6" ht="15" hidden="1" customHeight="1">
      <c r="A89" s="35" t="s">
        <v>98</v>
      </c>
      <c r="B89" s="39" t="s">
        <v>99</v>
      </c>
      <c r="C89" s="37"/>
      <c r="D89" s="37"/>
      <c r="E89" s="38" t="e">
        <f t="shared" si="7"/>
        <v>#DIV/0!</v>
      </c>
      <c r="F89" s="38">
        <f>SUM(D89-C89)</f>
        <v>0</v>
      </c>
    </row>
    <row r="90" spans="1:6" ht="15" hidden="1" customHeight="1">
      <c r="A90" s="35" t="s">
        <v>100</v>
      </c>
      <c r="B90" s="39" t="s">
        <v>101</v>
      </c>
      <c r="C90" s="37"/>
      <c r="D90" s="37"/>
      <c r="E90" s="38" t="e">
        <f t="shared" si="7"/>
        <v>#DIV/0!</v>
      </c>
      <c r="F90" s="38"/>
    </row>
    <row r="91" spans="1:6" ht="15" hidden="1" customHeight="1">
      <c r="A91" s="35" t="s">
        <v>102</v>
      </c>
      <c r="B91" s="39" t="s">
        <v>103</v>
      </c>
      <c r="C91" s="37"/>
      <c r="D91" s="37"/>
      <c r="E91" s="38" t="e">
        <f t="shared" si="7"/>
        <v>#DIV/0!</v>
      </c>
      <c r="F91" s="38"/>
    </row>
    <row r="92" spans="1:6" s="6" customFormat="1" ht="15" hidden="1" customHeight="1">
      <c r="A92" s="35" t="s">
        <v>104</v>
      </c>
      <c r="B92" s="39" t="s">
        <v>105</v>
      </c>
      <c r="C92" s="37"/>
      <c r="D92" s="37"/>
      <c r="E92" s="38" t="e">
        <f t="shared" si="7"/>
        <v>#DIV/0!</v>
      </c>
      <c r="F92" s="38"/>
    </row>
    <row r="93" spans="1:6" ht="18.75" hidden="1" customHeight="1">
      <c r="A93" s="52">
        <v>1400</v>
      </c>
      <c r="B93" s="56" t="s">
        <v>114</v>
      </c>
      <c r="C93" s="48">
        <f>C94+C95+C96</f>
        <v>0</v>
      </c>
      <c r="D93" s="48">
        <f>SUM(D94:D96)</f>
        <v>0</v>
      </c>
      <c r="E93" s="34" t="e">
        <f t="shared" si="7"/>
        <v>#DIV/0!</v>
      </c>
      <c r="F93" s="34">
        <f>SUM(D93-C93)</f>
        <v>0</v>
      </c>
    </row>
    <row r="94" spans="1:6" ht="18" hidden="1" customHeight="1">
      <c r="A94" s="53">
        <v>1401</v>
      </c>
      <c r="B94" s="54" t="s">
        <v>115</v>
      </c>
      <c r="C94" s="49"/>
      <c r="D94" s="37"/>
      <c r="E94" s="38" t="e">
        <f t="shared" si="7"/>
        <v>#DIV/0!</v>
      </c>
      <c r="F94" s="38">
        <f>SUM(D94-C94)</f>
        <v>0</v>
      </c>
    </row>
    <row r="95" spans="1:6" ht="18" hidden="1" customHeight="1">
      <c r="A95" s="53">
        <v>1402</v>
      </c>
      <c r="B95" s="54" t="s">
        <v>116</v>
      </c>
      <c r="C95" s="49"/>
      <c r="D95" s="37"/>
      <c r="E95" s="38" t="e">
        <f t="shared" si="7"/>
        <v>#DIV/0!</v>
      </c>
      <c r="F95" s="38">
        <f>SUM(D95-C95)</f>
        <v>0</v>
      </c>
    </row>
    <row r="96" spans="1:6" s="6" customFormat="1" ht="18" hidden="1" customHeight="1">
      <c r="A96" s="53">
        <v>1403</v>
      </c>
      <c r="B96" s="54" t="s">
        <v>117</v>
      </c>
      <c r="C96" s="49"/>
      <c r="D96" s="37"/>
      <c r="E96" s="38" t="e">
        <f t="shared" si="7"/>
        <v>#DIV/0!</v>
      </c>
      <c r="F96" s="38">
        <f>SUM(D96-C96)</f>
        <v>0</v>
      </c>
    </row>
    <row r="97" spans="1:6" ht="15" customHeight="1">
      <c r="A97" s="52"/>
      <c r="B97" s="57" t="s">
        <v>118</v>
      </c>
      <c r="C97" s="371">
        <f>C55+C63+C65+C71+C76+C80+C82+C87+C93</f>
        <v>9585.8661300000003</v>
      </c>
      <c r="D97" s="380">
        <f>D55+D63+D65+D71+D76+D80+D82+D87+D93</f>
        <v>2401.2879499999999</v>
      </c>
      <c r="E97" s="34">
        <f t="shared" si="7"/>
        <v>25.050297150352545</v>
      </c>
      <c r="F97" s="34">
        <f>SUM(D97-C97)</f>
        <v>-7184.5781800000004</v>
      </c>
    </row>
    <row r="98" spans="1:6" s="65" customFormat="1" ht="22.5" customHeight="1">
      <c r="A98" s="63" t="s">
        <v>119</v>
      </c>
      <c r="B98" s="63"/>
      <c r="C98" s="247"/>
      <c r="D98" s="247"/>
    </row>
    <row r="99" spans="1:6" ht="16.5" customHeight="1">
      <c r="A99" s="66" t="s">
        <v>120</v>
      </c>
      <c r="B99" s="66"/>
      <c r="C99" s="247" t="s">
        <v>121</v>
      </c>
      <c r="D99" s="247"/>
      <c r="E99" s="65"/>
      <c r="F99" s="65"/>
    </row>
    <row r="100" spans="1:6" ht="20.25" customHeight="1">
      <c r="C100" s="120"/>
    </row>
    <row r="101" spans="1:6" ht="13.5" customHeight="1"/>
    <row r="102" spans="1:6" ht="5.25" customHeight="1"/>
  </sheetData>
  <customSheetViews>
    <customSheetView guid="{5BFCA170-DEAE-4D2C-98A0-1E68B427AC01}" showPageBreaks="1" hiddenRows="1" topLeftCell="A48">
      <selection activeCell="C96" sqref="C96"/>
      <pageMargins left="0.7" right="0.7" top="0.75" bottom="0.75" header="0.3" footer="0.3"/>
      <pageSetup paperSize="9" scale="54" orientation="portrait" r:id="rId1"/>
    </customSheetView>
    <customSheetView guid="{B30CE22D-C12F-4E12-8BB9-3AAE0A6991CC}" scale="70" showPageBreaks="1" hiddenRows="1" view="pageBreakPreview">
      <selection activeCell="D6" sqref="D6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1A52382B-3765-4E8C-903F-6B8919B7242E}" hiddenRows="1">
      <selection activeCell="A70" sqref="A70:XFD70"/>
      <pageMargins left="0.7" right="0.7" top="0.75" bottom="0.75" header="0.3" footer="0.3"/>
      <pageSetup paperSize="9" scale="54" orientation="portrait" r:id="rId3"/>
    </customSheetView>
    <customSheetView guid="{A54C432C-6C68-4B53-A75C-446EB3A61B2B}" scale="70" showPageBreaks="1" hiddenRows="1" view="pageBreakPreview" topLeftCell="A47">
      <selection activeCell="G51" sqref="G51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4" orientation="portrait" r:id="rId5"/>
    </customSheetView>
    <customSheetView guid="{1718F1EE-9F48-4DBE-9531-3B70F9C4A5DD}" scale="70" showPageBreaks="1" hiddenRows="1" view="pageBreakPreview" topLeftCell="A9">
      <selection activeCell="G51" sqref="G51"/>
      <pageMargins left="0.7" right="0.7" top="0.75" bottom="0.75" header="0.3" footer="0.3"/>
      <pageSetup paperSize="9" scale="42" orientation="portrait" r:id="rId6"/>
    </customSheetView>
    <customSheetView guid="{42584DC0-1D41-4C93-9B38-C388E7B8DAC4}" scale="70" showPageBreaks="1" hiddenRows="1" view="pageBreakPreview" topLeftCell="A53">
      <selection activeCell="C74" sqref="C74"/>
      <pageMargins left="0.70866141732283472" right="0.70866141732283472" top="0.74803149606299213" bottom="0.74803149606299213" header="0.31496062992125984" footer="0.31496062992125984"/>
      <pageSetup paperSize="9" scale="65" orientation="portrait" r:id="rId7"/>
    </customSheetView>
    <customSheetView guid="{B31C8DB7-3E78-4144-A6B5-8DE36DE63F0E}" hiddenRows="1" topLeftCell="A15">
      <selection activeCell="D51" sqref="D51"/>
      <pageMargins left="0.7" right="0.7" top="0.75" bottom="0.75" header="0.3" footer="0.3"/>
      <pageSetup paperSize="9" scale="54" orientation="portrait" r:id="rId8"/>
    </customSheetView>
    <customSheetView guid="{61528DAC-5C4C-48F4-ADE2-8A724B05A086}" scale="70" showPageBreaks="1" hiddenRows="1" view="pageBreakPreview" topLeftCell="A13">
      <selection activeCell="C75" sqref="C75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4" orientation="portrait" r:id="rId1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102"/>
  <sheetViews>
    <sheetView topLeftCell="A41" zoomScaleNormal="100" zoomScaleSheetLayoutView="70" workbookViewId="0">
      <selection activeCell="D97" sqref="D97"/>
    </sheetView>
  </sheetViews>
  <sheetFormatPr defaultRowHeight="15.75"/>
  <cols>
    <col min="1" max="1" width="14.7109375" style="58" customWidth="1"/>
    <col min="2" max="2" width="58.140625" style="59" customWidth="1"/>
    <col min="3" max="3" width="16.85546875" style="62" customWidth="1"/>
    <col min="4" max="4" width="16.42578125" style="62" customWidth="1"/>
    <col min="5" max="5" width="12.5703125" style="62" customWidth="1"/>
    <col min="6" max="6" width="13.7109375" style="62" customWidth="1"/>
    <col min="7" max="7" width="19.1406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0" t="s">
        <v>432</v>
      </c>
      <c r="B1" s="530"/>
      <c r="C1" s="530"/>
      <c r="D1" s="530"/>
      <c r="E1" s="530"/>
      <c r="F1" s="530"/>
    </row>
    <row r="2" spans="1:6">
      <c r="A2" s="530"/>
      <c r="B2" s="530"/>
      <c r="C2" s="530"/>
      <c r="D2" s="530"/>
      <c r="E2" s="530"/>
      <c r="F2" s="530"/>
    </row>
    <row r="3" spans="1:6" ht="63">
      <c r="A3" s="2" t="s">
        <v>0</v>
      </c>
      <c r="B3" s="2" t="s">
        <v>1</v>
      </c>
      <c r="C3" s="72" t="s">
        <v>411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4744.2569999999996</v>
      </c>
      <c r="D4" s="5">
        <f>D5+D12+D14+D7+D20+D17</f>
        <v>1195.20706</v>
      </c>
      <c r="E4" s="5">
        <f>SUM(D4/C4*100)</f>
        <v>25.192713210941147</v>
      </c>
      <c r="F4" s="5">
        <f>SUM(D4-C4)</f>
        <v>-3549.0499399999999</v>
      </c>
    </row>
    <row r="5" spans="1:6" s="6" customFormat="1">
      <c r="A5" s="68">
        <v>1010000000</v>
      </c>
      <c r="B5" s="67" t="s">
        <v>5</v>
      </c>
      <c r="C5" s="5">
        <f>C6</f>
        <v>1755.837</v>
      </c>
      <c r="D5" s="5">
        <f>D6</f>
        <v>561.63734999999997</v>
      </c>
      <c r="E5" s="5">
        <f t="shared" ref="E5:E51" si="0">SUM(D5/C5*100)</f>
        <v>31.986872927270582</v>
      </c>
      <c r="F5" s="5">
        <f t="shared" ref="F5:F51" si="1">SUM(D5-C5)</f>
        <v>-1194.19965</v>
      </c>
    </row>
    <row r="6" spans="1:6">
      <c r="A6" s="7">
        <v>1010200001</v>
      </c>
      <c r="B6" s="8" t="s">
        <v>228</v>
      </c>
      <c r="C6" s="91">
        <v>1755.837</v>
      </c>
      <c r="D6" s="10">
        <v>561.63734999999997</v>
      </c>
      <c r="E6" s="9">
        <f t="shared" ref="E6:E11" si="2">SUM(D6/C6*100)</f>
        <v>31.986872927270582</v>
      </c>
      <c r="F6" s="9">
        <f t="shared" si="1"/>
        <v>-1194.19965</v>
      </c>
    </row>
    <row r="7" spans="1:6">
      <c r="A7" s="3">
        <v>1030200001</v>
      </c>
      <c r="B7" s="13" t="s">
        <v>278</v>
      </c>
      <c r="C7" s="5">
        <f>C8+C10+C9</f>
        <v>353.42</v>
      </c>
      <c r="D7" s="5">
        <f>D8+D9+D10+D11</f>
        <v>136.51801999999998</v>
      </c>
      <c r="E7" s="9">
        <f t="shared" si="2"/>
        <v>38.627700752645573</v>
      </c>
      <c r="F7" s="9">
        <f t="shared" si="1"/>
        <v>-216.90198000000004</v>
      </c>
    </row>
    <row r="8" spans="1:6">
      <c r="A8" s="7">
        <v>1030223001</v>
      </c>
      <c r="B8" s="8" t="s">
        <v>282</v>
      </c>
      <c r="C8" s="9">
        <v>131.83000000000001</v>
      </c>
      <c r="D8" s="10">
        <v>61.4377</v>
      </c>
      <c r="E8" s="9">
        <f t="shared" si="2"/>
        <v>46.603732079192895</v>
      </c>
      <c r="F8" s="9">
        <f t="shared" si="1"/>
        <v>-70.392300000000006</v>
      </c>
    </row>
    <row r="9" spans="1:6">
      <c r="A9" s="7">
        <v>1030224001</v>
      </c>
      <c r="B9" s="8" t="s">
        <v>288</v>
      </c>
      <c r="C9" s="9">
        <v>1.41</v>
      </c>
      <c r="D9" s="10">
        <v>0.44846000000000003</v>
      </c>
      <c r="E9" s="9">
        <f t="shared" si="2"/>
        <v>31.80567375886525</v>
      </c>
      <c r="F9" s="9">
        <f t="shared" si="1"/>
        <v>-0.96153999999999984</v>
      </c>
    </row>
    <row r="10" spans="1:6">
      <c r="A10" s="7">
        <v>1030225001</v>
      </c>
      <c r="B10" s="8" t="s">
        <v>281</v>
      </c>
      <c r="C10" s="9">
        <v>220.18</v>
      </c>
      <c r="D10" s="10">
        <v>87.330860000000001</v>
      </c>
      <c r="E10" s="9">
        <f t="shared" si="2"/>
        <v>39.66339358706513</v>
      </c>
      <c r="F10" s="9">
        <f t="shared" si="1"/>
        <v>-132.84914000000001</v>
      </c>
    </row>
    <row r="11" spans="1:6">
      <c r="A11" s="7">
        <v>1030226001</v>
      </c>
      <c r="B11" s="8" t="s">
        <v>290</v>
      </c>
      <c r="C11" s="9">
        <v>0</v>
      </c>
      <c r="D11" s="10">
        <v>-12.699</v>
      </c>
      <c r="E11" s="9" t="e">
        <f t="shared" si="2"/>
        <v>#DIV/0!</v>
      </c>
      <c r="F11" s="9">
        <f t="shared" si="1"/>
        <v>-12.699</v>
      </c>
    </row>
    <row r="12" spans="1:6" s="6" customFormat="1" ht="15" customHeight="1">
      <c r="A12" s="68">
        <v>1050000000</v>
      </c>
      <c r="B12" s="67" t="s">
        <v>6</v>
      </c>
      <c r="C12" s="5">
        <f>SUM(C13:C13)</f>
        <v>75</v>
      </c>
      <c r="D12" s="5">
        <f>SUM(D13:D13)</f>
        <v>67.296539999999993</v>
      </c>
      <c r="E12" s="5">
        <f t="shared" si="0"/>
        <v>89.728719999999996</v>
      </c>
      <c r="F12" s="5">
        <f t="shared" si="1"/>
        <v>-7.7034600000000069</v>
      </c>
    </row>
    <row r="13" spans="1:6" ht="15.75" customHeight="1">
      <c r="A13" s="7">
        <v>1050300000</v>
      </c>
      <c r="B13" s="11" t="s">
        <v>229</v>
      </c>
      <c r="C13" s="12">
        <v>75</v>
      </c>
      <c r="D13" s="10">
        <v>67.296539999999993</v>
      </c>
      <c r="E13" s="9">
        <f t="shared" si="0"/>
        <v>89.728719999999996</v>
      </c>
      <c r="F13" s="9">
        <f t="shared" si="1"/>
        <v>-7.7034600000000069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2560</v>
      </c>
      <c r="D14" s="5">
        <f>D15+D16</f>
        <v>429.75514999999996</v>
      </c>
      <c r="E14" s="5">
        <f t="shared" si="0"/>
        <v>16.787310546874998</v>
      </c>
      <c r="F14" s="5">
        <f t="shared" si="1"/>
        <v>-2130.24485</v>
      </c>
    </row>
    <row r="15" spans="1:6" s="6" customFormat="1" ht="15" customHeight="1">
      <c r="A15" s="7">
        <v>1060100000</v>
      </c>
      <c r="B15" s="11" t="s">
        <v>253</v>
      </c>
      <c r="C15" s="9">
        <v>900</v>
      </c>
      <c r="D15" s="10">
        <v>72.668279999999996</v>
      </c>
      <c r="E15" s="9">
        <f t="shared" si="0"/>
        <v>8.0742533333333331</v>
      </c>
      <c r="F15" s="9">
        <f>SUM(D15-C15)</f>
        <v>-827.33172000000002</v>
      </c>
    </row>
    <row r="16" spans="1:6" ht="17.25" customHeight="1">
      <c r="A16" s="7">
        <v>1060600000</v>
      </c>
      <c r="B16" s="11" t="s">
        <v>7</v>
      </c>
      <c r="C16" s="9">
        <v>1660</v>
      </c>
      <c r="D16" s="10">
        <v>357.08686999999998</v>
      </c>
      <c r="E16" s="9">
        <f t="shared" si="0"/>
        <v>21.51125722891566</v>
      </c>
      <c r="F16" s="9">
        <f t="shared" si="1"/>
        <v>-1302.9131299999999</v>
      </c>
    </row>
    <row r="17" spans="1:6" s="6" customFormat="1" ht="0.75" customHeight="1">
      <c r="A17" s="3">
        <v>1080000000</v>
      </c>
      <c r="B17" s="4" t="s">
        <v>10</v>
      </c>
      <c r="C17" s="5">
        <f>C18</f>
        <v>0</v>
      </c>
      <c r="D17" s="5">
        <f>D18</f>
        <v>0</v>
      </c>
      <c r="E17" s="5" t="e">
        <f t="shared" si="0"/>
        <v>#DIV/0!</v>
      </c>
      <c r="F17" s="5">
        <f t="shared" si="1"/>
        <v>0</v>
      </c>
    </row>
    <row r="18" spans="1:6" ht="15.75" customHeight="1">
      <c r="A18" s="7">
        <v>1080400001</v>
      </c>
      <c r="B18" s="8" t="s">
        <v>227</v>
      </c>
      <c r="C18" s="9">
        <v>0</v>
      </c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customHeight="1">
      <c r="A19" s="7">
        <v>1080714001</v>
      </c>
      <c r="B19" s="8" t="s">
        <v>11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29.25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8.75" customHeight="1">
      <c r="A22" s="7">
        <v>1090400000</v>
      </c>
      <c r="B22" s="8" t="s">
        <v>232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.5" hidden="1" customHeight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6.5" customHeight="1">
      <c r="A24" s="7">
        <v>1090700000</v>
      </c>
      <c r="B24" s="8" t="s">
        <v>127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20.25" customHeight="1">
      <c r="A25" s="3"/>
      <c r="B25" s="4" t="s">
        <v>12</v>
      </c>
      <c r="C25" s="5">
        <f>C26+C29+C31+C34+C36</f>
        <v>0</v>
      </c>
      <c r="D25" s="5">
        <f>D26+D29+D31+D34+D36</f>
        <v>0</v>
      </c>
      <c r="E25" s="5" t="e">
        <f t="shared" si="0"/>
        <v>#DIV/0!</v>
      </c>
      <c r="F25" s="5">
        <f t="shared" si="1"/>
        <v>0</v>
      </c>
    </row>
    <row r="26" spans="1:6" s="6" customFormat="1" ht="32.25" customHeight="1">
      <c r="A26" s="68">
        <v>1110000000</v>
      </c>
      <c r="B26" s="69" t="s">
        <v>128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 ht="17.25" customHeight="1">
      <c r="A27" s="16">
        <v>1110502501</v>
      </c>
      <c r="B27" s="17" t="s">
        <v>225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224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>
      <c r="A29" s="68">
        <v>1130000000</v>
      </c>
      <c r="B29" s="69" t="s">
        <v>130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8" customHeight="1">
      <c r="A30" s="7">
        <v>1130206005</v>
      </c>
      <c r="B30" s="8" t="s">
        <v>223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>
      <c r="A32" s="16">
        <v>1140200000</v>
      </c>
      <c r="B32" s="18" t="s">
        <v>132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251</v>
      </c>
      <c r="C34" s="5">
        <f>C35</f>
        <v>0</v>
      </c>
      <c r="D34" s="14">
        <f>D35</f>
        <v>0</v>
      </c>
      <c r="E34" s="5" t="e">
        <f t="shared" si="0"/>
        <v>#DIV/0!</v>
      </c>
      <c r="F34" s="5">
        <f t="shared" si="1"/>
        <v>0</v>
      </c>
    </row>
    <row r="35" spans="1:7" ht="47.25">
      <c r="A35" s="7">
        <v>1163305010</v>
      </c>
      <c r="B35" s="8" t="s">
        <v>267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20.25" customHeight="1">
      <c r="A36" s="3">
        <v>1170000000</v>
      </c>
      <c r="B36" s="13" t="s">
        <v>134</v>
      </c>
      <c r="C36" s="5">
        <f>C37+C38</f>
        <v>0</v>
      </c>
      <c r="D36" s="5">
        <f>D37+D38</f>
        <v>0</v>
      </c>
      <c r="E36" s="5">
        <v>0</v>
      </c>
      <c r="F36" s="5">
        <f t="shared" si="1"/>
        <v>0</v>
      </c>
    </row>
    <row r="37" spans="1:7" ht="15" hidden="1" customHeight="1">
      <c r="A37" s="7">
        <v>1170105005</v>
      </c>
      <c r="B37" s="8" t="s">
        <v>17</v>
      </c>
      <c r="C37" s="9">
        <v>0</v>
      </c>
      <c r="D37" s="9">
        <v>0</v>
      </c>
      <c r="E37" s="9">
        <v>0</v>
      </c>
      <c r="F37" s="9">
        <f t="shared" si="1"/>
        <v>0</v>
      </c>
    </row>
    <row r="38" spans="1:7" ht="15" customHeight="1">
      <c r="A38" s="7">
        <v>1170505005</v>
      </c>
      <c r="B38" s="11" t="s">
        <v>220</v>
      </c>
      <c r="C38" s="9">
        <v>0</v>
      </c>
      <c r="D38" s="10">
        <v>0</v>
      </c>
      <c r="E38" s="9">
        <v>0</v>
      </c>
      <c r="F38" s="9">
        <f t="shared" si="1"/>
        <v>0</v>
      </c>
    </row>
    <row r="39" spans="1:7" s="6" customFormat="1" ht="18" customHeight="1">
      <c r="A39" s="3">
        <v>1000000000</v>
      </c>
      <c r="B39" s="4" t="s">
        <v>18</v>
      </c>
      <c r="C39" s="127">
        <f>SUM(C4,C25)</f>
        <v>4744.2569999999996</v>
      </c>
      <c r="D39" s="127">
        <f>D4+D25</f>
        <v>1195.20706</v>
      </c>
      <c r="E39" s="5">
        <f t="shared" si="0"/>
        <v>25.192713210941147</v>
      </c>
      <c r="F39" s="5">
        <f t="shared" si="1"/>
        <v>-3549.0499399999999</v>
      </c>
    </row>
    <row r="40" spans="1:7" s="6" customFormat="1">
      <c r="A40" s="3">
        <v>2000000000</v>
      </c>
      <c r="B40" s="4" t="s">
        <v>19</v>
      </c>
      <c r="C40" s="5">
        <f>C41+C43+C45+C46+C47+C49+C42+C44+C48</f>
        <v>13766.395040000001</v>
      </c>
      <c r="D40" s="5">
        <f>D41+D43+D45+D46+D47+D49+D42+D48</f>
        <v>2388.7437600000003</v>
      </c>
      <c r="E40" s="5">
        <f t="shared" si="0"/>
        <v>17.35199195620352</v>
      </c>
      <c r="F40" s="5">
        <f t="shared" si="1"/>
        <v>-11377.651280000002</v>
      </c>
      <c r="G40" s="19"/>
    </row>
    <row r="41" spans="1:7" ht="17.25" customHeight="1">
      <c r="A41" s="16">
        <v>2021000000</v>
      </c>
      <c r="B41" s="17" t="s">
        <v>20</v>
      </c>
      <c r="C41" s="12">
        <v>4687.5</v>
      </c>
      <c r="D41" s="20">
        <v>1562.5</v>
      </c>
      <c r="E41" s="9">
        <f t="shared" si="0"/>
        <v>33.333333333333329</v>
      </c>
      <c r="F41" s="9">
        <f t="shared" si="1"/>
        <v>-3125</v>
      </c>
    </row>
    <row r="42" spans="1:7" ht="15" customHeight="1">
      <c r="A42" s="16">
        <v>2021500210</v>
      </c>
      <c r="B42" s="17" t="s">
        <v>231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 ht="20.25" customHeight="1">
      <c r="A43" s="16">
        <v>2022000000</v>
      </c>
      <c r="B43" s="17" t="s">
        <v>21</v>
      </c>
      <c r="C43" s="277">
        <v>8600.4907500000008</v>
      </c>
      <c r="D43" s="10">
        <v>380.34399999999999</v>
      </c>
      <c r="E43" s="9">
        <f t="shared" si="0"/>
        <v>4.4223522942571609</v>
      </c>
      <c r="F43" s="9">
        <f t="shared" si="1"/>
        <v>-8220.1467500000017</v>
      </c>
    </row>
    <row r="44" spans="1:7" ht="0.75" hidden="1" customHeight="1">
      <c r="A44" s="16">
        <v>2022999910</v>
      </c>
      <c r="B44" s="18" t="s">
        <v>349</v>
      </c>
      <c r="C44" s="277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6.5" customHeight="1">
      <c r="A45" s="16">
        <v>2023000000</v>
      </c>
      <c r="B45" s="17" t="s">
        <v>22</v>
      </c>
      <c r="C45" s="12">
        <v>9.2170000000000005</v>
      </c>
      <c r="D45" s="249">
        <v>1.1948000000000001</v>
      </c>
      <c r="E45" s="9">
        <f t="shared" si="0"/>
        <v>12.963003146359986</v>
      </c>
      <c r="F45" s="9">
        <f t="shared" si="1"/>
        <v>-8.0221999999999998</v>
      </c>
    </row>
    <row r="46" spans="1:7" ht="0.75" customHeight="1">
      <c r="A46" s="16">
        <v>2020400000</v>
      </c>
      <c r="B46" s="17" t="s">
        <v>23</v>
      </c>
      <c r="C46" s="12">
        <v>0</v>
      </c>
      <c r="D46" s="250">
        <v>0</v>
      </c>
      <c r="E46" s="9" t="e">
        <f t="shared" si="0"/>
        <v>#DIV/0!</v>
      </c>
      <c r="F46" s="9">
        <f t="shared" si="1"/>
        <v>0</v>
      </c>
    </row>
    <row r="47" spans="1:7" ht="31.5" hidden="1">
      <c r="A47" s="16">
        <v>2020900000</v>
      </c>
      <c r="B47" s="18" t="s">
        <v>24</v>
      </c>
      <c r="C47" s="12"/>
      <c r="D47" s="250"/>
      <c r="E47" s="9" t="e">
        <f>SUM(D47/C47*100)</f>
        <v>#DIV/0!</v>
      </c>
      <c r="F47" s="9">
        <f>SUM(D47-C47)</f>
        <v>0</v>
      </c>
    </row>
    <row r="48" spans="1:7" ht="18" customHeight="1">
      <c r="A48" s="7">
        <v>2070500010</v>
      </c>
      <c r="B48" s="18" t="s">
        <v>297</v>
      </c>
      <c r="C48" s="12">
        <v>469.18729000000002</v>
      </c>
      <c r="D48" s="250">
        <v>444.70496000000003</v>
      </c>
      <c r="E48" s="9">
        <f>SUM(D48/C48*100)</f>
        <v>94.781970756283712</v>
      </c>
      <c r="F48" s="9">
        <f>SUM(D48-C48)</f>
        <v>-24.48232999999999</v>
      </c>
    </row>
    <row r="49" spans="1:7" hidden="1">
      <c r="A49" s="7">
        <v>2190500005</v>
      </c>
      <c r="B49" s="11" t="s">
        <v>25</v>
      </c>
      <c r="C49" s="14">
        <v>0</v>
      </c>
      <c r="D49" s="14"/>
      <c r="E49" s="9" t="e">
        <f>SUM(D49/C49*100)</f>
        <v>#DIV/0!</v>
      </c>
      <c r="F49" s="9">
        <f>SUM(D49-C49)</f>
        <v>0</v>
      </c>
    </row>
    <row r="50" spans="1:7" s="6" customFormat="1" ht="31.5" hidden="1">
      <c r="A50" s="3">
        <v>3000000000</v>
      </c>
      <c r="B50" s="13" t="s">
        <v>26</v>
      </c>
      <c r="C50" s="275">
        <v>0</v>
      </c>
      <c r="D50" s="14">
        <v>0</v>
      </c>
      <c r="E50" s="9" t="e">
        <f>SUM(D50/C50*100)</f>
        <v>#DIV/0!</v>
      </c>
      <c r="F50" s="9">
        <f>SUM(D50-C50)</f>
        <v>0</v>
      </c>
    </row>
    <row r="51" spans="1:7" s="6" customFormat="1" ht="15" customHeight="1">
      <c r="A51" s="3"/>
      <c r="B51" s="4" t="s">
        <v>27</v>
      </c>
      <c r="C51" s="368">
        <f>SUM(C39,C40,C50)</f>
        <v>18510.652040000001</v>
      </c>
      <c r="D51" s="369">
        <f>D39+D40</f>
        <v>3583.95082</v>
      </c>
      <c r="E51" s="93">
        <f t="shared" si="0"/>
        <v>19.361559021558918</v>
      </c>
      <c r="F51" s="93">
        <f t="shared" si="1"/>
        <v>-14926.701220000001</v>
      </c>
      <c r="G51" s="151">
        <f>18510.65204-C51</f>
        <v>0</v>
      </c>
    </row>
    <row r="52" spans="1:7" s="6" customFormat="1" ht="23.25" customHeight="1">
      <c r="A52" s="3"/>
      <c r="B52" s="21" t="s">
        <v>320</v>
      </c>
      <c r="C52" s="93">
        <f>C51-C98</f>
        <v>-554.81055999999808</v>
      </c>
      <c r="D52" s="93">
        <f>D51-D98</f>
        <v>68.902379999999994</v>
      </c>
      <c r="E52" s="279"/>
      <c r="F52" s="279"/>
    </row>
    <row r="53" spans="1:7">
      <c r="A53" s="23"/>
      <c r="B53" s="24"/>
      <c r="C53" s="25"/>
      <c r="D53" s="25"/>
      <c r="E53" s="26"/>
      <c r="F53" s="27"/>
    </row>
    <row r="54" spans="1:7" ht="32.25" customHeight="1">
      <c r="A54" s="28" t="s">
        <v>0</v>
      </c>
      <c r="B54" s="28" t="s">
        <v>28</v>
      </c>
      <c r="C54" s="246" t="s">
        <v>411</v>
      </c>
      <c r="D54" s="73" t="s">
        <v>419</v>
      </c>
      <c r="E54" s="72" t="s">
        <v>2</v>
      </c>
      <c r="F54" s="74" t="s">
        <v>3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15" customHeight="1">
      <c r="A56" s="30" t="s">
        <v>29</v>
      </c>
      <c r="B56" s="31" t="s">
        <v>30</v>
      </c>
      <c r="C56" s="32">
        <f>C57+C58+C59+C60+C61+C63+C62+C65</f>
        <v>1884.018</v>
      </c>
      <c r="D56" s="33">
        <f>D57+D58+D59+D60+D61+D63+D62</f>
        <v>746.06948999999997</v>
      </c>
      <c r="E56" s="34">
        <f>SUM(D56/C56*100)</f>
        <v>39.599913058155494</v>
      </c>
      <c r="F56" s="34">
        <f>SUM(D56-C56)</f>
        <v>-1137.9485100000002</v>
      </c>
    </row>
    <row r="57" spans="1:7" s="6" customFormat="1" ht="0.75" hidden="1" customHeight="1">
      <c r="A57" s="35" t="s">
        <v>31</v>
      </c>
      <c r="B57" s="36" t="s">
        <v>32</v>
      </c>
      <c r="C57" s="37"/>
      <c r="D57" s="37"/>
      <c r="E57" s="38"/>
      <c r="F57" s="38"/>
    </row>
    <row r="58" spans="1:7" ht="16.5" customHeight="1">
      <c r="A58" s="35" t="s">
        <v>33</v>
      </c>
      <c r="B58" s="39" t="s">
        <v>34</v>
      </c>
      <c r="C58" s="97">
        <v>1705.1</v>
      </c>
      <c r="D58" s="37">
        <v>606.14341999999999</v>
      </c>
      <c r="E58" s="38">
        <f t="shared" ref="E58:E98" si="3">SUM(D58/C58*100)</f>
        <v>35.548848747874032</v>
      </c>
      <c r="F58" s="38">
        <f t="shared" ref="F58:F98" si="4">SUM(D58-C58)</f>
        <v>-1098.95658</v>
      </c>
    </row>
    <row r="59" spans="1:7" ht="1.5" hidden="1" customHeight="1">
      <c r="A59" s="35" t="s">
        <v>35</v>
      </c>
      <c r="B59" s="39" t="s">
        <v>36</v>
      </c>
      <c r="C59" s="97"/>
      <c r="D59" s="37"/>
      <c r="E59" s="38"/>
      <c r="F59" s="38">
        <f t="shared" si="4"/>
        <v>0</v>
      </c>
    </row>
    <row r="60" spans="1:7" ht="17.25" hidden="1" customHeight="1">
      <c r="A60" s="35" t="s">
        <v>37</v>
      </c>
      <c r="B60" s="39" t="s">
        <v>38</v>
      </c>
      <c r="C60" s="9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39</v>
      </c>
      <c r="B61" s="39" t="s">
        <v>40</v>
      </c>
      <c r="C61" s="9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8" customHeight="1">
      <c r="A62" s="35" t="s">
        <v>41</v>
      </c>
      <c r="B62" s="39" t="s">
        <v>42</v>
      </c>
      <c r="C62" s="149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5.75" customHeight="1">
      <c r="A63" s="35" t="s">
        <v>43</v>
      </c>
      <c r="B63" s="39" t="s">
        <v>44</v>
      </c>
      <c r="C63" s="97">
        <v>173.91800000000001</v>
      </c>
      <c r="D63" s="37">
        <v>139.92607000000001</v>
      </c>
      <c r="E63" s="38">
        <f t="shared" si="3"/>
        <v>80.455197276877612</v>
      </c>
      <c r="F63" s="38">
        <f t="shared" si="4"/>
        <v>-33.991929999999996</v>
      </c>
    </row>
    <row r="64" spans="1:7" s="6" customFormat="1" ht="15.75" customHeight="1">
      <c r="A64" s="41" t="s">
        <v>45</v>
      </c>
      <c r="B64" s="42" t="s">
        <v>46</v>
      </c>
      <c r="C64" s="150">
        <f>C65</f>
        <v>0</v>
      </c>
      <c r="D64" s="32">
        <f>D65</f>
        <v>0</v>
      </c>
      <c r="E64" s="34" t="e">
        <f t="shared" si="3"/>
        <v>#DIV/0!</v>
      </c>
      <c r="F64" s="34">
        <f t="shared" si="4"/>
        <v>0</v>
      </c>
    </row>
    <row r="65" spans="1:7" ht="18" customHeight="1">
      <c r="A65" s="43" t="s">
        <v>47</v>
      </c>
      <c r="B65" s="44" t="s">
        <v>48</v>
      </c>
      <c r="C65" s="97">
        <v>0</v>
      </c>
      <c r="D65" s="37">
        <v>0</v>
      </c>
      <c r="E65" s="38" t="e">
        <f t="shared" si="3"/>
        <v>#DIV/0!</v>
      </c>
      <c r="F65" s="38">
        <f t="shared" si="4"/>
        <v>0</v>
      </c>
    </row>
    <row r="66" spans="1:7" s="6" customFormat="1" ht="18" customHeight="1">
      <c r="A66" s="30" t="s">
        <v>49</v>
      </c>
      <c r="B66" s="31" t="s">
        <v>50</v>
      </c>
      <c r="C66" s="150">
        <f>C69+C70+C71</f>
        <v>6</v>
      </c>
      <c r="D66" s="150">
        <f>D69+D70</f>
        <v>0</v>
      </c>
      <c r="E66" s="34">
        <f t="shared" si="3"/>
        <v>0</v>
      </c>
      <c r="F66" s="34">
        <f t="shared" si="4"/>
        <v>-6</v>
      </c>
    </row>
    <row r="67" spans="1:7" ht="3.75" hidden="1" customHeight="1">
      <c r="A67" s="35" t="s">
        <v>51</v>
      </c>
      <c r="B67" s="39" t="s">
        <v>52</v>
      </c>
      <c r="C67" s="97"/>
      <c r="D67" s="37"/>
      <c r="E67" s="34" t="e">
        <f t="shared" si="3"/>
        <v>#DIV/0!</v>
      </c>
      <c r="F67" s="34">
        <f t="shared" si="4"/>
        <v>0</v>
      </c>
    </row>
    <row r="68" spans="1:7" ht="15.75" hidden="1" customHeight="1">
      <c r="A68" s="45" t="s">
        <v>53</v>
      </c>
      <c r="B68" s="39" t="s">
        <v>54</v>
      </c>
      <c r="C68" s="97"/>
      <c r="D68" s="37"/>
      <c r="E68" s="34" t="e">
        <f t="shared" si="3"/>
        <v>#DIV/0!</v>
      </c>
      <c r="F68" s="34">
        <f t="shared" si="4"/>
        <v>0</v>
      </c>
    </row>
    <row r="69" spans="1:7" ht="19.5" customHeight="1">
      <c r="A69" s="46" t="s">
        <v>55</v>
      </c>
      <c r="B69" s="47" t="s">
        <v>56</v>
      </c>
      <c r="C69" s="97">
        <v>2</v>
      </c>
      <c r="D69" s="37">
        <v>0</v>
      </c>
      <c r="E69" s="34">
        <f t="shared" si="3"/>
        <v>0</v>
      </c>
      <c r="F69" s="34">
        <f t="shared" si="4"/>
        <v>-2</v>
      </c>
    </row>
    <row r="70" spans="1:7" ht="17.25" customHeight="1">
      <c r="A70" s="46" t="s">
        <v>218</v>
      </c>
      <c r="B70" s="47" t="s">
        <v>219</v>
      </c>
      <c r="C70" s="97">
        <v>2</v>
      </c>
      <c r="D70" s="37">
        <v>0</v>
      </c>
      <c r="E70" s="34">
        <f t="shared" si="3"/>
        <v>0</v>
      </c>
      <c r="F70" s="34">
        <f t="shared" si="4"/>
        <v>-2</v>
      </c>
    </row>
    <row r="71" spans="1:7" ht="17.25" customHeight="1">
      <c r="A71" s="46" t="s">
        <v>357</v>
      </c>
      <c r="B71" s="47" t="s">
        <v>414</v>
      </c>
      <c r="C71" s="97">
        <v>2</v>
      </c>
      <c r="D71" s="37">
        <v>0</v>
      </c>
      <c r="E71" s="34">
        <f>SUM(D71/C71*100)</f>
        <v>0</v>
      </c>
      <c r="F71" s="34">
        <f>SUM(D71-C71)</f>
        <v>-2</v>
      </c>
    </row>
    <row r="72" spans="1:7" s="6" customFormat="1" ht="16.5" customHeight="1">
      <c r="A72" s="30" t="s">
        <v>57</v>
      </c>
      <c r="B72" s="31" t="s">
        <v>58</v>
      </c>
      <c r="C72" s="48">
        <f>SUM(C73:C76)</f>
        <v>3403.7777000000001</v>
      </c>
      <c r="D72" s="48">
        <f>SUM(D73:D76)</f>
        <v>642.39035000000001</v>
      </c>
      <c r="E72" s="34">
        <f t="shared" si="3"/>
        <v>18.872864405921693</v>
      </c>
      <c r="F72" s="34">
        <f t="shared" si="4"/>
        <v>-2761.38735</v>
      </c>
    </row>
    <row r="73" spans="1:7" ht="15" customHeight="1">
      <c r="A73" s="35" t="s">
        <v>59</v>
      </c>
      <c r="B73" s="39" t="s">
        <v>60</v>
      </c>
      <c r="C73" s="49">
        <v>21.448</v>
      </c>
      <c r="D73" s="37">
        <v>2.681</v>
      </c>
      <c r="E73" s="38">
        <f t="shared" si="3"/>
        <v>12.5</v>
      </c>
      <c r="F73" s="38">
        <f t="shared" si="4"/>
        <v>-18.766999999999999</v>
      </c>
    </row>
    <row r="74" spans="1:7" s="6" customFormat="1" ht="15.75" customHeight="1">
      <c r="A74" s="35" t="s">
        <v>61</v>
      </c>
      <c r="B74" s="39" t="s">
        <v>62</v>
      </c>
      <c r="C74" s="49">
        <v>200</v>
      </c>
      <c r="D74" s="37">
        <v>113.99838</v>
      </c>
      <c r="E74" s="38">
        <f t="shared" si="3"/>
        <v>56.999189999999999</v>
      </c>
      <c r="F74" s="38">
        <f t="shared" si="4"/>
        <v>-86.001620000000003</v>
      </c>
      <c r="G74" s="50"/>
    </row>
    <row r="75" spans="1:7" ht="15" customHeight="1">
      <c r="A75" s="35" t="s">
        <v>63</v>
      </c>
      <c r="B75" s="39" t="s">
        <v>64</v>
      </c>
      <c r="C75" s="49">
        <v>2866.7937000000002</v>
      </c>
      <c r="D75" s="37">
        <v>432.21096999999997</v>
      </c>
      <c r="E75" s="38">
        <f t="shared" si="3"/>
        <v>15.076458762972722</v>
      </c>
      <c r="F75" s="38">
        <f t="shared" si="4"/>
        <v>-2434.5827300000001</v>
      </c>
    </row>
    <row r="76" spans="1:7" ht="18" customHeight="1">
      <c r="A76" s="35" t="s">
        <v>65</v>
      </c>
      <c r="B76" s="39" t="s">
        <v>66</v>
      </c>
      <c r="C76" s="49">
        <v>315.536</v>
      </c>
      <c r="D76" s="37">
        <v>93.5</v>
      </c>
      <c r="E76" s="38">
        <f t="shared" si="3"/>
        <v>29.632118046752193</v>
      </c>
      <c r="F76" s="38">
        <f t="shared" si="4"/>
        <v>-222.036</v>
      </c>
    </row>
    <row r="77" spans="1:7" s="6" customFormat="1" ht="17.25" customHeight="1">
      <c r="A77" s="30" t="s">
        <v>67</v>
      </c>
      <c r="B77" s="31" t="s">
        <v>68</v>
      </c>
      <c r="C77" s="32">
        <f>C78+C79+C80+C83</f>
        <v>10031.6669</v>
      </c>
      <c r="D77" s="32">
        <f>D78+D79+D80+D83</f>
        <v>881.58860000000004</v>
      </c>
      <c r="E77" s="34">
        <f t="shared" si="3"/>
        <v>8.7880569479435167</v>
      </c>
      <c r="F77" s="34">
        <f t="shared" si="4"/>
        <v>-9150.078300000001</v>
      </c>
    </row>
    <row r="78" spans="1:7" ht="18" customHeight="1">
      <c r="A78" s="35" t="s">
        <v>69</v>
      </c>
      <c r="B78" s="51" t="s">
        <v>70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20.25" customHeight="1">
      <c r="A79" s="35" t="s">
        <v>71</v>
      </c>
      <c r="B79" s="51" t="s">
        <v>72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7.25" customHeight="1">
      <c r="A80" s="35" t="s">
        <v>73</v>
      </c>
      <c r="B80" s="39" t="s">
        <v>74</v>
      </c>
      <c r="C80" s="37">
        <v>10031.6669</v>
      </c>
      <c r="D80" s="37">
        <v>881.58860000000004</v>
      </c>
      <c r="E80" s="38">
        <f t="shared" si="3"/>
        <v>8.7880569479435167</v>
      </c>
      <c r="F80" s="38">
        <f t="shared" si="4"/>
        <v>-9150.078300000001</v>
      </c>
    </row>
    <row r="81" spans="1:6" s="6" customFormat="1" ht="18.75" customHeight="1">
      <c r="A81" s="30" t="s">
        <v>85</v>
      </c>
      <c r="B81" s="31" t="s">
        <v>86</v>
      </c>
      <c r="C81" s="32">
        <f>C82</f>
        <v>3735</v>
      </c>
      <c r="D81" s="32">
        <f>D82</f>
        <v>1245</v>
      </c>
      <c r="E81" s="38">
        <f t="shared" si="3"/>
        <v>33.333333333333329</v>
      </c>
      <c r="F81" s="38">
        <f t="shared" si="4"/>
        <v>-2490</v>
      </c>
    </row>
    <row r="82" spans="1:6" ht="19.5" customHeight="1">
      <c r="A82" s="35" t="s">
        <v>87</v>
      </c>
      <c r="B82" s="39" t="s">
        <v>233</v>
      </c>
      <c r="C82" s="37">
        <v>3735</v>
      </c>
      <c r="D82" s="37">
        <v>1245</v>
      </c>
      <c r="E82" s="38">
        <f t="shared" si="3"/>
        <v>33.333333333333329</v>
      </c>
      <c r="F82" s="38">
        <f t="shared" si="4"/>
        <v>-2490</v>
      </c>
    </row>
    <row r="83" spans="1:6" ht="15" hidden="1" customHeight="1">
      <c r="A83" s="35" t="s">
        <v>263</v>
      </c>
      <c r="B83" s="39" t="s">
        <v>264</v>
      </c>
      <c r="C83" s="37">
        <v>0</v>
      </c>
      <c r="D83" s="37"/>
      <c r="E83" s="38" t="e">
        <f t="shared" si="3"/>
        <v>#DIV/0!</v>
      </c>
      <c r="F83" s="38">
        <f t="shared" si="4"/>
        <v>0</v>
      </c>
    </row>
    <row r="84" spans="1:6" s="6" customFormat="1" ht="12.75" hidden="1" customHeight="1">
      <c r="A84" s="52">
        <v>1000</v>
      </c>
      <c r="B84" s="31" t="s">
        <v>88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2.75" hidden="1" customHeight="1">
      <c r="A85" s="53">
        <v>1001</v>
      </c>
      <c r="B85" s="54" t="s">
        <v>89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90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8.75" hidden="1" customHeight="1">
      <c r="A87" s="53">
        <v>1004</v>
      </c>
      <c r="B87" s="54" t="s">
        <v>91</v>
      </c>
      <c r="C87" s="37">
        <v>0</v>
      </c>
      <c r="D87" s="55">
        <v>0</v>
      </c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35" t="s">
        <v>92</v>
      </c>
      <c r="B88" s="39" t="s">
        <v>93</v>
      </c>
      <c r="C88" s="37">
        <v>0</v>
      </c>
      <c r="D88" s="37">
        <v>0</v>
      </c>
      <c r="E88" s="38"/>
      <c r="F88" s="38">
        <f t="shared" si="4"/>
        <v>0</v>
      </c>
    </row>
    <row r="89" spans="1:6" ht="19.5" customHeight="1">
      <c r="A89" s="30" t="s">
        <v>94</v>
      </c>
      <c r="B89" s="31" t="s">
        <v>95</v>
      </c>
      <c r="C89" s="32">
        <f>C90+C91+C92+C93+C94</f>
        <v>5</v>
      </c>
      <c r="D89" s="32">
        <f>D90+D91+D92+D93+D94</f>
        <v>0</v>
      </c>
      <c r="E89" s="38">
        <f t="shared" si="3"/>
        <v>0</v>
      </c>
      <c r="F89" s="22">
        <f>F90+F91+F92+F93+F94</f>
        <v>-5</v>
      </c>
    </row>
    <row r="90" spans="1:6" ht="15.75" customHeight="1">
      <c r="A90" s="35" t="s">
        <v>96</v>
      </c>
      <c r="B90" s="39" t="s">
        <v>97</v>
      </c>
      <c r="C90" s="37">
        <v>5</v>
      </c>
      <c r="D90" s="37">
        <v>0</v>
      </c>
      <c r="E90" s="38">
        <f t="shared" si="3"/>
        <v>0</v>
      </c>
      <c r="F90" s="38">
        <f>SUM(D90-C90)</f>
        <v>-5</v>
      </c>
    </row>
    <row r="91" spans="1:6" ht="1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104</v>
      </c>
      <c r="B94" s="39" t="s">
        <v>105</v>
      </c>
      <c r="C94" s="37"/>
      <c r="D94" s="37"/>
      <c r="E94" s="38" t="e">
        <f t="shared" si="3"/>
        <v>#DIV/0!</v>
      </c>
      <c r="F94" s="38"/>
    </row>
    <row r="95" spans="1:6" s="6" customFormat="1" ht="18" hidden="1" customHeight="1">
      <c r="A95" s="52">
        <v>1400</v>
      </c>
      <c r="B95" s="56" t="s">
        <v>114</v>
      </c>
      <c r="C95" s="48">
        <f>SUM(C96+C97)</f>
        <v>0</v>
      </c>
      <c r="D95" s="48">
        <f>SUM(D96+D97)</f>
        <v>0</v>
      </c>
      <c r="E95" s="34" t="e">
        <f t="shared" si="3"/>
        <v>#DIV/0!</v>
      </c>
      <c r="F95" s="34">
        <f t="shared" si="4"/>
        <v>0</v>
      </c>
    </row>
    <row r="96" spans="1:6" ht="20.25" hidden="1" customHeight="1">
      <c r="A96" s="53">
        <v>1402</v>
      </c>
      <c r="B96" s="54" t="s">
        <v>116</v>
      </c>
      <c r="C96" s="237"/>
      <c r="D96" s="238"/>
      <c r="E96" s="38" t="e">
        <f t="shared" si="3"/>
        <v>#DIV/0!</v>
      </c>
      <c r="F96" s="38">
        <f t="shared" si="4"/>
        <v>0</v>
      </c>
    </row>
    <row r="97" spans="1:7" ht="15" hidden="1" customHeight="1">
      <c r="A97" s="53">
        <v>1403</v>
      </c>
      <c r="B97" s="54" t="s">
        <v>117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6.5" customHeight="1">
      <c r="A98" s="52"/>
      <c r="B98" s="57" t="s">
        <v>118</v>
      </c>
      <c r="C98" s="371">
        <f>C56+C72+C77+C84+C89+C95+C66+C81</f>
        <v>19065.462599999999</v>
      </c>
      <c r="D98" s="371">
        <f>D56+D72+D77+D84+D89+D95+D66+D81</f>
        <v>3515.04844</v>
      </c>
      <c r="E98" s="34">
        <f t="shared" si="3"/>
        <v>18.436733027395832</v>
      </c>
      <c r="F98" s="34">
        <f t="shared" si="4"/>
        <v>-15550.414159999998</v>
      </c>
      <c r="G98" s="291">
        <f>19065.4626-C98</f>
        <v>0</v>
      </c>
    </row>
    <row r="99" spans="1:7" ht="20.25" customHeight="1">
      <c r="D99" s="243"/>
    </row>
    <row r="100" spans="1:7" s="65" customFormat="1" ht="13.5" customHeight="1">
      <c r="A100" s="63" t="s">
        <v>119</v>
      </c>
      <c r="B100" s="63"/>
      <c r="C100" s="119"/>
      <c r="D100" s="64"/>
    </row>
    <row r="101" spans="1:7" s="65" customFormat="1" ht="12.75">
      <c r="A101" s="66" t="s">
        <v>120</v>
      </c>
      <c r="B101" s="66"/>
      <c r="C101" s="134" t="s">
        <v>121</v>
      </c>
      <c r="D101" s="134"/>
    </row>
    <row r="102" spans="1:7" ht="5.25" customHeight="1"/>
  </sheetData>
  <customSheetViews>
    <customSheetView guid="{5BFCA170-DEAE-4D2C-98A0-1E68B427AC01}" showPageBreaks="1" printArea="1" hiddenRows="1" topLeftCell="A41">
      <selection activeCell="D97" sqref="D97"/>
      <pageMargins left="0.7" right="0.7" top="0.75" bottom="0.75" header="0.3" footer="0.3"/>
      <pageSetup paperSize="9" scale="50" orientation="portrait" r:id="rId1"/>
    </customSheetView>
    <customSheetView guid="{B30CE22D-C12F-4E12-8BB9-3AAE0A6991CC}" scale="70" showPageBreaks="1" printArea="1" hiddenRows="1" view="pageBreakPreview">
      <selection activeCell="D7" sqref="D7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1A52382B-3765-4E8C-903F-6B8919B7242E}" scale="70" showPageBreaks="1" printArea="1" hiddenRows="1" view="pageBreakPreview" topLeftCell="A34">
      <selection activeCell="C69" sqref="C69"/>
      <pageMargins left="0.7" right="0.7" top="0.75" bottom="0.75" header="0.3" footer="0.3"/>
      <pageSetup paperSize="9" scale="50" orientation="portrait" r:id="rId3"/>
    </customSheetView>
    <customSheetView guid="{A54C432C-6C68-4B53-A75C-446EB3A61B2B}" scale="70" showPageBreaks="1" printArea="1" hiddenRows="1" view="pageBreakPreview" topLeftCell="A42">
      <selection activeCell="G97" sqref="G97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3DCB9AAA-F09C-4EA6-B992-F93E466D374A}" hiddenRows="1" topLeftCell="A31">
      <selection activeCell="B100" sqref="B100"/>
      <pageMargins left="0.7" right="0.7" top="0.75" bottom="0.75" header="0.3" footer="0.3"/>
      <pageSetup paperSize="9" scale="50" orientation="portrait" r:id="rId5"/>
    </customSheetView>
    <customSheetView guid="{1718F1EE-9F48-4DBE-9531-3B70F9C4A5DD}" scale="70" showPageBreaks="1" printArea="1" hiddenRows="1" view="pageBreakPreview" topLeftCell="A42">
      <selection activeCell="C41" sqref="C41:C48"/>
      <pageMargins left="0.7" right="0.7" top="0.75" bottom="0.75" header="0.3" footer="0.3"/>
      <pageSetup paperSize="9" scale="41" orientation="portrait" r:id="rId6"/>
    </customSheetView>
    <customSheetView guid="{42584DC0-1D41-4C93-9B38-C388E7B8DAC4}" scale="70" showPageBreaks="1" printArea="1" hiddenRows="1" view="pageBreakPreview" topLeftCell="A54">
      <selection activeCell="C97" sqref="C97:D97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B31C8DB7-3E78-4144-A6B5-8DE36DE63F0E}" showPageBreaks="1" printArea="1" hiddenRows="1" topLeftCell="A41">
      <selection activeCell="D97" sqref="D97"/>
      <pageMargins left="0.7" right="0.7" top="0.75" bottom="0.75" header="0.3" footer="0.3"/>
      <pageSetup paperSize="9" scale="50" orientation="portrait" r:id="rId8"/>
    </customSheetView>
    <customSheetView guid="{61528DAC-5C4C-48F4-ADE2-8A724B05A086}" scale="70" showPageBreaks="1" printArea="1" hiddenRows="1" view="pageBreakPreview" topLeftCell="A13">
      <selection activeCell="C76" sqref="C76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0" orientation="portrait" r:id="rId1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G106"/>
  <sheetViews>
    <sheetView view="pageBreakPreview" zoomScale="86" zoomScaleNormal="100" zoomScaleSheetLayoutView="86" workbookViewId="0">
      <selection activeCell="C102" sqref="C102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6.85546875" style="62" customWidth="1"/>
    <col min="5" max="5" width="14.7109375" style="62" customWidth="1"/>
    <col min="6" max="6" width="16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0" t="s">
        <v>422</v>
      </c>
      <c r="B1" s="530"/>
      <c r="C1" s="530"/>
      <c r="D1" s="530"/>
      <c r="E1" s="530"/>
      <c r="F1" s="530"/>
    </row>
    <row r="2" spans="1:6">
      <c r="A2" s="530"/>
      <c r="B2" s="530"/>
      <c r="C2" s="530"/>
      <c r="D2" s="530"/>
      <c r="E2" s="530"/>
      <c r="F2" s="530"/>
    </row>
    <row r="3" spans="1:6" ht="63">
      <c r="A3" s="2" t="s">
        <v>0</v>
      </c>
      <c r="B3" s="2" t="s">
        <v>1</v>
      </c>
      <c r="C3" s="72" t="s">
        <v>411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4741.1550000000007</v>
      </c>
      <c r="D4" s="5">
        <f>D5+D12+D14+D17+D20+D7</f>
        <v>1148.41373</v>
      </c>
      <c r="E4" s="5">
        <f>SUM(D4/C4*100)</f>
        <v>24.222235510123586</v>
      </c>
      <c r="F4" s="5">
        <f>SUM(D4-C4)</f>
        <v>-3592.7412700000004</v>
      </c>
    </row>
    <row r="5" spans="1:6" s="6" customFormat="1">
      <c r="A5" s="68">
        <v>1010000000</v>
      </c>
      <c r="B5" s="67" t="s">
        <v>5</v>
      </c>
      <c r="C5" s="5">
        <f>C6</f>
        <v>1300.26</v>
      </c>
      <c r="D5" s="5">
        <f>D6</f>
        <v>471.82778000000002</v>
      </c>
      <c r="E5" s="5">
        <f t="shared" ref="E5:E52" si="0">SUM(D5/C5*100)</f>
        <v>36.287187177949029</v>
      </c>
      <c r="F5" s="5">
        <f t="shared" ref="F5:F52" si="1">SUM(D5-C5)</f>
        <v>-828.43221999999992</v>
      </c>
    </row>
    <row r="6" spans="1:6">
      <c r="A6" s="7">
        <v>1010200001</v>
      </c>
      <c r="B6" s="8" t="s">
        <v>228</v>
      </c>
      <c r="C6" s="9">
        <v>1300.26</v>
      </c>
      <c r="D6" s="10">
        <v>471.82778000000002</v>
      </c>
      <c r="E6" s="9">
        <f t="shared" ref="E6:E11" si="2">SUM(D6/C6*100)</f>
        <v>36.287187177949029</v>
      </c>
      <c r="F6" s="9">
        <f t="shared" si="1"/>
        <v>-828.43221999999992</v>
      </c>
    </row>
    <row r="7" spans="1:6" ht="31.5">
      <c r="A7" s="3">
        <v>1030000000</v>
      </c>
      <c r="B7" s="13" t="s">
        <v>280</v>
      </c>
      <c r="C7" s="5">
        <f>C8+C10+C9</f>
        <v>665.89499999999998</v>
      </c>
      <c r="D7" s="5">
        <f>D8+D10+D9+D11</f>
        <v>257.21990999999997</v>
      </c>
      <c r="E7" s="9">
        <f t="shared" si="2"/>
        <v>38.627698060505033</v>
      </c>
      <c r="F7" s="9">
        <f t="shared" si="1"/>
        <v>-408.67509000000001</v>
      </c>
    </row>
    <row r="8" spans="1:6">
      <c r="A8" s="7">
        <v>1030223001</v>
      </c>
      <c r="B8" s="8" t="s">
        <v>282</v>
      </c>
      <c r="C8" s="9">
        <v>248.38</v>
      </c>
      <c r="D8" s="10">
        <v>115.75762</v>
      </c>
      <c r="E8" s="9">
        <f t="shared" si="2"/>
        <v>46.605048715677597</v>
      </c>
      <c r="F8" s="9">
        <f t="shared" si="1"/>
        <v>-132.62237999999999</v>
      </c>
    </row>
    <row r="9" spans="1:6">
      <c r="A9" s="7">
        <v>1030224001</v>
      </c>
      <c r="B9" s="8" t="s">
        <v>288</v>
      </c>
      <c r="C9" s="9">
        <v>2.665</v>
      </c>
      <c r="D9" s="10">
        <v>0.84497</v>
      </c>
      <c r="E9" s="9">
        <f t="shared" si="2"/>
        <v>31.706191369606003</v>
      </c>
      <c r="F9" s="9">
        <f t="shared" si="1"/>
        <v>-1.82003</v>
      </c>
    </row>
    <row r="10" spans="1:6">
      <c r="A10" s="7">
        <v>1030225001</v>
      </c>
      <c r="B10" s="8" t="s">
        <v>281</v>
      </c>
      <c r="C10" s="9">
        <v>414.85</v>
      </c>
      <c r="D10" s="10">
        <v>164.54411999999999</v>
      </c>
      <c r="E10" s="9">
        <f t="shared" si="2"/>
        <v>39.663521754851146</v>
      </c>
      <c r="F10" s="9">
        <f t="shared" si="1"/>
        <v>-250.30588000000003</v>
      </c>
    </row>
    <row r="11" spans="1:6">
      <c r="A11" s="7">
        <v>1030226001</v>
      </c>
      <c r="B11" s="8" t="s">
        <v>291</v>
      </c>
      <c r="C11" s="9">
        <v>0</v>
      </c>
      <c r="D11" s="10">
        <v>-23.9268</v>
      </c>
      <c r="E11" s="9" t="e">
        <f t="shared" si="2"/>
        <v>#DIV/0!</v>
      </c>
      <c r="F11" s="9">
        <f t="shared" si="1"/>
        <v>-23.9268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5">
        <f>SUM(D13:D13)</f>
        <v>27.633299999999998</v>
      </c>
      <c r="E12" s="5">
        <f t="shared" si="0"/>
        <v>92.111000000000004</v>
      </c>
      <c r="F12" s="5">
        <f t="shared" si="1"/>
        <v>-2.3667000000000016</v>
      </c>
    </row>
    <row r="13" spans="1:6" ht="15.75" customHeight="1">
      <c r="A13" s="7">
        <v>1050300000</v>
      </c>
      <c r="B13" s="11" t="s">
        <v>229</v>
      </c>
      <c r="C13" s="12">
        <v>30</v>
      </c>
      <c r="D13" s="10">
        <v>27.633299999999998</v>
      </c>
      <c r="E13" s="9">
        <f t="shared" si="0"/>
        <v>92.111000000000004</v>
      </c>
      <c r="F13" s="9">
        <f t="shared" si="1"/>
        <v>-2.3667000000000016</v>
      </c>
    </row>
    <row r="14" spans="1:6" s="6" customFormat="1" ht="15.75" customHeight="1">
      <c r="A14" s="68">
        <v>1060000000</v>
      </c>
      <c r="B14" s="67" t="s">
        <v>135</v>
      </c>
      <c r="C14" s="5">
        <f>C15+C16</f>
        <v>2735</v>
      </c>
      <c r="D14" s="5">
        <f>D15+D16</f>
        <v>388.33274</v>
      </c>
      <c r="E14" s="5">
        <f t="shared" si="0"/>
        <v>14.198637659963437</v>
      </c>
      <c r="F14" s="5">
        <f t="shared" si="1"/>
        <v>-2346.6672600000002</v>
      </c>
    </row>
    <row r="15" spans="1:6" s="6" customFormat="1" ht="15.75" customHeight="1">
      <c r="A15" s="7">
        <v>1060100000</v>
      </c>
      <c r="B15" s="11" t="s">
        <v>8</v>
      </c>
      <c r="C15" s="9">
        <v>495</v>
      </c>
      <c r="D15" s="10">
        <v>10.32643</v>
      </c>
      <c r="E15" s="9">
        <f t="shared" si="0"/>
        <v>2.0861474747474746</v>
      </c>
      <c r="F15" s="9">
        <f>SUM(D15-C15)</f>
        <v>-484.67356999999998</v>
      </c>
    </row>
    <row r="16" spans="1:6" ht="15.75" customHeight="1">
      <c r="A16" s="7">
        <v>1060600000</v>
      </c>
      <c r="B16" s="11" t="s">
        <v>7</v>
      </c>
      <c r="C16" s="9">
        <v>2240</v>
      </c>
      <c r="D16" s="10">
        <v>378.00630999999998</v>
      </c>
      <c r="E16" s="9">
        <f t="shared" si="0"/>
        <v>16.875281696428569</v>
      </c>
      <c r="F16" s="9">
        <f t="shared" si="1"/>
        <v>-1861.99369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3.4</v>
      </c>
      <c r="E17" s="5">
        <f t="shared" si="0"/>
        <v>34</v>
      </c>
      <c r="F17" s="5">
        <f t="shared" si="1"/>
        <v>-6.6</v>
      </c>
    </row>
    <row r="18" spans="1:6" ht="15" customHeight="1">
      <c r="A18" s="7">
        <v>1080400001</v>
      </c>
      <c r="B18" s="8" t="s">
        <v>227</v>
      </c>
      <c r="C18" s="9">
        <v>10</v>
      </c>
      <c r="D18" s="10">
        <v>3.4</v>
      </c>
      <c r="E18" s="9">
        <f t="shared" si="0"/>
        <v>34</v>
      </c>
      <c r="F18" s="9">
        <f t="shared" si="1"/>
        <v>-6.6</v>
      </c>
    </row>
    <row r="19" spans="1:6" ht="1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" hidden="1" customHeight="1">
      <c r="A20" s="68">
        <v>1090000000</v>
      </c>
      <c r="B20" s="69" t="s">
        <v>123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" hidden="1" customHeight="1">
      <c r="A21" s="7">
        <v>1090100000</v>
      </c>
      <c r="B21" s="8" t="s">
        <v>124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hidden="1" customHeight="1">
      <c r="A22" s="7">
        <v>1090400000</v>
      </c>
      <c r="B22" s="8" t="s">
        <v>125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" hidden="1" customHeight="1">
      <c r="A23" s="7">
        <v>1090600000</v>
      </c>
      <c r="B23" s="8" t="s">
        <v>126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" hidden="1" customHeight="1">
      <c r="A24" s="7">
        <v>1090700000</v>
      </c>
      <c r="B24" s="8" t="s">
        <v>127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0</v>
      </c>
      <c r="D25" s="5">
        <f>D26+D29+D31+D36+D34</f>
        <v>17.513960000000001</v>
      </c>
      <c r="E25" s="5" t="e">
        <f t="shared" si="0"/>
        <v>#DIV/0!</v>
      </c>
      <c r="F25" s="5">
        <f t="shared" si="1"/>
        <v>17.513960000000001</v>
      </c>
    </row>
    <row r="26" spans="1:6" s="6" customFormat="1" ht="30" customHeight="1">
      <c r="A26" s="68">
        <v>1110000000</v>
      </c>
      <c r="B26" s="69" t="s">
        <v>128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>
      <c r="A27" s="16">
        <v>1110501101</v>
      </c>
      <c r="B27" s="17" t="s">
        <v>225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8" customHeight="1">
      <c r="A28" s="7">
        <v>1110503505</v>
      </c>
      <c r="B28" s="11" t="s">
        <v>13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17.25" customHeight="1">
      <c r="A29" s="68">
        <v>1130000000</v>
      </c>
      <c r="B29" s="69" t="s">
        <v>130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9.5" customHeight="1">
      <c r="A30" s="7">
        <v>1130206005</v>
      </c>
      <c r="B30" s="8" t="s">
        <v>14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5.5" customHeight="1">
      <c r="A31" s="70">
        <v>1140000000</v>
      </c>
      <c r="B31" s="71" t="s">
        <v>131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1.75" customHeight="1">
      <c r="A32" s="16">
        <v>1140200000</v>
      </c>
      <c r="B32" s="18" t="s">
        <v>221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5" customHeight="1">
      <c r="A33" s="7">
        <v>1140600000</v>
      </c>
      <c r="B33" s="8" t="s">
        <v>222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.75" customHeight="1">
      <c r="A34" s="3">
        <v>1160000000</v>
      </c>
      <c r="B34" s="13" t="s">
        <v>251</v>
      </c>
      <c r="C34" s="5">
        <f>C35</f>
        <v>0</v>
      </c>
      <c r="D34" s="5">
        <f>D35</f>
        <v>17.513960000000001</v>
      </c>
      <c r="E34" s="5" t="e">
        <f t="shared" si="0"/>
        <v>#DIV/0!</v>
      </c>
      <c r="F34" s="5">
        <f t="shared" si="1"/>
        <v>17.513960000000001</v>
      </c>
    </row>
    <row r="35" spans="1:7" ht="15" customHeight="1">
      <c r="A35" s="7">
        <v>1163305010</v>
      </c>
      <c r="B35" s="8" t="s">
        <v>267</v>
      </c>
      <c r="C35" s="9">
        <v>0</v>
      </c>
      <c r="D35" s="10">
        <v>17.513960000000001</v>
      </c>
      <c r="E35" s="9" t="e">
        <f t="shared" si="0"/>
        <v>#DIV/0!</v>
      </c>
      <c r="F35" s="9">
        <f t="shared" si="1"/>
        <v>17.513960000000001</v>
      </c>
    </row>
    <row r="36" spans="1:7" ht="15" customHeight="1">
      <c r="A36" s="3">
        <v>1170000000</v>
      </c>
      <c r="B36" s="13" t="s">
        <v>134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5" customHeight="1">
      <c r="A37" s="7">
        <v>1170105005</v>
      </c>
      <c r="B37" s="8" t="s">
        <v>17</v>
      </c>
      <c r="C37" s="9"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5" customHeight="1">
      <c r="A38" s="7">
        <v>1170505005</v>
      </c>
      <c r="B38" s="11" t="s">
        <v>220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18</v>
      </c>
      <c r="C39" s="127">
        <f>SUM(C4,C25)</f>
        <v>4741.1550000000007</v>
      </c>
      <c r="D39" s="127">
        <f>SUM(D4,D25)</f>
        <v>1165.92769</v>
      </c>
      <c r="E39" s="5">
        <f t="shared" si="0"/>
        <v>24.591638324416724</v>
      </c>
      <c r="F39" s="5">
        <f t="shared" si="1"/>
        <v>-3575.2273100000007</v>
      </c>
    </row>
    <row r="40" spans="1:7" s="6" customFormat="1" ht="20.25" customHeight="1">
      <c r="A40" s="3">
        <v>2000000000</v>
      </c>
      <c r="B40" s="4" t="s">
        <v>19</v>
      </c>
      <c r="C40" s="5">
        <f>C41+C43+C45+C46+C48+C49+C42+C44+C51+C47</f>
        <v>5828.0687099999996</v>
      </c>
      <c r="D40" s="340">
        <f>D41+D43+D45+D46+D48+D49+D42+D44+D51</f>
        <v>1123.4454700000001</v>
      </c>
      <c r="E40" s="5">
        <f t="shared" si="0"/>
        <v>19.276462339442809</v>
      </c>
      <c r="F40" s="5">
        <f t="shared" si="1"/>
        <v>-4704.623239999999</v>
      </c>
      <c r="G40" s="19"/>
    </row>
    <row r="41" spans="1:7" ht="15.75" customHeight="1">
      <c r="A41" s="16">
        <v>2021000000</v>
      </c>
      <c r="B41" s="17" t="s">
        <v>20</v>
      </c>
      <c r="C41" s="12">
        <v>0</v>
      </c>
      <c r="D41" s="20">
        <v>0</v>
      </c>
      <c r="E41" s="9" t="e">
        <f t="shared" si="0"/>
        <v>#DIV/0!</v>
      </c>
      <c r="F41" s="9">
        <f t="shared" si="1"/>
        <v>0</v>
      </c>
    </row>
    <row r="42" spans="1:7" ht="15.75" customHeight="1">
      <c r="A42" s="16">
        <v>2020100310</v>
      </c>
      <c r="B42" s="17" t="s">
        <v>231</v>
      </c>
      <c r="C42" s="12">
        <v>0</v>
      </c>
      <c r="D42" s="20">
        <v>0</v>
      </c>
      <c r="E42" s="9" t="e">
        <f t="shared" si="0"/>
        <v>#DIV/0!</v>
      </c>
      <c r="F42" s="9">
        <f t="shared" si="1"/>
        <v>0</v>
      </c>
    </row>
    <row r="43" spans="1:7" ht="15.75" customHeight="1">
      <c r="A43" s="16">
        <v>2022000000</v>
      </c>
      <c r="B43" s="17" t="s">
        <v>21</v>
      </c>
      <c r="C43" s="12">
        <v>4758.9176399999997</v>
      </c>
      <c r="D43" s="10">
        <v>175.83</v>
      </c>
      <c r="E43" s="9">
        <f t="shared" si="0"/>
        <v>3.6947476989746777</v>
      </c>
      <c r="F43" s="9">
        <f t="shared" si="1"/>
        <v>-4583.0876399999997</v>
      </c>
    </row>
    <row r="44" spans="1:7" hidden="1">
      <c r="A44" s="16">
        <v>2022999910</v>
      </c>
      <c r="B44" s="18" t="s">
        <v>349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5" customHeight="1">
      <c r="A45" s="16">
        <v>2023000000</v>
      </c>
      <c r="B45" s="17" t="s">
        <v>22</v>
      </c>
      <c r="C45" s="12">
        <v>181.68199999999999</v>
      </c>
      <c r="D45" s="249">
        <v>60.1464</v>
      </c>
      <c r="E45" s="9">
        <f t="shared" si="0"/>
        <v>33.105315881595317</v>
      </c>
      <c r="F45" s="9">
        <f t="shared" si="1"/>
        <v>-121.53559999999999</v>
      </c>
    </row>
    <row r="46" spans="1:7" ht="12.75" customHeight="1">
      <c r="A46" s="16">
        <v>2020400000</v>
      </c>
      <c r="B46" s="17" t="s">
        <v>23</v>
      </c>
      <c r="C46" s="12">
        <v>0</v>
      </c>
      <c r="D46" s="250">
        <v>0</v>
      </c>
      <c r="E46" s="9" t="e">
        <f t="shared" si="0"/>
        <v>#DIV/0!</v>
      </c>
      <c r="F46" s="9">
        <f t="shared" si="1"/>
        <v>0</v>
      </c>
    </row>
    <row r="47" spans="1:7" ht="12.75" customHeight="1">
      <c r="A47" s="16">
        <v>2020700000</v>
      </c>
      <c r="B47" s="17" t="s">
        <v>356</v>
      </c>
      <c r="C47" s="12">
        <v>0</v>
      </c>
      <c r="D47" s="250"/>
      <c r="E47" s="9"/>
      <c r="F47" s="9"/>
    </row>
    <row r="48" spans="1:7" ht="15" customHeight="1">
      <c r="A48" s="16">
        <v>2020900000</v>
      </c>
      <c r="B48" s="18" t="s">
        <v>24</v>
      </c>
      <c r="C48" s="12">
        <v>0</v>
      </c>
      <c r="D48" s="250">
        <v>0</v>
      </c>
      <c r="E48" s="9" t="e">
        <f t="shared" si="0"/>
        <v>#DIV/0!</v>
      </c>
      <c r="F48" s="9">
        <f t="shared" si="1"/>
        <v>0</v>
      </c>
    </row>
    <row r="49" spans="1:7" ht="15.75" customHeight="1">
      <c r="A49" s="7">
        <v>2190500005</v>
      </c>
      <c r="B49" s="11" t="s">
        <v>25</v>
      </c>
      <c r="C49" s="14">
        <v>0</v>
      </c>
      <c r="D49" s="14">
        <v>0</v>
      </c>
      <c r="E49" s="5" t="e">
        <f>SUM(D49/C49*100)</f>
        <v>#DIV/0!</v>
      </c>
      <c r="F49" s="5">
        <f>SUM(D49-C49)</f>
        <v>0</v>
      </c>
    </row>
    <row r="50" spans="1:7" s="6" customFormat="1" ht="19.5" customHeight="1">
      <c r="A50" s="3">
        <v>3000000000</v>
      </c>
      <c r="B50" s="13" t="s">
        <v>26</v>
      </c>
      <c r="C50" s="275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7">
        <v>2070500010</v>
      </c>
      <c r="B51" s="8" t="s">
        <v>351</v>
      </c>
      <c r="C51" s="12">
        <v>887.46906999999999</v>
      </c>
      <c r="D51" s="10">
        <v>887.46906999999999</v>
      </c>
      <c r="E51" s="9">
        <f t="shared" si="0"/>
        <v>100</v>
      </c>
      <c r="F51" s="9">
        <f t="shared" si="1"/>
        <v>0</v>
      </c>
    </row>
    <row r="52" spans="1:7" s="6" customFormat="1" ht="15.75" customHeight="1">
      <c r="A52" s="3"/>
      <c r="B52" s="4" t="s">
        <v>27</v>
      </c>
      <c r="C52" s="368">
        <f>C39+C40</f>
        <v>10569.22371</v>
      </c>
      <c r="D52" s="369">
        <f>D39+D40</f>
        <v>2289.3731600000001</v>
      </c>
      <c r="E52" s="5">
        <f t="shared" si="0"/>
        <v>21.660750333384705</v>
      </c>
      <c r="F52" s="5">
        <f t="shared" si="1"/>
        <v>-8279.8505499999992</v>
      </c>
      <c r="G52" s="94"/>
    </row>
    <row r="53" spans="1:7" s="6" customFormat="1">
      <c r="A53" s="3"/>
      <c r="B53" s="21" t="s">
        <v>321</v>
      </c>
      <c r="C53" s="93">
        <f>C52-C103</f>
        <v>-785.19563000000016</v>
      </c>
      <c r="D53" s="93">
        <f>D52-D103</f>
        <v>967.89381999999978</v>
      </c>
      <c r="E53" s="22"/>
      <c r="F53" s="22"/>
    </row>
    <row r="54" spans="1:7">
      <c r="A54" s="23"/>
      <c r="B54" s="24"/>
      <c r="C54" s="248"/>
      <c r="D54" s="248"/>
      <c r="E54" s="26"/>
      <c r="F54" s="92"/>
    </row>
    <row r="55" spans="1:7" ht="42.75" customHeight="1">
      <c r="A55" s="28" t="s">
        <v>0</v>
      </c>
      <c r="B55" s="28" t="s">
        <v>28</v>
      </c>
      <c r="C55" s="241" t="s">
        <v>411</v>
      </c>
      <c r="D55" s="242" t="s">
        <v>419</v>
      </c>
      <c r="E55" s="72" t="s">
        <v>2</v>
      </c>
      <c r="F55" s="74" t="s">
        <v>3</v>
      </c>
    </row>
    <row r="56" spans="1:7">
      <c r="A56" s="8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7" s="6" customFormat="1" ht="29.25" customHeight="1">
      <c r="A57" s="30" t="s">
        <v>29</v>
      </c>
      <c r="B57" s="31" t="s">
        <v>30</v>
      </c>
      <c r="C57" s="244">
        <f>C58+C59+C60+C61+C62+C64+C63</f>
        <v>2124.7999999999997</v>
      </c>
      <c r="D57" s="32">
        <f>D58+D59+D60+D61+D62+D64+D63</f>
        <v>588.76473999999996</v>
      </c>
      <c r="E57" s="34">
        <f>SUM(D57/C57*100)</f>
        <v>27.709183923192771</v>
      </c>
      <c r="F57" s="34">
        <f>SUM(D57-C57)</f>
        <v>-1536.0352599999997</v>
      </c>
    </row>
    <row r="58" spans="1:7" s="6" customFormat="1" ht="31.5" hidden="1">
      <c r="A58" s="35" t="s">
        <v>31</v>
      </c>
      <c r="B58" s="36" t="s">
        <v>32</v>
      </c>
      <c r="C58" s="37"/>
      <c r="D58" s="37"/>
      <c r="E58" s="38"/>
      <c r="F58" s="38"/>
    </row>
    <row r="59" spans="1:7">
      <c r="A59" s="35" t="s">
        <v>33</v>
      </c>
      <c r="B59" s="39" t="s">
        <v>34</v>
      </c>
      <c r="C59" s="37">
        <v>2115.3229999999999</v>
      </c>
      <c r="D59" s="37">
        <v>588.76473999999996</v>
      </c>
      <c r="E59" s="38">
        <f t="shared" ref="E59:E103" si="3">SUM(D59/C59*100)</f>
        <v>27.833325690686483</v>
      </c>
      <c r="F59" s="38">
        <f t="shared" ref="F59:F103" si="4">SUM(D59-C59)</f>
        <v>-1526.5582599999998</v>
      </c>
    </row>
    <row r="60" spans="1:7" ht="0.75" hidden="1" customHeight="1">
      <c r="A60" s="35" t="s">
        <v>35</v>
      </c>
      <c r="B60" s="39" t="s">
        <v>36</v>
      </c>
      <c r="C60" s="37"/>
      <c r="D60" s="37"/>
      <c r="E60" s="38"/>
      <c r="F60" s="38">
        <f t="shared" si="4"/>
        <v>0</v>
      </c>
    </row>
    <row r="61" spans="1:7" ht="31.5" hidden="1" customHeight="1">
      <c r="A61" s="35" t="s">
        <v>37</v>
      </c>
      <c r="B61" s="39" t="s">
        <v>38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7">
      <c r="A62" s="35" t="s">
        <v>39</v>
      </c>
      <c r="B62" s="39" t="s">
        <v>40</v>
      </c>
      <c r="C62" s="37">
        <v>0</v>
      </c>
      <c r="D62" s="37">
        <v>0</v>
      </c>
      <c r="E62" s="38" t="e">
        <f t="shared" si="3"/>
        <v>#DIV/0!</v>
      </c>
      <c r="F62" s="38">
        <f t="shared" si="4"/>
        <v>0</v>
      </c>
    </row>
    <row r="63" spans="1:7" ht="15.75" customHeight="1">
      <c r="A63" s="35" t="s">
        <v>41</v>
      </c>
      <c r="B63" s="39" t="s">
        <v>42</v>
      </c>
      <c r="C63" s="40">
        <v>5</v>
      </c>
      <c r="D63" s="40">
        <v>0</v>
      </c>
      <c r="E63" s="38">
        <f>SUM(D63/C63*100)</f>
        <v>0</v>
      </c>
      <c r="F63" s="38">
        <f t="shared" si="4"/>
        <v>-5</v>
      </c>
    </row>
    <row r="64" spans="1:7" ht="18" customHeight="1">
      <c r="A64" s="35" t="s">
        <v>43</v>
      </c>
      <c r="B64" s="39" t="s">
        <v>44</v>
      </c>
      <c r="C64" s="37">
        <v>4.4770000000000003</v>
      </c>
      <c r="D64" s="37">
        <v>0</v>
      </c>
      <c r="E64" s="38">
        <f t="shared" si="3"/>
        <v>0</v>
      </c>
      <c r="F64" s="38">
        <f t="shared" si="4"/>
        <v>-4.4770000000000003</v>
      </c>
    </row>
    <row r="65" spans="1:7" s="6" customFormat="1">
      <c r="A65" s="41" t="s">
        <v>45</v>
      </c>
      <c r="B65" s="42" t="s">
        <v>46</v>
      </c>
      <c r="C65" s="32">
        <f>C66</f>
        <v>179.892</v>
      </c>
      <c r="D65" s="32">
        <f>D66</f>
        <v>54.289560000000002</v>
      </c>
      <c r="E65" s="34">
        <f t="shared" si="3"/>
        <v>30.178974051097327</v>
      </c>
      <c r="F65" s="34">
        <f t="shared" si="4"/>
        <v>-125.60244</v>
      </c>
    </row>
    <row r="66" spans="1:7">
      <c r="A66" s="43" t="s">
        <v>47</v>
      </c>
      <c r="B66" s="44" t="s">
        <v>48</v>
      </c>
      <c r="C66" s="37">
        <v>179.892</v>
      </c>
      <c r="D66" s="37">
        <v>54.289560000000002</v>
      </c>
      <c r="E66" s="38">
        <f t="shared" si="3"/>
        <v>30.178974051097327</v>
      </c>
      <c r="F66" s="38">
        <f t="shared" si="4"/>
        <v>-125.60244</v>
      </c>
    </row>
    <row r="67" spans="1:7" s="6" customFormat="1" ht="15" customHeight="1">
      <c r="A67" s="30" t="s">
        <v>49</v>
      </c>
      <c r="B67" s="31" t="s">
        <v>50</v>
      </c>
      <c r="C67" s="32">
        <f>C70+C71+C72</f>
        <v>9</v>
      </c>
      <c r="D67" s="32">
        <f>D70+D71</f>
        <v>0.6</v>
      </c>
      <c r="E67" s="34">
        <f t="shared" si="3"/>
        <v>6.666666666666667</v>
      </c>
      <c r="F67" s="34">
        <f t="shared" si="4"/>
        <v>-8.4</v>
      </c>
    </row>
    <row r="68" spans="1:7" hidden="1">
      <c r="A68" s="3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53</v>
      </c>
      <c r="B69" s="39" t="s">
        <v>54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55</v>
      </c>
      <c r="B70" s="47" t="s">
        <v>56</v>
      </c>
      <c r="C70" s="96">
        <v>2</v>
      </c>
      <c r="D70" s="37">
        <v>0</v>
      </c>
      <c r="E70" s="34">
        <f t="shared" si="3"/>
        <v>0</v>
      </c>
      <c r="F70" s="34">
        <f t="shared" si="4"/>
        <v>-2</v>
      </c>
    </row>
    <row r="71" spans="1:7" ht="15.75" customHeight="1">
      <c r="A71" s="46" t="s">
        <v>218</v>
      </c>
      <c r="B71" s="47" t="s">
        <v>219</v>
      </c>
      <c r="C71" s="37">
        <v>5</v>
      </c>
      <c r="D71" s="37">
        <v>0.6</v>
      </c>
      <c r="E71" s="34">
        <f t="shared" si="3"/>
        <v>12</v>
      </c>
      <c r="F71" s="34">
        <f t="shared" si="4"/>
        <v>-4.4000000000000004</v>
      </c>
    </row>
    <row r="72" spans="1:7" ht="15.75" customHeight="1">
      <c r="A72" s="46" t="s">
        <v>357</v>
      </c>
      <c r="B72" s="47" t="s">
        <v>415</v>
      </c>
      <c r="C72" s="37">
        <v>2</v>
      </c>
      <c r="D72" s="37"/>
      <c r="E72" s="34"/>
      <c r="F72" s="34"/>
    </row>
    <row r="73" spans="1:7" s="6" customFormat="1" ht="17.25" customHeight="1">
      <c r="A73" s="30" t="s">
        <v>57</v>
      </c>
      <c r="B73" s="31" t="s">
        <v>58</v>
      </c>
      <c r="C73" s="48">
        <f>SUM(C74:C77)</f>
        <v>6768.4988400000002</v>
      </c>
      <c r="D73" s="48">
        <f>SUM(D74:D77)</f>
        <v>290.17392000000001</v>
      </c>
      <c r="E73" s="34">
        <f t="shared" si="3"/>
        <v>4.287123730968978</v>
      </c>
      <c r="F73" s="34">
        <f t="shared" si="4"/>
        <v>-6478.32492</v>
      </c>
    </row>
    <row r="74" spans="1:7" ht="15" customHeight="1">
      <c r="A74" s="35" t="s">
        <v>59</v>
      </c>
      <c r="B74" s="39" t="s">
        <v>60</v>
      </c>
      <c r="C74" s="49">
        <v>4.0214999999999996</v>
      </c>
      <c r="D74" s="37">
        <v>1.3405</v>
      </c>
      <c r="E74" s="38">
        <f t="shared" si="3"/>
        <v>33.333333333333336</v>
      </c>
      <c r="F74" s="38">
        <f t="shared" si="4"/>
        <v>-2.6809999999999996</v>
      </c>
    </row>
    <row r="75" spans="1:7" s="6" customFormat="1" ht="15" customHeight="1">
      <c r="A75" s="35" t="s">
        <v>61</v>
      </c>
      <c r="B75" s="39" t="s">
        <v>62</v>
      </c>
      <c r="C75" s="49">
        <v>268</v>
      </c>
      <c r="D75" s="37">
        <v>89.025700000000001</v>
      </c>
      <c r="E75" s="38">
        <f t="shared" si="3"/>
        <v>33.218544776119401</v>
      </c>
      <c r="F75" s="38">
        <f t="shared" si="4"/>
        <v>-178.9743</v>
      </c>
      <c r="G75" s="50"/>
    </row>
    <row r="76" spans="1:7">
      <c r="A76" s="35" t="s">
        <v>63</v>
      </c>
      <c r="B76" s="39" t="s">
        <v>64</v>
      </c>
      <c r="C76" s="49">
        <v>6479.4773400000004</v>
      </c>
      <c r="D76" s="37">
        <v>199.80771999999999</v>
      </c>
      <c r="E76" s="38">
        <f t="shared" si="3"/>
        <v>3.0837011924792068</v>
      </c>
      <c r="F76" s="38">
        <f t="shared" si="4"/>
        <v>-6279.6696200000006</v>
      </c>
    </row>
    <row r="77" spans="1:7">
      <c r="A77" s="35" t="s">
        <v>65</v>
      </c>
      <c r="B77" s="39" t="s">
        <v>66</v>
      </c>
      <c r="C77" s="49">
        <v>17</v>
      </c>
      <c r="D77" s="37">
        <v>0</v>
      </c>
      <c r="E77" s="38">
        <f t="shared" si="3"/>
        <v>0</v>
      </c>
      <c r="F77" s="38">
        <f t="shared" si="4"/>
        <v>-17</v>
      </c>
    </row>
    <row r="78" spans="1:7" s="6" customFormat="1" ht="17.25" customHeight="1">
      <c r="A78" s="30" t="s">
        <v>67</v>
      </c>
      <c r="B78" s="31" t="s">
        <v>68</v>
      </c>
      <c r="C78" s="32">
        <f>SUM(C79:C82)</f>
        <v>830.52850000000001</v>
      </c>
      <c r="D78" s="32">
        <f>SUM(D79:D82)</f>
        <v>142.36712</v>
      </c>
      <c r="E78" s="34">
        <f t="shared" si="3"/>
        <v>17.141750102494978</v>
      </c>
      <c r="F78" s="34">
        <f t="shared" si="4"/>
        <v>-688.16138000000001</v>
      </c>
    </row>
    <row r="79" spans="1:7" ht="17.25" customHeight="1">
      <c r="A79" s="35" t="s">
        <v>69</v>
      </c>
      <c r="B79" s="51" t="s">
        <v>70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5" customHeight="1">
      <c r="A80" s="35" t="s">
        <v>71</v>
      </c>
      <c r="B80" s="51" t="s">
        <v>72</v>
      </c>
      <c r="C80" s="37">
        <v>0</v>
      </c>
      <c r="D80" s="37">
        <v>0</v>
      </c>
      <c r="E80" s="38" t="e">
        <f t="shared" si="3"/>
        <v>#DIV/0!</v>
      </c>
      <c r="F80" s="38">
        <f t="shared" si="4"/>
        <v>0</v>
      </c>
    </row>
    <row r="81" spans="1:6" ht="18" customHeight="1">
      <c r="A81" s="35" t="s">
        <v>73</v>
      </c>
      <c r="B81" s="39" t="s">
        <v>74</v>
      </c>
      <c r="C81" s="37">
        <v>830.52850000000001</v>
      </c>
      <c r="D81" s="37">
        <v>142.36712</v>
      </c>
      <c r="E81" s="38">
        <f t="shared" si="3"/>
        <v>17.141750102494978</v>
      </c>
      <c r="F81" s="38">
        <f t="shared" si="4"/>
        <v>-688.16138000000001</v>
      </c>
    </row>
    <row r="82" spans="1:6" hidden="1">
      <c r="A82" s="35" t="s">
        <v>263</v>
      </c>
      <c r="B82" s="39" t="s">
        <v>264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s="6" customFormat="1" ht="20.25" customHeight="1">
      <c r="A83" s="30" t="s">
        <v>85</v>
      </c>
      <c r="B83" s="31" t="s">
        <v>86</v>
      </c>
      <c r="C83" s="32">
        <f>C84+C85</f>
        <v>1411.7</v>
      </c>
      <c r="D83" s="32">
        <f>D84+D85</f>
        <v>235.28399999999999</v>
      </c>
      <c r="E83" s="34">
        <f t="shared" si="3"/>
        <v>16.666713891053337</v>
      </c>
      <c r="F83" s="34">
        <f t="shared" si="4"/>
        <v>-1176.4160000000002</v>
      </c>
    </row>
    <row r="84" spans="1:6" ht="18" hidden="1" customHeight="1">
      <c r="A84" s="35" t="s">
        <v>87</v>
      </c>
      <c r="B84" s="39" t="s">
        <v>233</v>
      </c>
      <c r="C84" s="37">
        <v>1411.7</v>
      </c>
      <c r="D84" s="37">
        <v>235.28399999999999</v>
      </c>
      <c r="E84" s="38">
        <f t="shared" si="3"/>
        <v>16.666713891053337</v>
      </c>
      <c r="F84" s="38">
        <f t="shared" si="4"/>
        <v>-1176.4160000000002</v>
      </c>
    </row>
    <row r="85" spans="1:6" hidden="1">
      <c r="A85" s="35" t="s">
        <v>272</v>
      </c>
      <c r="B85" s="39" t="s">
        <v>273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s="6" customFormat="1" hidden="1">
      <c r="A86" s="52">
        <v>1000</v>
      </c>
      <c r="B86" s="31" t="s">
        <v>88</v>
      </c>
      <c r="C86" s="32">
        <f>SUM(C87:C90)</f>
        <v>0</v>
      </c>
      <c r="D86" s="32">
        <f>SUM(D87:D90)</f>
        <v>0</v>
      </c>
      <c r="E86" s="38" t="e">
        <f t="shared" si="3"/>
        <v>#DIV/0!</v>
      </c>
      <c r="F86" s="38">
        <f t="shared" si="4"/>
        <v>0</v>
      </c>
    </row>
    <row r="87" spans="1:6" hidden="1">
      <c r="A87" s="53">
        <v>1001</v>
      </c>
      <c r="B87" s="54" t="s">
        <v>89</v>
      </c>
      <c r="C87" s="37"/>
      <c r="D87" s="37"/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53">
        <v>1003</v>
      </c>
      <c r="B88" s="54" t="s">
        <v>90</v>
      </c>
      <c r="C88" s="37">
        <v>0</v>
      </c>
      <c r="D88" s="37">
        <v>0</v>
      </c>
      <c r="E88" s="38" t="e">
        <f t="shared" si="3"/>
        <v>#DIV/0!</v>
      </c>
      <c r="F88" s="38">
        <f t="shared" si="4"/>
        <v>0</v>
      </c>
    </row>
    <row r="89" spans="1:6" ht="15" hidden="1" customHeight="1">
      <c r="A89" s="53">
        <v>1004</v>
      </c>
      <c r="B89" s="54" t="s">
        <v>91</v>
      </c>
      <c r="C89" s="37">
        <v>0</v>
      </c>
      <c r="D89" s="55">
        <v>0</v>
      </c>
      <c r="E89" s="38" t="e">
        <f t="shared" si="3"/>
        <v>#DIV/0!</v>
      </c>
      <c r="F89" s="38">
        <f t="shared" si="4"/>
        <v>0</v>
      </c>
    </row>
    <row r="90" spans="1:6" ht="18" hidden="1" customHeight="1">
      <c r="A90" s="35" t="s">
        <v>92</v>
      </c>
      <c r="B90" s="39" t="s">
        <v>93</v>
      </c>
      <c r="C90" s="37">
        <v>0</v>
      </c>
      <c r="D90" s="37">
        <v>0</v>
      </c>
      <c r="E90" s="38" t="e">
        <f t="shared" si="3"/>
        <v>#DIV/0!</v>
      </c>
      <c r="F90" s="38">
        <f t="shared" si="4"/>
        <v>0</v>
      </c>
    </row>
    <row r="91" spans="1:6" ht="18.75" customHeight="1">
      <c r="A91" s="52">
        <v>1000</v>
      </c>
      <c r="B91" s="31" t="s">
        <v>88</v>
      </c>
      <c r="C91" s="32">
        <f>SUM(C92)</f>
        <v>0</v>
      </c>
      <c r="D91" s="32">
        <f>SUM(D92)</f>
        <v>0</v>
      </c>
      <c r="E91" s="34" t="e">
        <f t="shared" si="3"/>
        <v>#DIV/0!</v>
      </c>
      <c r="F91" s="34">
        <f t="shared" si="4"/>
        <v>0</v>
      </c>
    </row>
    <row r="92" spans="1:6" ht="20.25" customHeight="1">
      <c r="A92" s="53">
        <v>1006</v>
      </c>
      <c r="B92" s="54" t="s">
        <v>89</v>
      </c>
      <c r="C92" s="37">
        <v>0</v>
      </c>
      <c r="D92" s="37">
        <v>0</v>
      </c>
      <c r="E92" s="38" t="e">
        <f t="shared" si="3"/>
        <v>#DIV/0!</v>
      </c>
      <c r="F92" s="38">
        <f t="shared" si="4"/>
        <v>0</v>
      </c>
    </row>
    <row r="93" spans="1:6" ht="16.5" customHeight="1">
      <c r="A93" s="53">
        <v>1100</v>
      </c>
      <c r="B93" s="56" t="s">
        <v>95</v>
      </c>
      <c r="C93" s="32">
        <f>C94+C95+C96+C97+C98</f>
        <v>30</v>
      </c>
      <c r="D93" s="32">
        <f>D94+D95+D96+D97+D98</f>
        <v>10</v>
      </c>
      <c r="E93" s="38">
        <f t="shared" si="3"/>
        <v>33.333333333333329</v>
      </c>
      <c r="F93" s="22">
        <f>F94+F95+F96+F97+F98</f>
        <v>-20</v>
      </c>
    </row>
    <row r="94" spans="1:6" ht="18.75" customHeight="1">
      <c r="A94" s="53">
        <v>1101</v>
      </c>
      <c r="B94" s="54" t="s">
        <v>97</v>
      </c>
      <c r="C94" s="37">
        <v>30</v>
      </c>
      <c r="D94" s="37">
        <v>10</v>
      </c>
      <c r="E94" s="38">
        <f t="shared" si="3"/>
        <v>33.333333333333329</v>
      </c>
      <c r="F94" s="38">
        <f>SUM(D94-C94)</f>
        <v>-20</v>
      </c>
    </row>
    <row r="95" spans="1:6" ht="0.75" hidden="1" customHeight="1">
      <c r="A95" s="35" t="s">
        <v>92</v>
      </c>
      <c r="B95" s="39" t="s">
        <v>93</v>
      </c>
      <c r="C95" s="37"/>
      <c r="D95" s="37"/>
      <c r="E95" s="38" t="e">
        <f t="shared" si="3"/>
        <v>#DIV/0!</v>
      </c>
      <c r="F95" s="38">
        <f>SUM(D95-C95)</f>
        <v>0</v>
      </c>
    </row>
    <row r="96" spans="1:6" ht="18" hidden="1" customHeight="1">
      <c r="A96" s="35" t="s">
        <v>100</v>
      </c>
      <c r="B96" s="39" t="s">
        <v>101</v>
      </c>
      <c r="C96" s="37"/>
      <c r="D96" s="37"/>
      <c r="E96" s="38" t="e">
        <f t="shared" si="3"/>
        <v>#DIV/0!</v>
      </c>
      <c r="F96" s="38"/>
    </row>
    <row r="97" spans="1:6" ht="17.25" hidden="1" customHeight="1">
      <c r="A97" s="35" t="s">
        <v>102</v>
      </c>
      <c r="B97" s="39" t="s">
        <v>103</v>
      </c>
      <c r="C97" s="37"/>
      <c r="D97" s="37"/>
      <c r="E97" s="38" t="e">
        <f t="shared" si="3"/>
        <v>#DIV/0!</v>
      </c>
      <c r="F97" s="38"/>
    </row>
    <row r="98" spans="1:6" ht="18" hidden="1" customHeight="1">
      <c r="A98" s="35" t="s">
        <v>104</v>
      </c>
      <c r="B98" s="39" t="s">
        <v>105</v>
      </c>
      <c r="C98" s="37"/>
      <c r="D98" s="37"/>
      <c r="E98" s="38" t="e">
        <f t="shared" si="3"/>
        <v>#DIV/0!</v>
      </c>
      <c r="F98" s="38"/>
    </row>
    <row r="99" spans="1:6" s="6" customFormat="1" ht="57.75" hidden="1" customHeight="1">
      <c r="A99" s="52">
        <v>1400</v>
      </c>
      <c r="B99" s="56" t="s">
        <v>114</v>
      </c>
      <c r="C99" s="48">
        <f>C100+C101+C102</f>
        <v>0</v>
      </c>
      <c r="D99" s="48">
        <f>SUM(D100:D102)</f>
        <v>0</v>
      </c>
      <c r="E99" s="34" t="e">
        <f t="shared" si="3"/>
        <v>#DIV/0!</v>
      </c>
      <c r="F99" s="34">
        <f t="shared" si="4"/>
        <v>0</v>
      </c>
    </row>
    <row r="100" spans="1:6" ht="1.5" hidden="1" customHeight="1">
      <c r="A100" s="53">
        <v>1401</v>
      </c>
      <c r="B100" s="54" t="s">
        <v>115</v>
      </c>
      <c r="C100" s="49"/>
      <c r="D100" s="37"/>
      <c r="E100" s="38" t="e">
        <f t="shared" si="3"/>
        <v>#DIV/0!</v>
      </c>
      <c r="F100" s="38">
        <f t="shared" si="4"/>
        <v>0</v>
      </c>
    </row>
    <row r="101" spans="1:6" ht="16.5" customHeight="1">
      <c r="A101" s="53">
        <v>1402</v>
      </c>
      <c r="B101" s="54" t="s">
        <v>116</v>
      </c>
      <c r="C101" s="49"/>
      <c r="D101" s="37"/>
      <c r="E101" s="38" t="e">
        <f t="shared" si="3"/>
        <v>#DIV/0!</v>
      </c>
      <c r="F101" s="38">
        <f t="shared" si="4"/>
        <v>0</v>
      </c>
    </row>
    <row r="102" spans="1:6" ht="20.25" customHeight="1">
      <c r="A102" s="53">
        <v>1403</v>
      </c>
      <c r="B102" s="54" t="s">
        <v>117</v>
      </c>
      <c r="C102" s="49"/>
      <c r="D102" s="37"/>
      <c r="E102" s="38" t="e">
        <f t="shared" si="3"/>
        <v>#DIV/0!</v>
      </c>
      <c r="F102" s="38">
        <f t="shared" si="4"/>
        <v>0</v>
      </c>
    </row>
    <row r="103" spans="1:6" s="6" customFormat="1" ht="14.25" customHeight="1">
      <c r="A103" s="52"/>
      <c r="B103" s="57" t="s">
        <v>118</v>
      </c>
      <c r="C103" s="371">
        <f>C57+C65+C67+C73+C78+C83+C86+C93+C99+C91</f>
        <v>11354.41934</v>
      </c>
      <c r="D103" s="371">
        <f>D57+D65+D67+D73+D78+D83+D86+D93+D99+D91</f>
        <v>1321.4793400000003</v>
      </c>
      <c r="E103" s="34">
        <f t="shared" si="3"/>
        <v>11.63845812303776</v>
      </c>
      <c r="F103" s="34">
        <f t="shared" si="4"/>
        <v>-10032.94</v>
      </c>
    </row>
    <row r="104" spans="1:6">
      <c r="D104" s="243"/>
    </row>
    <row r="105" spans="1:6" s="65" customFormat="1" ht="12.75">
      <c r="A105" s="63" t="s">
        <v>119</v>
      </c>
      <c r="B105" s="63"/>
      <c r="C105" s="119"/>
      <c r="D105" s="64"/>
    </row>
    <row r="106" spans="1:6" s="65" customFormat="1" ht="18.75" customHeight="1">
      <c r="A106" s="66" t="s">
        <v>120</v>
      </c>
      <c r="B106" s="66"/>
      <c r="C106" s="65" t="s">
        <v>121</v>
      </c>
    </row>
  </sheetData>
  <customSheetViews>
    <customSheetView guid="{5BFCA170-DEAE-4D2C-98A0-1E68B427AC01}" scale="86" showPageBreaks="1" hiddenRows="1" view="pageBreakPreview">
      <selection activeCell="C102" sqref="C102"/>
      <pageMargins left="0.7" right="0.7" top="0.75" bottom="0.75" header="0.3" footer="0.3"/>
      <pageSetup paperSize="9" scale="53" orientation="portrait" r:id="rId1"/>
    </customSheetView>
    <customSheetView guid="{B30CE22D-C12F-4E12-8BB9-3AAE0A6991CC}" scale="70" showPageBreaks="1" hiddenRows="1" view="pageBreakPreview">
      <selection activeCell="C48" sqref="C48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1A52382B-3765-4E8C-903F-6B8919B7242E}" scale="86" showPageBreaks="1" hiddenRows="1" view="pageBreakPreview" topLeftCell="A46">
      <selection activeCell="J91" sqref="J91"/>
      <pageMargins left="0.7" right="0.7" top="0.75" bottom="0.75" header="0.3" footer="0.3"/>
      <pageSetup paperSize="9" scale="52" orientation="portrait" r:id="rId3"/>
    </customSheetView>
    <customSheetView guid="{A54C432C-6C68-4B53-A75C-446EB3A61B2B}" scale="70" showPageBreaks="1" hiddenRows="1" view="pageBreakPreview" topLeftCell="A50">
      <selection activeCell="D81" sqref="D81"/>
      <pageMargins left="0.70866141732283472" right="0.70866141732283472" top="0.74803149606299213" bottom="0.74803149606299213" header="0.31496062992125984" footer="0.31496062992125984"/>
      <pageSetup paperSize="9" scale="64" orientation="portrait" r:id="rId4"/>
    </customSheetView>
    <customSheetView guid="{3DCB9AAA-F09C-4EA6-B992-F93E466D374A}" scale="70" showPageBreaks="1" hiddenRows="1" view="pageBreakPreview" topLeftCell="A4">
      <selection activeCell="C47" sqref="C47"/>
      <pageMargins left="0.7" right="0.7" top="0.75" bottom="0.75" header="0.3" footer="0.3"/>
      <pageSetup paperSize="9" scale="53" orientation="portrait" r:id="rId5"/>
    </customSheetView>
    <customSheetView guid="{1718F1EE-9F48-4DBE-9531-3B70F9C4A5DD}" scale="70" showPageBreaks="1" hiddenRows="1" view="pageBreakPreview" topLeftCell="A42">
      <selection activeCell="D101" sqref="D101"/>
      <pageMargins left="0.7" right="0.7" top="0.75" bottom="0.75" header="0.3" footer="0.3"/>
      <pageSetup paperSize="9" scale="39" orientation="portrait" r:id="rId6"/>
    </customSheetView>
    <customSheetView guid="{42584DC0-1D41-4C93-9B38-C388E7B8DAC4}" scale="70" showPageBreaks="1" hiddenRows="1" view="pageBreakPreview" topLeftCell="A61">
      <selection activeCell="D101" sqref="C101:D101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B31C8DB7-3E78-4144-A6B5-8DE36DE63F0E}" scale="86" showPageBreaks="1" hiddenRows="1" view="pageBreakPreview">
      <selection activeCell="C102" sqref="C102"/>
      <pageMargins left="0.7" right="0.7" top="0.75" bottom="0.75" header="0.3" footer="0.3"/>
      <pageSetup paperSize="9" scale="53" orientation="portrait" r:id="rId8"/>
    </customSheetView>
    <customSheetView guid="{61528DAC-5C4C-48F4-ADE2-8A724B05A086}" scale="70" showPageBreaks="1" hiddenRows="1" view="pageBreakPreview" topLeftCell="A28">
      <selection activeCell="D94" sqref="D94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5" type="noConversion"/>
  <pageMargins left="0.7" right="0.7" top="0.75" bottom="0.75" header="0.3" footer="0.3"/>
  <pageSetup paperSize="9" scale="53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7</vt:i4>
      </vt:variant>
    </vt:vector>
  </HeadingPairs>
  <TitlesOfParts>
    <vt:vector size="28" baseType="lpstr">
      <vt:lpstr>Консол</vt:lpstr>
      <vt:lpstr>Справка</vt:lpstr>
      <vt:lpstr>район</vt:lpstr>
      <vt:lpstr>Але</vt:lpstr>
      <vt:lpstr>Сун</vt:lpstr>
      <vt:lpstr>Иль</vt:lpstr>
      <vt:lpstr>Кад</vt:lpstr>
      <vt:lpstr>Мор</vt:lpstr>
      <vt:lpstr>Мос</vt:lpstr>
      <vt:lpstr>Ори</vt:lpstr>
      <vt:lpstr>Сят</vt:lpstr>
      <vt:lpstr>Тор</vt:lpstr>
      <vt:lpstr>Хор</vt:lpstr>
      <vt:lpstr>Чум</vt:lpstr>
      <vt:lpstr>Шать</vt:lpstr>
      <vt:lpstr>Юнг</vt:lpstr>
      <vt:lpstr>Юсь</vt:lpstr>
      <vt:lpstr>Яра</vt:lpstr>
      <vt:lpstr>Яро</vt:lpstr>
      <vt:lpstr>Лист1</vt:lpstr>
      <vt:lpstr>Лист2</vt:lpstr>
      <vt:lpstr>Иль!Область_печати</vt:lpstr>
      <vt:lpstr>Консол!Область_печати</vt:lpstr>
      <vt:lpstr>Мор!Область_печати</vt:lpstr>
      <vt:lpstr>Справка!Область_печати</vt:lpstr>
      <vt:lpstr>Тор!Область_печати</vt:lpstr>
      <vt:lpstr>Юнг!Область_печати</vt:lpstr>
      <vt:lpstr>Яра!Область_печати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morgau_fin7</cp:lastModifiedBy>
  <cp:lastPrinted>2019-05-07T05:39:54Z</cp:lastPrinted>
  <dcterms:created xsi:type="dcterms:W3CDTF">1996-10-08T23:32:33Z</dcterms:created>
  <dcterms:modified xsi:type="dcterms:W3CDTF">2019-05-08T11:10:33Z</dcterms:modified>
</cp:coreProperties>
</file>