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120" yWindow="120" windowWidth="9720" windowHeight="7320" tabRatio="695" activeTab="7"/>
  </bookViews>
  <sheets>
    <sheet name="Консол" sheetId="1" r:id="rId1"/>
    <sheet name="Справка" sheetId="2" r:id="rId2"/>
    <sheet name="район" sheetId="3" r:id="rId3"/>
    <sheet name="Але" sheetId="4" r:id="rId4"/>
    <sheet name="Сун" sheetId="5" r:id="rId5"/>
    <sheet name="Иль" sheetId="6" r:id="rId6"/>
    <sheet name="Кад" sheetId="7" r:id="rId7"/>
    <sheet name="Мор" sheetId="8" r:id="rId8"/>
    <sheet name="Мос" sheetId="9" r:id="rId9"/>
    <sheet name="Ори" sheetId="10" r:id="rId10"/>
    <sheet name="Сят" sheetId="11" r:id="rId11"/>
    <sheet name="Тор" sheetId="12" r:id="rId12"/>
    <sheet name="Хор" sheetId="13" r:id="rId13"/>
    <sheet name="Чум" sheetId="14" r:id="rId14"/>
    <sheet name="Шать" sheetId="15" r:id="rId15"/>
    <sheet name="Юнг" sheetId="16" r:id="rId16"/>
    <sheet name="Юсь" sheetId="17" r:id="rId17"/>
    <sheet name="Яра" sheetId="18" r:id="rId18"/>
    <sheet name="Яро" sheetId="19" r:id="rId19"/>
    <sheet name="Лист1" sheetId="20" state="hidden" r:id="rId20"/>
    <sheet name="Лист2" sheetId="21" state="hidden" r:id="rId21"/>
  </sheets>
  <definedNames>
    <definedName name="Z_1718F1EE_9F48_4DBE_9531_3B70F9C4A5DD_.wvu.Cols" localSheetId="1" hidden="1">Справка!$AV:$AX,Справка!$BB:$BD,Справка!$BH:$BP,Справка!$BT:$BY,Справка!$CX:$DF</definedName>
    <definedName name="Z_1718F1EE_9F48_4DBE_9531_3B70F9C4A5DD_.wvu.PrintArea" localSheetId="5" hidden="1">Иль!$A$1:$F$104</definedName>
    <definedName name="Z_1718F1EE_9F48_4DBE_9531_3B70F9C4A5DD_.wvu.PrintArea" localSheetId="0" hidden="1">Консол!$A$1:$K$50</definedName>
    <definedName name="Z_1718F1EE_9F48_4DBE_9531_3B70F9C4A5DD_.wvu.PrintArea" localSheetId="7" hidden="1">Мор!$A$1:$F$101</definedName>
    <definedName name="Z_1718F1EE_9F48_4DBE_9531_3B70F9C4A5DD_.wvu.PrintArea" localSheetId="1" hidden="1">Справка!$A$1:$EY$31</definedName>
    <definedName name="Z_1718F1EE_9F48_4DBE_9531_3B70F9C4A5DD_.wvu.PrintArea" localSheetId="11" hidden="1">Тор!$A$1:$F$102</definedName>
    <definedName name="Z_1718F1EE_9F48_4DBE_9531_3B70F9C4A5DD_.wvu.PrintArea" localSheetId="15" hidden="1">Юнг!$A$1:$F$100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Але!$19:$24,Але!$28:$36,Але!$46:$46,Але!$53:$53,Але!$55:$57,Але!$63:$64,Але!$70:$70,Але!$72:$72,Але!$74:$75,Але!$79:$83,Але!$86:$93,Але!$142:$142</definedName>
    <definedName name="Z_1718F1EE_9F48_4DBE_9531_3B70F9C4A5DD_.wvu.Rows" localSheetId="5" hidden="1">Иль!$19:$24,Иль!$30:$39,Иль!$45:$45,Иль!$47:$50,Иль!$58:$58,Иль!$60:$62,Иль!$68:$69,Иль!$78:$79,Иль!$81:$81,Иль!$86:$90,Иль!$93:$100,Иль!$143:$143</definedName>
    <definedName name="Z_1718F1EE_9F48_4DBE_9531_3B70F9C4A5DD_.wvu.Rows" localSheetId="6" hidden="1">Кад!$19:$24,Кад!$29:$35,Кад!$38:$38,Кад!$42:$42,Кад!$44:$44,Кад!$46:$49,Кад!$56:$56,Кад!$58:$60,Кад!$66:$67,Кад!$77:$78,Кад!$82:$86,Кад!$89:$96,Кад!$142:$142</definedName>
    <definedName name="Z_1718F1EE_9F48_4DBE_9531_3B70F9C4A5DD_.wvu.Rows" localSheetId="0" hidden="1">Консол!$22:$22,Консол!$43:$45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Мор!$17:$24,Мор!$27:$27,Мор!$31:$35,Мор!$37:$37,Мор!$44:$44,Мор!$46:$47,Мор!$49:$50,Мор!$57:$57,Мор!$59:$61,Мор!$64:$65,Мор!$67:$68,Мор!$78:$79,Мор!$83:$88,Мор!$91:$97,Мор!$142:$142</definedName>
    <definedName name="Z_1718F1EE_9F48_4DBE_9531_3B70F9C4A5DD_.wvu.Rows" localSheetId="8" hidden="1">Мос!$19:$24,Мос!$29:$35,Мос!$44:$44,Мос!$46:$50,Мос!$58:$58,Мос!$60:$62,Мос!$68:$69,Мос!$79:$80,Мос!$82:$82,Мос!$85:$92,Мос!$95:$102,Мос!$143:$143</definedName>
    <definedName name="Z_1718F1EE_9F48_4DBE_9531_3B70F9C4A5DD_.wvu.Rows" localSheetId="9" hidden="1">Ори!$19:$24,Ори!$31:$35,Ори!$44:$44,Ори!$46:$46,Ори!$48:$50,Ори!$57:$57,Ори!$59:$61,Ори!$67:$68,Ори!$78:$79,Ори!$81:$81,Ори!$84:$88,Ори!$91:$98,Ори!$142:$142</definedName>
    <definedName name="Z_1718F1EE_9F48_4DBE_9531_3B70F9C4A5DD_.wvu.Rows" localSheetId="2" hidden="1">район!$17:$18,район!$20:$20,район!$25:$25,район!$27:$31,район!$35:$35,район!$38:$38,район!$50:$51,район!$75:$75,район!$82:$82,район!$99:$99,район!$106:$106,район!$134:$136,район!$139:$140</definedName>
    <definedName name="Z_1718F1EE_9F48_4DBE_9531_3B70F9C4A5DD_.wvu.Rows" localSheetId="1" hidden="1">Справка!$33:$33</definedName>
    <definedName name="Z_1718F1EE_9F48_4DBE_9531_3B70F9C4A5DD_.wvu.Rows" localSheetId="4" hidden="1">Сун!$19:$24,Сун!$34:$39,Сун!$43:$43,Сун!$45:$45,Сун!$47:$47,Сун!$49:$51,Сун!$58:$58,Сун!$60:$62,Сун!$68:$69,Сун!$79:$80,Сун!$82:$82,Сун!$85:$90,Сун!$93:$100,Сун!$142:$142</definedName>
    <definedName name="Z_1718F1EE_9F48_4DBE_9531_3B70F9C4A5DD_.wvu.Rows" localSheetId="10" hidden="1">Сят!$19:$24,Сят!$31:$35,Сят!$38:$38,Сят!$45:$48,Сят!$57:$57,Сят!$59:$61,Сят!$67:$68,Сят!$78:$79,Сят!$83:$87,Сят!$90:$97,Сят!$143:$143</definedName>
    <definedName name="Z_1718F1EE_9F48_4DBE_9531_3B70F9C4A5DD_.wvu.Rows" localSheetId="11" hidden="1">Тор!$19:$24,Тор!$32:$36,Тор!$39:$39,Тор!$46:$47,Тор!$50:$50,Тор!$57:$57,Тор!$59:$61,Тор!$67:$68,Тор!$75:$75,Тор!$79:$80,Тор!$84:$96,Тор!$143:$143</definedName>
    <definedName name="Z_1718F1EE_9F48_4DBE_9531_3B70F9C4A5DD_.wvu.Rows" localSheetId="12" hidden="1">Хор!$19:$24,Хор!$28:$36,Хор!$40:$40,Хор!$44:$44,Хор!$46:$48,Хор!$55:$55,Хор!$57:$59,Хор!$65:$66,Хор!$72:$72,Хор!$76:$77,Хор!$81:$85,Хор!$88:$95,Хор!$142:$142</definedName>
    <definedName name="Z_1718F1EE_9F48_4DBE_9531_3B70F9C4A5DD_.wvu.Rows" localSheetId="13" hidden="1">Чум!$19:$24,Чум!$31:$39,Чум!$46:$49,Чум!$57:$57,Чум!$59:$61,Чум!$67:$68,Чум!$78:$79,Чум!$83:$87,Чум!$90:$97,Чум!$142:$142</definedName>
    <definedName name="Z_1718F1EE_9F48_4DBE_9531_3B70F9C4A5DD_.wvu.Rows" localSheetId="14" hidden="1">Шать!$19:$19,Шать!$22:$25,Шать!$46:$49,Шать!$57:$57,Шать!$59:$61,Шать!$67:$68,Шать!$78:$79,Шать!$83:$87,Шать!$90:$97,Шать!$142:$142</definedName>
    <definedName name="Z_1718F1EE_9F48_4DBE_9531_3B70F9C4A5DD_.wvu.Rows" localSheetId="15" hidden="1">Юнг!$19:$24,Юнг!$31:$35,Юнг!$38:$38,Юнг!$45:$47,Юнг!$49:$49,Юнг!$56:$56,Юнг!$58:$60,Юнг!$66:$68,Юнг!$77:$78,Юнг!$82:$86,Юнг!$89:$96,Юнг!$142:$142</definedName>
    <definedName name="Z_1718F1EE_9F48_4DBE_9531_3B70F9C4A5DD_.wvu.Rows" localSheetId="16" hidden="1">Юсь!$19:$24,Юсь!$31:$33,Юсь!$36:$36,Юсь!$44:$50,Юсь!$58:$58,Юсь!$60:$62,Юсь!$68:$69,Юсь!$79:$80,Юсь!$84:$88,Юсь!$91:$98,Юсь!$142:$142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Яро!$19:$24,Яро!$28:$33,Яро!$43:$44,Яро!$46:$47,Яро!$54:$54,Яро!$56:$57,Яро!$64:$65,Яро!$75:$76,Яро!$80:$84,Яро!$87:$94</definedName>
    <definedName name="Z_1A52382B_3765_4E8C_903F_6B8919B7242E_.wvu.Cols" localSheetId="1" hidden="1">Справка!$AV:$AX,Справка!$BB:$BD,Справка!$BH:$BM,Справка!$BT:$BY,Справка!$CX:$DF</definedName>
    <definedName name="Z_1A52382B_3765_4E8C_903F_6B8919B7242E_.wvu.PrintArea" localSheetId="5" hidden="1">Иль!$A$1:$F$104</definedName>
    <definedName name="Z_1A52382B_3765_4E8C_903F_6B8919B7242E_.wvu.PrintArea" localSheetId="0" hidden="1">Консол!$A$1:$K$50</definedName>
    <definedName name="Z_1A52382B_3765_4E8C_903F_6B8919B7242E_.wvu.PrintArea" localSheetId="7" hidden="1">Мор!$A$1:$F$101</definedName>
    <definedName name="Z_1A52382B_3765_4E8C_903F_6B8919B7242E_.wvu.PrintArea" localSheetId="1" hidden="1">Справка!$A$1:$EY$31</definedName>
    <definedName name="Z_1A52382B_3765_4E8C_903F_6B8919B7242E_.wvu.PrintArea" localSheetId="11" hidden="1">Тор!$A$1:$F$102</definedName>
    <definedName name="Z_1A52382B_3765_4E8C_903F_6B8919B7242E_.wvu.PrintArea" localSheetId="12" hidden="1">Хор!$A$1:$F$99</definedName>
    <definedName name="Z_1A52382B_3765_4E8C_903F_6B8919B7242E_.wvu.PrintArea" localSheetId="13" hidden="1">Чум!$A$1:$F$101</definedName>
    <definedName name="Z_1A52382B_3765_4E8C_903F_6B8919B7242E_.wvu.PrintArea" localSheetId="14" hidden="1">Шать!$A$1:$F$101</definedName>
    <definedName name="Z_1A52382B_3765_4E8C_903F_6B8919B7242E_.wvu.PrintArea" localSheetId="15" hidden="1">Юнг!$A$1:$F$100</definedName>
    <definedName name="Z_1A52382B_3765_4E8C_903F_6B8919B7242E_.wvu.PrintArea" localSheetId="17" hidden="1">Яра!$A$1:$F$102</definedName>
    <definedName name="Z_1A52382B_3765_4E8C_903F_6B8919B7242E_.wvu.Rows" localSheetId="3" hidden="1">Але!$19:$24,Але!$44:$44,Але!$46:$46,Але!$53:$53,Але!$55:$56,Але!$63:$64,Але!$74:$75,Але!$79:$83,Але!$87:$89</definedName>
    <definedName name="Z_1A52382B_3765_4E8C_903F_6B8919B7242E_.wvu.Rows" localSheetId="5" hidden="1">Иль!$19:$24,Иль!$30:$31,Иль!$33:$33,Иль!$45:$45,Иль!$50:$50,Иль!$60:$61,Иль!$68:$69,Иль!$78:$79,Иль!$81:$81,Иль!$93:$97</definedName>
    <definedName name="Z_1A52382B_3765_4E8C_903F_6B8919B7242E_.wvu.Rows" localSheetId="6" hidden="1">Кад!$19:$24,Кад!$44:$44,Кад!$56:$56,Кад!$58:$59,Кад!$66:$67,Кад!$83:$85,Кад!$89:$96</definedName>
    <definedName name="Z_1A52382B_3765_4E8C_903F_6B8919B7242E_.wvu.Rows" localSheetId="0" hidden="1">Консол!$22:$22,Консол!$43:$45,Консол!$82:$84</definedName>
    <definedName name="Z_1A52382B_3765_4E8C_903F_6B8919B7242E_.wvu.Rows" localSheetId="19" hidden="1">Лист1!$82:$84</definedName>
    <definedName name="Z_1A52382B_3765_4E8C_903F_6B8919B7242E_.wvu.Rows" localSheetId="7" hidden="1">Мор!$17:$17,Мор!$21:$21,Мор!$23:$23,Мор!$37:$37,Мор!$44:$44,Мор!$46:$47,Мор!$49:$50,Мор!$57:$57,Мор!$59:$60,Мор!$67:$68,Мор!$83:$88,Мор!$91:$97</definedName>
    <definedName name="Z_1A52382B_3765_4E8C_903F_6B8919B7242E_.wvu.Rows" localSheetId="8" hidden="1">Мос!$19:$24,Мос!$44:$44,Мос!$58:$58,Мос!$60:$61,Мос!$68:$69,Мос!$82:$82,Мос!$86:$90,Мос!$95:$100</definedName>
    <definedName name="Z_1A52382B_3765_4E8C_903F_6B8919B7242E_.wvu.Rows" localSheetId="9" hidden="1">Ори!$19:$24,Ори!$32:$32,Ори!$44:$44,Ори!$48:$50,Ори!$57:$57,Ори!$59:$60,Ори!$67:$68,Ори!$78:$79,Ори!$81:$81,Ори!$84:$88,Ори!$91:$98</definedName>
    <definedName name="Z_1A52382B_3765_4E8C_903F_6B8919B7242E_.wvu.Rows" localSheetId="2" hidden="1">район!$17:$18,район!$20:$20,район!$28:$30,район!$50:$51,район!$62:$62,район!$75:$75,район!$82:$82,район!$99:$99,район!$106:$106,район!$134:$136</definedName>
    <definedName name="Z_1A52382B_3765_4E8C_903F_6B8919B7242E_.wvu.Rows" localSheetId="1" hidden="1">Справка!$33:$33</definedName>
    <definedName name="Z_1A52382B_3765_4E8C_903F_6B8919B7242E_.wvu.Rows" localSheetId="4" hidden="1">Сун!$19:$24,Сун!$49:$51,Сун!$58:$58,Сун!$60:$61,Сун!$68:$69,Сун!$79:$80,Сун!$82:$82,Сун!$88:$89,Сун!$93:$97</definedName>
    <definedName name="Z_1A52382B_3765_4E8C_903F_6B8919B7242E_.wvu.Rows" localSheetId="10" hidden="1">Сят!$19:$19,Сят!$45:$47,Сят!$57:$57,Сят!$59:$60,Сят!$67:$68,Сят!$83:$86,Сят!$90:$97</definedName>
    <definedName name="Z_1A52382B_3765_4E8C_903F_6B8919B7242E_.wvu.Rows" localSheetId="11" hidden="1">Тор!$19:$24,Тор!$32:$39,Тор!$46:$47,Тор!$49:$50,Тор!$57:$57,Тор!$59:$60,Тор!$67:$68,Тор!$75:$75,Тор!$79:$80,Тор!$84:$96</definedName>
    <definedName name="Z_1A52382B_3765_4E8C_903F_6B8919B7242E_.wvu.Rows" localSheetId="12" hidden="1">Хор!$19:$24,Хор!$28:$36,Хор!$40:$40,Хор!$46:$48,Хор!$55:$55,Хор!$57:$59,Хор!$65:$66,Хор!$72:$72,Хор!$76:$77,Хор!$81:$85,Хор!$88:$95</definedName>
    <definedName name="Z_1A52382B_3765_4E8C_903F_6B8919B7242E_.wvu.Rows" localSheetId="13" hidden="1">Чум!$19:$21,Чум!$23:$24,Чум!$28:$28,Чум!$31:$39,Чум!$47:$49,Чум!$57:$57,Чум!$59:$60,Чум!$67:$68,Чум!$78:$79,Чум!$83:$87,Чум!$90:$97</definedName>
    <definedName name="Z_1A52382B_3765_4E8C_903F_6B8919B7242E_.wvu.Rows" localSheetId="14" hidden="1">Шать!$19:$24,Шать!$31:$39,Шать!$46:$49,Шать!$57:$57,Шать!$59:$60,Шать!$67:$68,Шать!$78:$79,Шать!$83:$87,Шать!$90:$97</definedName>
    <definedName name="Z_1A52382B_3765_4E8C_903F_6B8919B7242E_.wvu.Rows" localSheetId="15" hidden="1">Юнг!$19:$24,Юнг!$31:$38,Юнг!$45:$49,Юнг!$56:$56,Юнг!$58:$59,Юнг!$66:$67,Юнг!$77:$77,Юнг!$82:$86,Юнг!$89:$96</definedName>
    <definedName name="Z_1A52382B_3765_4E8C_903F_6B8919B7242E_.wvu.Rows" localSheetId="16" hidden="1">Юсь!$20:$24,Юсь!$36:$36,Юсь!$40:$40,Юсь!$44:$49,Юсь!$58:$58,Юсь!$60:$61,Юсь!$68:$69,Юсь!$79:$80,Юсь!$84:$88,Юсь!$91:$98</definedName>
    <definedName name="Z_1A52382B_3765_4E8C_903F_6B8919B7242E_.wvu.Rows" localSheetId="17" hidden="1">Яра!$19:$24,Яра!$46:$46,Яра!$48:$51,Яра!$58:$58,Яра!$60:$61,Яра!$68:$69,Яра!$79:$80,Яра!$84:$88,Яра!$91:$98</definedName>
    <definedName name="Z_1A52382B_3765_4E8C_903F_6B8919B7242E_.wvu.Rows" localSheetId="18" hidden="1">Яро!$19:$24,Яро!$43:$43,Яро!$54:$54,Яро!$56:$58,Яро!$64:$65,Яро!$75:$76,Яро!$80:$84,Яро!$87:$94</definedName>
    <definedName name="Z_3DCB9AAA_F09C_4EA6_B992_F93E466D374A_.wvu.Cols" localSheetId="1" hidden="1">Справка!$AV:$AX,Справка!$BB:$BD,Справка!$BH:$BM,Справка!$BT:$BY,Справка!$CX:$DF</definedName>
    <definedName name="Z_3DCB9AAA_F09C_4EA6_B992_F93E466D374A_.wvu.PrintArea" localSheetId="5" hidden="1">Иль!$A$1:$F$104</definedName>
    <definedName name="Z_3DCB9AAA_F09C_4EA6_B992_F93E466D374A_.wvu.PrintArea" localSheetId="0" hidden="1">Консол!$A$1:$K$50</definedName>
    <definedName name="Z_3DCB9AAA_F09C_4EA6_B992_F93E466D374A_.wvu.PrintArea" localSheetId="7" hidden="1">Мор!$A$1:$F$101</definedName>
    <definedName name="Z_3DCB9AAA_F09C_4EA6_B992_F93E466D374A_.wvu.PrintArea" localSheetId="1" hidden="1">Справка!$A$1:$EY$31</definedName>
    <definedName name="Z_3DCB9AAA_F09C_4EA6_B992_F93E466D374A_.wvu.PrintArea" localSheetId="11" hidden="1">Тор!$A$1:$F$102</definedName>
    <definedName name="Z_3DCB9AAA_F09C_4EA6_B992_F93E466D374A_.wvu.PrintArea" localSheetId="15" hidden="1">Юнг!$A$1:$F$100</definedName>
    <definedName name="Z_3DCB9AAA_F09C_4EA6_B992_F93E466D374A_.wvu.PrintArea" localSheetId="17" hidden="1">Яра!$A$1:$F$102</definedName>
    <definedName name="Z_3DCB9AAA_F09C_4EA6_B992_F93E466D374A_.wvu.Rows" localSheetId="3" hidden="1">Але!$19:$24,Але!$44:$44,Але!$46:$46,Але!$53:$53,Але!$55:$56,Але!$63:$64,Але!$74:$75,Але!$79:$93</definedName>
    <definedName name="Z_3DCB9AAA_F09C_4EA6_B992_F93E466D374A_.wvu.Rows" localSheetId="5" hidden="1">Иль!$19:$24,Иль!$30:$31,Иль!$33:$33,Иль!$45:$45,Иль!$50:$50,Иль!$60:$61,Иль!$68:$69,Иль!$78:$79,Иль!$81:$81,Иль!$83:$90,Иль!$93:$97</definedName>
    <definedName name="Z_3DCB9AAA_F09C_4EA6_B992_F93E466D374A_.wvu.Rows" localSheetId="6" hidden="1">Кад!$19:$24,Кад!$44:$44,Кад!$56:$56,Кад!$58:$59,Кад!$66:$67,Кад!$83:$85,Кад!$89:$96</definedName>
    <definedName name="Z_3DCB9AAA_F09C_4EA6_B992_F93E466D374A_.wvu.Rows" localSheetId="0" hidden="1">Консол!$22:$22,Консол!$43:$45,Консол!$82:$84</definedName>
    <definedName name="Z_3DCB9AAA_F09C_4EA6_B992_F93E466D374A_.wvu.Rows" localSheetId="19" hidden="1">Лист1!$82:$84</definedName>
    <definedName name="Z_3DCB9AAA_F09C_4EA6_B992_F93E466D374A_.wvu.Rows" localSheetId="7" hidden="1">Мор!$21:$21,Мор!$23:$23,Мор!$37:$37,Мор!$44:$44,Мор!$47:$47,Мор!$49:$50,Мор!$57:$57,Мор!$59:$60,Мор!$67:$68,Мор!$83:$88,Мор!$91:$97</definedName>
    <definedName name="Z_3DCB9AAA_F09C_4EA6_B992_F93E466D374A_.wvu.Rows" localSheetId="8" hidden="1">Мос!$19:$24,Мос!$44:$44,Мос!$58:$58,Мос!$60:$61,Мос!$68:$69,Мос!$82:$82,Мос!$84:$90,Мос!$95:$100</definedName>
    <definedName name="Z_3DCB9AAA_F09C_4EA6_B992_F93E466D374A_.wvu.Rows" localSheetId="9" hidden="1">Ори!$19:$24,Ори!$32:$32,Ори!$44:$44,Ори!$48:$50,Ори!$57:$57,Ори!$59:$60,Ори!$67:$68,Ори!$78:$79,Ори!$81:$81,Ори!$83:$87,Ори!$91:$98</definedName>
    <definedName name="Z_3DCB9AAA_F09C_4EA6_B992_F93E466D374A_.wvu.Rows" localSheetId="2" hidden="1">район!$17:$18,район!$20:$20,район!$28:$30,район!$50:$51,район!$75:$75,район!$82:$82,район!$99:$99,район!$106:$106,район!$134:$136</definedName>
    <definedName name="Z_3DCB9AAA_F09C_4EA6_B992_F93E466D374A_.wvu.Rows" localSheetId="1" hidden="1">Справка!$33:$33</definedName>
    <definedName name="Z_3DCB9AAA_F09C_4EA6_B992_F93E466D374A_.wvu.Rows" localSheetId="4" hidden="1">Сун!$19:$24,Сун!$49:$51,Сун!$58:$58,Сун!$60:$61,Сун!$68:$69,Сун!$79:$80,Сун!$82:$85,Сун!$88:$89,Сун!$93:$97</definedName>
    <definedName name="Z_3DCB9AAA_F09C_4EA6_B992_F93E466D374A_.wvu.Rows" localSheetId="10" hidden="1">Сят!$19:$19,Сят!$45:$47,Сят!$57:$57,Сят!$59:$60,Сят!$67:$68,Сят!$83:$86,Сят!$90:$97</definedName>
    <definedName name="Z_3DCB9AAA_F09C_4EA6_B992_F93E466D374A_.wvu.Rows" localSheetId="11" hidden="1">Тор!$19:$19,Тор!$50:$50,Тор!$57:$57,Тор!$59:$60,Тор!$67:$68,Тор!$75:$75,Тор!$79:$80,Тор!$83:$94</definedName>
    <definedName name="Z_3DCB9AAA_F09C_4EA6_B992_F93E466D374A_.wvu.Rows" localSheetId="12" hidden="1">Хор!$19:$24,Хор!$32:$32,Хор!$40:$40,Хор!$44:$44,Хор!$55:$55,Хор!$57:$58,Хор!$65:$66,Хор!$81:$85,Хор!$88:$95</definedName>
    <definedName name="Z_3DCB9AAA_F09C_4EA6_B992_F93E466D374A_.wvu.Rows" localSheetId="13" hidden="1">Чум!$19:$19,Чум!$21:$21,Чум!$23:$24,Чум!$47:$49,Чум!$57:$57,Чум!$59:$60,Чум!$67:$68,Чум!$83:$87,Чум!$90:$97</definedName>
    <definedName name="Z_3DCB9AAA_F09C_4EA6_B992_F93E466D374A_.wvu.Rows" localSheetId="14" hidden="1">Шать!$19:$24,Шать!$47:$49,Шать!$57:$57,Шать!$59:$60,Шать!$67:$68,Шать!$78:$79,Шать!$83:$87,Шать!$90:$97</definedName>
    <definedName name="Z_3DCB9AAA_F09C_4EA6_B992_F93E466D374A_.wvu.Rows" localSheetId="15" hidden="1">Юнг!$19:$24,Юнг!$32:$32,Юнг!$46:$46,Юнг!$49:$49,Юнг!$56:$56,Юнг!$58:$59,Юнг!$66:$67,Юнг!$82:$86,Юнг!$89:$96</definedName>
    <definedName name="Z_3DCB9AAA_F09C_4EA6_B992_F93E466D374A_.wvu.Rows" localSheetId="16" hidden="1">Юсь!$20:$24,Юсь!$40:$40,Юсь!$44:$49,Юсь!$58:$58,Юсь!$60:$61,Юсь!$68:$69,Юсь!$79:$80,Юсь!$83:$88,Юсь!$91:$98</definedName>
    <definedName name="Z_3DCB9AAA_F09C_4EA6_B992_F93E466D374A_.wvu.Rows" localSheetId="17" hidden="1">Яра!$19:$24,Яра!$46:$50,Яра!$58:$58,Яра!$60:$61,Яра!$68:$69,Яра!$79:$79,Яра!$82:$88,Яра!$91:$98</definedName>
    <definedName name="Z_3DCB9AAA_F09C_4EA6_B992_F93E466D374A_.wvu.Rows" localSheetId="18" hidden="1">Яро!$19:$24,Яро!$29:$30,Яро!$32:$32,Яро!$43:$43,Яро!$54:$54,Яро!$56:$57,Яро!$64:$65,Яро!$75:$76,Яро!$80:$85,Яро!$87:$94</definedName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Иль!$A$1:$F$104</definedName>
    <definedName name="Z_42584DC0_1D41_4C93_9B38_C388E7B8DAC4_.wvu.PrintArea" localSheetId="0" hidden="1">Консол!$A$1:$K$50</definedName>
    <definedName name="Z_42584DC0_1D41_4C93_9B38_C388E7B8DAC4_.wvu.PrintArea" localSheetId="7" hidden="1">Мор!$A$1:$F$101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Тор!$A$1:$F$102</definedName>
    <definedName name="Z_42584DC0_1D41_4C93_9B38_C388E7B8DAC4_.wvu.PrintArea" localSheetId="15" hidden="1">Юнг!$A$1:$F$100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Але!$19:$24,Але!$31:$33,Але!$36:$36,Але!$44:$44,Але!$46:$46,Але!$53:$53,Але!$55:$57,Але!$63:$64,Але!$74:$75,Але!$79:$83,Але!$86:$93</definedName>
    <definedName name="Z_42584DC0_1D41_4C93_9B38_C388E7B8DAC4_.wvu.Rows" localSheetId="5" hidden="1">Иль!$19:$24,Иль!$30:$39,Иль!$45:$45,Иль!$47:$50,Иль!$58:$58,Иль!$60:$62,Иль!$68:$69,Иль!$78:$79,Иль!$81:$81,Иль!$86:$90,Иль!$93:$100</definedName>
    <definedName name="Z_42584DC0_1D41_4C93_9B38_C388E7B8DAC4_.wvu.Rows" localSheetId="6" hidden="1">Кад!$19:$24,Кад!$31:$35,Кад!$38:$38,Кад!$44:$44,Кад!$46:$46,Кад!$48:$49,Кад!$56:$56,Кад!$58:$60,Кад!$66:$67,Кад!$77:$78,Кад!$82:$86,Кад!$89:$96</definedName>
    <definedName name="Z_42584DC0_1D41_4C93_9B38_C388E7B8DAC4_.wvu.Rows" localSheetId="0" hidden="1">Консол!$22:$22,Консол!$43:$45</definedName>
    <definedName name="Z_42584DC0_1D41_4C93_9B38_C388E7B8DAC4_.wvu.Rows" localSheetId="7" hidden="1">Мор!$17:$24,Мор!$37:$37,Мор!$44:$44,Мор!$46:$47,Мор!$49:$50,Мор!$57:$57,Мор!$59:$60,Мор!$64:$65,Мор!$67:$68,Мор!$78:$79,Мор!$83:$88,Мор!$91:$97</definedName>
    <definedName name="Z_42584DC0_1D41_4C93_9B38_C388E7B8DAC4_.wvu.Rows" localSheetId="8" hidden="1">Мос!$19:$24,Мос!$29:$35,Мос!$44:$44,Мос!$46:$50,Мос!$58:$58,Мос!$60:$61,Мос!$68:$69,Мос!$79:$80,Мос!$82:$82,Мос!$85:$92,Мос!$95:$102</definedName>
    <definedName name="Z_42584DC0_1D41_4C93_9B38_C388E7B8DAC4_.wvu.Rows" localSheetId="9" hidden="1">Ори!$19:$24,Ори!$31:$35,Ори!$38:$38,Ори!$44:$44,Ори!$46:$46,Ори!$48:$50,Ори!$57:$57,Ори!$59:$61,Ори!$67:$68,Ори!$78:$79,Ори!$81:$81,Ори!$84:$88,Ори!$91:$98</definedName>
    <definedName name="Z_42584DC0_1D41_4C93_9B38_C388E7B8DAC4_.wvu.Rows" localSheetId="2" hidden="1">район!$17:$18,район!$20:$20,район!$25:$25,район!$27:$31,район!$35:$35,район!$38:$38,район!$46:$46,район!$50:$51,район!$62:$62,район!$67:$67,район!$69:$71,район!$75:$75,район!$82:$82,район!$93:$93,район!$99:$99,район!$102:$102,район!$106:$106,район!$114:$114,район!$134:$136,район!$139:$140</definedName>
    <definedName name="Z_42584DC0_1D41_4C93_9B38_C388E7B8DAC4_.wvu.Rows" localSheetId="1" hidden="1">Справка!$33:$33</definedName>
    <definedName name="Z_42584DC0_1D41_4C93_9B38_C388E7B8DAC4_.wvu.Rows" localSheetId="4" hidden="1">Сун!$19:$24,Сун!$34:$39,Сун!$49:$51,Сун!$58:$58,Сун!$60:$63,Сун!$68:$69,Сун!$79:$80,Сун!$82:$82,Сун!$85:$85,Сун!$87:$89,Сун!$93:$100</definedName>
    <definedName name="Z_42584DC0_1D41_4C93_9B38_C388E7B8DAC4_.wvu.Rows" localSheetId="10" hidden="1">Сят!$19:$24,Сят!$31:$35,Сят!$45:$48,Сят!$57:$57,Сят!$59:$60,Сят!$67:$68,Сят!$78:$79,Сят!$83:$87,Сят!$90:$97</definedName>
    <definedName name="Z_42584DC0_1D41_4C93_9B38_C388E7B8DAC4_.wvu.Rows" localSheetId="11" hidden="1">Тор!$19:$24,Тор!$32:$36,Тор!$46:$47,Тор!$50:$50,Тор!$57:$57,Тор!$59:$60,Тор!$67:$68,Тор!$75:$75,Тор!$79:$80,Тор!$84:$96</definedName>
    <definedName name="Z_42584DC0_1D41_4C93_9B38_C388E7B8DAC4_.wvu.Rows" localSheetId="12" hidden="1">Хор!$19:$24,Хор!$28:$36,Хор!$40:$40,Хор!$44:$44,Хор!$46:$48,Хор!$55:$55,Хор!$57:$59,Хор!$65:$66,Хор!$72:$72,Хор!$76:$77,Хор!$81:$85,Хор!$88:$95</definedName>
    <definedName name="Z_42584DC0_1D41_4C93_9B38_C388E7B8DAC4_.wvu.Rows" localSheetId="13" hidden="1">Чум!$19:$24,Чум!$31:$36,Чум!$47:$49,Чум!$57:$57,Чум!$59:$61,Чум!$67:$68,Чум!$78:$79,Чум!$83:$87,Чум!$90:$97</definedName>
    <definedName name="Z_42584DC0_1D41_4C93_9B38_C388E7B8DAC4_.wvu.Rows" localSheetId="14" hidden="1">Шать!$19:$24,Шать!$32:$33,Шать!$35:$35,Шать!$38:$38,Шать!$46:$49,Шать!$57:$57,Шать!$59:$61,Шать!$67:$68,Шать!$78:$79,Шать!$83:$87,Шать!$90:$97</definedName>
    <definedName name="Z_42584DC0_1D41_4C93_9B38_C388E7B8DAC4_.wvu.Rows" localSheetId="15" hidden="1">Юнг!$19:$24,Юнг!$31:$38,Юнг!$45:$46,Юнг!$49:$49,Юнг!$56:$56,Юнг!$58:$60,Юнг!$66:$68,Юнг!$77:$78,Юнг!$82:$86,Юнг!$89:$96</definedName>
    <definedName name="Z_42584DC0_1D41_4C93_9B38_C388E7B8DAC4_.wvu.Rows" localSheetId="16" hidden="1">Юсь!$19:$24,Юсь!$31:$33,Юсь!$36:$36,Юсь!$40:$40,Юсь!$44:$49,Юсь!$58:$58,Юсь!$60:$62,Юсь!$68:$69,Юсь!$79:$80,Юсь!$84:$88,Юсь!$91:$98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Яро!$19:$24,Яро!$28:$36,Яро!$43:$44,Яро!$46:$47,Яро!$54:$54,Яро!$56:$58,Яро!$64:$65,Яро!$75:$76,Яро!$80:$84,Яро!$87:$94</definedName>
    <definedName name="Z_5BFCA170_DEAE_4D2C_98A0_1E68B427AC01_.wvu.Cols" localSheetId="1" hidden="1">Справка!$AV:$AX,Справка!$BB:$BD,Справка!$BH:$BM,Справка!$BT:$BY,Справка!$CX:$DF</definedName>
    <definedName name="Z_5BFCA170_DEAE_4D2C_98A0_1E68B427AC01_.wvu.PrintArea" localSheetId="5" hidden="1">Иль!$A$1:$F$104</definedName>
    <definedName name="Z_5BFCA170_DEAE_4D2C_98A0_1E68B427AC01_.wvu.PrintArea" localSheetId="0" hidden="1">Консол!$A$1:$K$50</definedName>
    <definedName name="Z_5BFCA170_DEAE_4D2C_98A0_1E68B427AC01_.wvu.PrintArea" localSheetId="7" hidden="1">Мор!$A$1:$F$101</definedName>
    <definedName name="Z_5BFCA170_DEAE_4D2C_98A0_1E68B427AC01_.wvu.PrintArea" localSheetId="1" hidden="1">Справка!$A$1:$EY$31</definedName>
    <definedName name="Z_5BFCA170_DEAE_4D2C_98A0_1E68B427AC01_.wvu.PrintArea" localSheetId="11" hidden="1">Тор!$A$1:$F$102</definedName>
    <definedName name="Z_5BFCA170_DEAE_4D2C_98A0_1E68B427AC01_.wvu.PrintArea" localSheetId="15" hidden="1">Юнг!$A$1:$F$100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Але!$19:$24,Але!$44:$44,Але!$46:$46,Але!$53:$53,Але!$55:$56,Але!$63:$64,Але!$74:$75,Але!$79:$83,Але!$87:$89</definedName>
    <definedName name="Z_5BFCA170_DEAE_4D2C_98A0_1E68B427AC01_.wvu.Rows" localSheetId="5" hidden="1">Иль!$19:$24,Иль!$30:$31,Иль!$33:$33,Иль!$45:$45,Иль!$50:$50,Иль!$60:$61,Иль!$68:$69,Иль!$78:$79,Иль!$81:$81,Иль!$93:$97</definedName>
    <definedName name="Z_5BFCA170_DEAE_4D2C_98A0_1E68B427AC01_.wvu.Rows" localSheetId="6" hidden="1">Кад!$19:$24,Кад!$44:$44,Кад!$56:$56,Кад!$58:$59,Кад!$66:$67,Кад!$83:$85,Кад!$89:$96</definedName>
    <definedName name="Z_5BFCA170_DEAE_4D2C_98A0_1E68B427AC01_.wvu.Rows" localSheetId="0" hidden="1">Консол!$22:$22,Консол!$43:$45,Консол!$82:$84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Мор!$21:$21,Мор!$23:$23,Мор!$37:$37,Мор!$44:$44,Мор!$47:$47,Мор!$49:$50,Мор!$57:$57,Мор!$59:$60,Мор!$67:$68,Мор!$83:$88,Мор!$91:$97</definedName>
    <definedName name="Z_5BFCA170_DEAE_4D2C_98A0_1E68B427AC01_.wvu.Rows" localSheetId="8" hidden="1">Мос!$19:$24,Мос!$44:$44,Мос!$58:$58,Мос!$60:$61,Мос!$68:$69,Мос!$82:$82,Мос!$84:$90,Мос!$95:$100</definedName>
    <definedName name="Z_5BFCA170_DEAE_4D2C_98A0_1E68B427AC01_.wvu.Rows" localSheetId="9" hidden="1">Ори!$19:$24,Ори!$32:$32,Ори!$44:$44,Ори!$48:$50,Ори!$57:$57,Ори!$59:$60,Ори!$67:$68,Ори!$78:$79,Ори!$81:$81,Ори!$83:$87,Ори!$91:$98</definedName>
    <definedName name="Z_5BFCA170_DEAE_4D2C_98A0_1E68B427AC01_.wvu.Rows" localSheetId="2" hidden="1">район!$17:$18,район!$20:$20,район!$28:$30,район!$50:$51,район!$75:$75,район!$82:$82,район!$99:$99,район!$106:$106,район!$134:$136</definedName>
    <definedName name="Z_5BFCA170_DEAE_4D2C_98A0_1E68B427AC01_.wvu.Rows" localSheetId="1" hidden="1">Справка!$33:$34</definedName>
    <definedName name="Z_5BFCA170_DEAE_4D2C_98A0_1E68B427AC01_.wvu.Rows" localSheetId="4" hidden="1">Сун!$19:$24,Сун!$49:$51,Сун!$58:$58,Сун!$60:$61,Сун!$68:$69,Сун!$79:$80,Сун!$82:$82,Сун!$88:$89,Сун!$93:$97</definedName>
    <definedName name="Z_5BFCA170_DEAE_4D2C_98A0_1E68B427AC01_.wvu.Rows" localSheetId="10" hidden="1">Сят!$19:$19,Сят!$45:$47,Сят!$57:$57,Сят!$59:$60,Сят!$67:$68,Сят!$83:$86,Сят!$90:$97</definedName>
    <definedName name="Z_5BFCA170_DEAE_4D2C_98A0_1E68B427AC01_.wvu.Rows" localSheetId="11" hidden="1">Тор!$19:$19,Тор!$50:$50,Тор!$57:$57,Тор!$59:$60,Тор!$67:$68,Тор!$75:$75,Тор!$79:$80,Тор!$83:$94</definedName>
    <definedName name="Z_5BFCA170_DEAE_4D2C_98A0_1E68B427AC01_.wvu.Rows" localSheetId="12" hidden="1">Хор!$19:$24,Хор!$32:$32,Хор!$40:$40,Хор!$44:$44,Хор!$55:$55,Хор!$57:$58,Хор!$65:$66,Хор!$81:$85,Хор!$88:$95</definedName>
    <definedName name="Z_5BFCA170_DEAE_4D2C_98A0_1E68B427AC01_.wvu.Rows" localSheetId="13" hidden="1">Чум!$19:$19,Чум!$21:$21,Чум!$23:$24,Чум!$47:$49,Чум!$57:$57,Чум!$59:$60,Чум!$67:$68,Чум!$83:$87,Чум!$90:$97</definedName>
    <definedName name="Z_5BFCA170_DEAE_4D2C_98A0_1E68B427AC01_.wvu.Rows" localSheetId="14" hidden="1">Шать!$19:$24,Шать!$47:$49,Шать!$57:$57,Шать!$59:$60,Шать!$67:$68,Шать!$78:$79,Шать!$83:$87,Шать!$90:$97</definedName>
    <definedName name="Z_5BFCA170_DEAE_4D2C_98A0_1E68B427AC01_.wvu.Rows" localSheetId="15" hidden="1">Юнг!$19:$24,Юнг!$32:$32,Юнг!$49:$49,Юнг!$56:$56,Юнг!$58:$59,Юнг!$66:$67,Юнг!$82:$86,Юнг!$89:$96</definedName>
    <definedName name="Z_5BFCA170_DEAE_4D2C_98A0_1E68B427AC01_.wvu.Rows" localSheetId="16" hidden="1">Юсь!$20:$24,Юсь!$40:$40,Юсь!$44:$49,Юсь!$58:$58,Юсь!$60:$61,Юсь!$68:$69,Юсь!$79:$80,Юсь!$83:$88,Юсь!$91:$98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Яро!$19:$24,Яро!$29:$30,Яро!$32:$32,Яро!$43:$43,Яро!$54:$54,Яро!$56:$57,Яро!$64:$65,Яро!$75:$76,Яро!$80:$85,Яро!$87:$94</definedName>
    <definedName name="Z_61528DAC_5C4C_48F4_ADE2_8A724B05A086_.wvu.Cols" localSheetId="1" hidden="1">Справка!$AV:$AX,Справка!$BB:$BD,Справка!$BH:$BP,Справка!$BT:$BY,Справка!$CX:$DF</definedName>
    <definedName name="Z_61528DAC_5C4C_48F4_ADE2_8A724B05A086_.wvu.PrintArea" localSheetId="3" hidden="1">Але!$A$1:$F$97</definedName>
    <definedName name="Z_61528DAC_5C4C_48F4_ADE2_8A724B05A086_.wvu.PrintArea" localSheetId="5" hidden="1">Иль!$A$1:$F$104</definedName>
    <definedName name="Z_61528DAC_5C4C_48F4_ADE2_8A724B05A086_.wvu.PrintArea" localSheetId="0" hidden="1">Консол!$A$1:$K$50</definedName>
    <definedName name="Z_61528DAC_5C4C_48F4_ADE2_8A724B05A086_.wvu.PrintArea" localSheetId="7" hidden="1">Мор!$A$1:$F$101</definedName>
    <definedName name="Z_61528DAC_5C4C_48F4_ADE2_8A724B05A086_.wvu.PrintArea" localSheetId="1" hidden="1">Справка!$A$1:$EY$31</definedName>
    <definedName name="Z_61528DAC_5C4C_48F4_ADE2_8A724B05A086_.wvu.PrintArea" localSheetId="4" hidden="1">Сун!$A$1:$F$104</definedName>
    <definedName name="Z_61528DAC_5C4C_48F4_ADE2_8A724B05A086_.wvu.PrintArea" localSheetId="11" hidden="1">Тор!$A$1:$F$102</definedName>
    <definedName name="Z_61528DAC_5C4C_48F4_ADE2_8A724B05A086_.wvu.PrintArea" localSheetId="15" hidden="1">Юнг!$A$1:$F$100</definedName>
    <definedName name="Z_61528DAC_5C4C_48F4_ADE2_8A724B05A086_.wvu.PrintArea" localSheetId="17" hidden="1">Яра!$A$1:$F$102</definedName>
    <definedName name="Z_61528DAC_5C4C_48F4_ADE2_8A724B05A086_.wvu.Rows" localSheetId="3" hidden="1">Але!$19:$24,Але!$28:$28,Але!$36:$36,Але!$46:$46,Але!$55:$57,Але!$74:$75,Але!$79:$82,Але!$86:$93,Але!$142:$142</definedName>
    <definedName name="Z_61528DAC_5C4C_48F4_ADE2_8A724B05A086_.wvu.Rows" localSheetId="5" hidden="1">Иль!$19:$24,Иль!$34:$39,Иль!$58:$58,Иль!$60:$62,Иль!$68:$69,Иль!$78:$79,Иль!$81:$81,Иль!$86:$90,Иль!$93:$100,Иль!$143:$143</definedName>
    <definedName name="Z_61528DAC_5C4C_48F4_ADE2_8A724B05A086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61528DAC_5C4C_48F4_ADE2_8A724B05A086_.wvu.Rows" localSheetId="0" hidden="1">Консол!$22:$22,Консол!$43:$45</definedName>
    <definedName name="Z_61528DAC_5C4C_48F4_ADE2_8A724B05A086_.wvu.Rows" localSheetId="19" hidden="1">Лист1!$82:$84</definedName>
    <definedName name="Z_61528DAC_5C4C_48F4_ADE2_8A724B05A086_.wvu.Rows" localSheetId="7" hidden="1">Мор!$17:$24,Мор!$27:$27,Мор!$31:$33,Мор!$44:$44,Мор!$46:$47,Мор!$49:$50,Мор!$57:$57,Мор!$59:$60,Мор!$64:$65,Мор!$67:$68,Мор!$78:$79,Мор!$83:$88,Мор!$91:$97,Мор!$142:$142</definedName>
    <definedName name="Z_61528DAC_5C4C_48F4_ADE2_8A724B05A086_.wvu.Rows" localSheetId="8" hidden="1">Мос!$19:$24,Мос!$29:$33,Мос!$44:$44,Мос!$50:$50,Мос!$58:$58,Мос!$60:$61,Мос!$68:$69,Мос!$79:$80,Мос!$82:$82,Мос!$85:$92,Мос!$95:$102,Мос!$143:$143</definedName>
    <definedName name="Z_61528DAC_5C4C_48F4_ADE2_8A724B05A086_.wvu.Rows" localSheetId="9" hidden="1">Ори!$19:$24,Ори!$31:$35,Ори!$44:$44,Ори!$46:$46,Ори!$48:$50,Ори!$57:$57,Ори!$59:$60,Ори!$67:$68,Ори!$78:$79,Ори!$81:$81,Ори!$84:$88,Ори!$91:$98,Ори!$142:$142</definedName>
    <definedName name="Z_61528DAC_5C4C_48F4_ADE2_8A724B05A086_.wvu.Rows" localSheetId="2" hidden="1">район!$17:$18,район!$20:$20,район!$27:$31,район!$35:$35,район!$38:$38,район!$50:$51,район!$62:$62,район!$75:$75,район!$82:$82,район!$99:$99,район!$106:$106,район!$134:$136,район!$139:$140</definedName>
    <definedName name="Z_61528DAC_5C4C_48F4_ADE2_8A724B05A086_.wvu.Rows" localSheetId="1" hidden="1">Справка!$33:$33</definedName>
    <definedName name="Z_61528DAC_5C4C_48F4_ADE2_8A724B05A086_.wvu.Rows" localSheetId="4" hidden="1">Сун!$19:$24,Сун!$34:$36,Сун!$45:$45,Сун!$47:$47,Сун!$49:$51,Сун!$58:$58,Сун!$60:$62,Сун!$68:$69,Сун!$79:$80,Сун!$82:$82,Сун!$85:$85,Сун!$87:$89,Сун!$93:$100,Сун!$142:$142</definedName>
    <definedName name="Z_61528DAC_5C4C_48F4_ADE2_8A724B05A086_.wvu.Rows" localSheetId="10" hidden="1">Сят!$19:$24,Сят!$31:$33,Сят!$38:$38,Сят!$45:$48,Сят!$57:$57,Сят!$59:$60,Сят!$67:$68,Сят!$78:$79,Сят!$83:$87,Сят!$90:$97,Сят!$143:$143</definedName>
    <definedName name="Z_61528DAC_5C4C_48F4_ADE2_8A724B05A086_.wvu.Rows" localSheetId="11" hidden="1">Тор!$19:$24,Тор!$32:$36,Тор!$39:$39,Тор!$50:$50,Тор!$57:$57,Тор!$59:$60,Тор!$67:$68,Тор!$75:$75,Тор!$79:$80,Тор!$86:$87,Тор!$90:$96,Тор!$143:$143</definedName>
    <definedName name="Z_61528DAC_5C4C_48F4_ADE2_8A724B05A086_.wvu.Rows" localSheetId="12" hidden="1">Хор!$19:$24,Хор!$28:$36,Хор!$40:$40,Хор!$44:$44,Хор!$46:$48,Хор!$55:$55,Хор!$57:$59,Хор!$65:$66,Хор!$76:$77,Хор!$81:$85,Хор!$88:$95,Хор!$142:$142</definedName>
    <definedName name="Z_61528DAC_5C4C_48F4_ADE2_8A724B05A086_.wvu.Rows" localSheetId="13" hidden="1">Чум!$19:$24,Чум!$31:$36,Чум!$46:$49,Чум!$57:$57,Чум!$59:$61,Чум!$67:$68,Чум!$78:$79,Чум!$83:$87,Чум!$90:$97,Чум!$142:$142</definedName>
    <definedName name="Z_61528DAC_5C4C_48F4_ADE2_8A724B05A086_.wvu.Rows" localSheetId="14" hidden="1">Шать!$19:$25,Шать!$31:$33,Шать!$46:$49,Шать!$57:$57,Шать!$59:$60,Шать!$67:$68,Шать!$78:$79,Шать!$84:$86,Шать!$90:$97,Шать!$142:$142</definedName>
    <definedName name="Z_61528DAC_5C4C_48F4_ADE2_8A724B05A086_.wvu.Rows" localSheetId="15" hidden="1">Юнг!$19:$24,Юнг!$38:$38,Юнг!$46:$46,Юнг!$56:$56,Юнг!$58:$60,Юнг!$66:$67,Юнг!$77:$78,Юнг!$82:$86,Юнг!$89:$96,Юнг!$142:$142</definedName>
    <definedName name="Z_61528DAC_5C4C_48F4_ADE2_8A724B05A086_.wvu.Rows" localSheetId="16" hidden="1">Юсь!$19:$24,Юсь!$31:$33,Юсь!$36:$36,Юсь!$44:$50,Юсь!$58:$58,Юсь!$60:$61,Юсь!$68:$69,Юсь!$79:$80,Юсь!$84:$88,Юсь!$91:$98,Юсь!$142:$142</definedName>
    <definedName name="Z_61528DAC_5C4C_48F4_ADE2_8A724B05A086_.wvu.Rows" localSheetId="17" hidden="1">Яра!$19:$24,Яра!$46:$50,Яра!$58:$58,Яра!$60:$62,Яра!$68:$69,Яра!$79:$80,Яра!$84:$88,Яра!$91:$98,Яра!$143:$143</definedName>
    <definedName name="Z_61528DAC_5C4C_48F4_ADE2_8A724B05A086_.wvu.Rows" localSheetId="18" hidden="1">Яро!$19:$24,Яро!$28:$28,Яро!$43:$43,Яро!$54:$54,Яро!$56:$58,Яро!$64:$65,Яро!$75:$75,Яро!$82:$84,Яро!$87:$90,Яро!$92:$94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Иль!$A$1:$F$104</definedName>
    <definedName name="Z_A54C432C_6C68_4B53_A75C_446EB3A61B2B_.wvu.PrintArea" localSheetId="0" hidden="1">Консол!$A$1:$K$50</definedName>
    <definedName name="Z_A54C432C_6C68_4B53_A75C_446EB3A61B2B_.wvu.PrintArea" localSheetId="7" hidden="1">Мор!$A$1:$F$101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Тор!$A$1:$F$102</definedName>
    <definedName name="Z_A54C432C_6C68_4B53_A75C_446EB3A61B2B_.wvu.PrintArea" localSheetId="15" hidden="1">Юнг!$A$1:$F$100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Але!$19:$24,Але!$28:$33,Але!$36:$36,Але!$46:$46,Але!$53:$53,Але!$55:$57,Але!$63:$64,Але!$74:$75,Але!$79:$83,Але!$86:$93,Але!$142:$142</definedName>
    <definedName name="Z_A54C432C_6C68_4B53_A75C_446EB3A61B2B_.wvu.Rows" localSheetId="5" hidden="1">Иль!$19:$24,Иль!$30:$39,Иль!$45:$45,Иль!$47:$50,Иль!$58:$58,Иль!$60:$62,Иль!$68:$69,Иль!$78:$79,Иль!$81:$81,Иль!$86:$90,Иль!$93:$100,Иль!$143:$143</definedName>
    <definedName name="Z_A54C432C_6C68_4B53_A75C_446EB3A61B2B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A54C432C_6C68_4B53_A75C_446EB3A61B2B_.wvu.Rows" localSheetId="0" hidden="1">Консол!$22:$22,Консол!$43:$45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Мор!$17:$24,Мор!$27:$27,Мор!$31:$35,Мор!$37:$37,Мор!$44:$44,Мор!$46:$47,Мор!$49:$50,Мор!$57:$57,Мор!$59:$60,Мор!$64:$65,Мор!$67:$68,Мор!$78:$79,Мор!$83:$88,Мор!$91:$97,Мор!$142:$142</definedName>
    <definedName name="Z_A54C432C_6C68_4B53_A75C_446EB3A61B2B_.wvu.Rows" localSheetId="8" hidden="1">Мос!$19:$24,Мос!$29:$35,Мос!$44:$44,Мос!$46:$50,Мос!$58:$58,Мос!$60:$61,Мос!$68:$69,Мос!$79:$80,Мос!$82:$82,Мос!$85:$92,Мос!$95:$102,Мос!$143:$143</definedName>
    <definedName name="Z_A54C432C_6C68_4B53_A75C_446EB3A61B2B_.wvu.Rows" localSheetId="9" hidden="1">Ори!$19:$24,Ори!$31:$35,Ори!$44:$44,Ори!$46:$46,Ори!$48:$50,Ори!$57:$57,Ори!$59:$60,Ори!$67:$68,Ори!$78:$79,Ори!$81:$81,Ори!$84:$88,Ори!$91:$98,Ори!$142:$142</definedName>
    <definedName name="Z_A54C432C_6C68_4B53_A75C_446EB3A61B2B_.wvu.Rows" localSheetId="2" hidden="1">район!$17:$18,район!$20:$20,район!$25:$25,район!$27:$31,район!$35:$35,район!$38:$38,район!$50:$51,район!$62:$62,район!$75:$75,район!$82:$82,район!$99:$99,район!$106:$106,район!$134:$136,район!$139:$140</definedName>
    <definedName name="Z_A54C432C_6C68_4B53_A75C_446EB3A61B2B_.wvu.Rows" localSheetId="1" hidden="1">Справка!$33:$33</definedName>
    <definedName name="Z_A54C432C_6C68_4B53_A75C_446EB3A61B2B_.wvu.Rows" localSheetId="4" hidden="1">Сун!$19:$24,Сун!$34:$39,Сун!$43:$43,Сун!$45:$45,Сун!$47:$47,Сун!$49:$51,Сун!$58:$58,Сун!$60:$62,Сун!$68:$69,Сун!$79:$80,Сун!$82:$82,Сун!$85:$85,Сун!$87:$89,Сун!$93:$100,Сун!$142:$142</definedName>
    <definedName name="Z_A54C432C_6C68_4B53_A75C_446EB3A61B2B_.wvu.Rows" localSheetId="10" hidden="1">Сят!$19:$24,Сят!$31:$35,Сят!$38:$38,Сят!$45:$48,Сят!$57:$57,Сят!$59:$60,Сят!$67:$68,Сят!$78:$79,Сят!$83:$87,Сят!$90:$97,Сят!$143:$143</definedName>
    <definedName name="Z_A54C432C_6C68_4B53_A75C_446EB3A61B2B_.wvu.Rows" localSheetId="11" hidden="1">Тор!$19:$24,Тор!$32:$36,Тор!$39:$39,Тор!$46:$47,Тор!$50:$50,Тор!$57:$57,Тор!$59:$60,Тор!$67:$68,Тор!$75:$75,Тор!$79:$80,Тор!$84:$96,Тор!$143:$143</definedName>
    <definedName name="Z_A54C432C_6C68_4B53_A75C_446EB3A61B2B_.wvu.Rows" localSheetId="12" hidden="1">Хор!$19:$24,Хор!$28:$33,Хор!$40:$40,Хор!$44:$44,Хор!$46:$48,Хор!$55:$55,Хор!$57:$59,Хор!$65:$66,Хор!$72:$72,Хор!$76:$77,Хор!$81:$85,Хор!$88:$95,Хор!$142:$142</definedName>
    <definedName name="Z_A54C432C_6C68_4B53_A75C_446EB3A61B2B_.wvu.Rows" localSheetId="13" hidden="1">Чум!$19:$24,Чум!$31:$36,Чум!$46:$49,Чум!$57:$57,Чум!$59:$61,Чум!$67:$68,Чум!$78:$79,Чум!$83:$87,Чум!$90:$97,Чум!$142:$142</definedName>
    <definedName name="Z_A54C432C_6C68_4B53_A75C_446EB3A61B2B_.wvu.Rows" localSheetId="14" hidden="1">Шать!$19:$25,Шать!$31:$33,Шать!$46:$49,Шать!$57:$57,Шать!$59:$60,Шать!$67:$68,Шать!$78:$79,Шать!$84:$86,Шать!$90:$97,Шать!$142:$142</definedName>
    <definedName name="Z_A54C432C_6C68_4B53_A75C_446EB3A61B2B_.wvu.Rows" localSheetId="15" hidden="1">Юнг!$19:$24,Юнг!$33:$33,Юнг!$38:$38,Юнг!$46:$47,Юнг!$56:$56,Юнг!$58:$60,Юнг!$66:$68,Юнг!$77:$78,Юнг!$82:$86,Юнг!$89:$96,Юнг!$142:$142</definedName>
    <definedName name="Z_A54C432C_6C68_4B53_A75C_446EB3A61B2B_.wvu.Rows" localSheetId="16" hidden="1">Юсь!$19:$24,Юсь!$31:$33,Юсь!$36:$36,Юсь!$40:$40,Юсь!$44:$50,Юсь!$58:$58,Юсь!$60:$61,Юсь!$68:$69,Юсь!$79:$80,Юсь!$84:$88,Юсь!$91:$98,Юсь!$142:$142</definedName>
    <definedName name="Z_A54C432C_6C68_4B53_A75C_446EB3A61B2B_.wvu.Rows" localSheetId="17" hidden="1">Яра!$19:$24,Яра!$32:$34,Яра!$46:$50,Яра!$58:$58,Яра!$60:$62,Яра!$68:$69,Яра!$79:$80,Яра!$84:$88,Яра!$91:$98,Яра!$143:$143</definedName>
    <definedName name="Z_A54C432C_6C68_4B53_A75C_446EB3A61B2B_.wvu.Rows" localSheetId="18" hidden="1">Яро!$19:$24,Яро!$28:$36,Яро!$43:$43,Яро!$46:$46,Яро!$54:$54,Яро!$56:$58,Яро!$64:$65,Яро!$75:$75,Яро!$80:$84,Яро!$87:$94</definedName>
    <definedName name="Z_B30CE22D_C12F_4E12_8BB9_3AAE0A6991CC_.wvu.Cols" localSheetId="1" hidden="1">Справка!$AV:$AX,Справка!$BB:$BD,Справка!$BH:$BP,Справка!$BT:$BY,Справка!$CX:$DF</definedName>
    <definedName name="Z_B30CE22D_C12F_4E12_8BB9_3AAE0A6991CC_.wvu.PrintArea" localSheetId="5" hidden="1">Иль!$A$1:$F$104</definedName>
    <definedName name="Z_B30CE22D_C12F_4E12_8BB9_3AAE0A6991CC_.wvu.PrintArea" localSheetId="0" hidden="1">Консол!$A$1:$K$50</definedName>
    <definedName name="Z_B30CE22D_C12F_4E12_8BB9_3AAE0A6991CC_.wvu.PrintArea" localSheetId="7" hidden="1">Мор!$A$1:$F$101</definedName>
    <definedName name="Z_B30CE22D_C12F_4E12_8BB9_3AAE0A6991CC_.wvu.PrintArea" localSheetId="1" hidden="1">Справка!$A$1:$EY$31</definedName>
    <definedName name="Z_B30CE22D_C12F_4E12_8BB9_3AAE0A6991CC_.wvu.PrintArea" localSheetId="4" hidden="1">Сун!$A$1:$F$104</definedName>
    <definedName name="Z_B30CE22D_C12F_4E12_8BB9_3AAE0A6991CC_.wvu.PrintArea" localSheetId="11" hidden="1">Тор!$A$1:$F$102</definedName>
    <definedName name="Z_B30CE22D_C12F_4E12_8BB9_3AAE0A6991CC_.wvu.PrintArea" localSheetId="12" hidden="1">Хор!$A$1:$F$99</definedName>
    <definedName name="Z_B30CE22D_C12F_4E12_8BB9_3AAE0A6991CC_.wvu.PrintArea" localSheetId="13" hidden="1">Чум!$A$1:$F$101</definedName>
    <definedName name="Z_B30CE22D_C12F_4E12_8BB9_3AAE0A6991CC_.wvu.PrintArea" localSheetId="14" hidden="1">Шать!$A$1:$F$101</definedName>
    <definedName name="Z_B30CE22D_C12F_4E12_8BB9_3AAE0A6991CC_.wvu.PrintArea" localSheetId="15" hidden="1">Юнг!$A$1:$F$100</definedName>
    <definedName name="Z_B30CE22D_C12F_4E12_8BB9_3AAE0A6991CC_.wvu.PrintArea" localSheetId="16" hidden="1">Юсь!$A$1:$F$102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Але!$19:$24,Але!$28:$28,Але!$36:$36,Але!$46:$46,Але!$53:$53,Але!$55:$57,Але!$63:$64,Але!$74:$75,Але!$79:$83,Але!$86:$93,Але!$142:$142</definedName>
    <definedName name="Z_B30CE22D_C12F_4E12_8BB9_3AAE0A6991CC_.wvu.Rows" localSheetId="5" hidden="1">Иль!$19:$24,Иль!$30:$39,Иль!$58:$58,Иль!$60:$62,Иль!$68:$69,Иль!$78:$79,Иль!$81:$81,Иль!$86:$90,Иль!$93:$100,Иль!$143:$143</definedName>
    <definedName name="Z_B30CE22D_C12F_4E12_8BB9_3AAE0A6991CC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B30CE22D_C12F_4E12_8BB9_3AAE0A6991CC_.wvu.Rows" localSheetId="0" hidden="1">Консол!$22:$22,Консол!$43:$45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Мор!$17:$24,Мор!$27:$27,Мор!$31:$33,Мор!$44:$44,Мор!$46:$47,Мор!$49:$50,Мор!$57:$57,Мор!$59:$60,Мор!$64:$65,Мор!$67:$68,Мор!$78:$79,Мор!$83:$88,Мор!$91:$97,Мор!$142:$142</definedName>
    <definedName name="Z_B30CE22D_C12F_4E12_8BB9_3AAE0A6991CC_.wvu.Rows" localSheetId="8" hidden="1">Мос!$19:$24,Мос!$29:$35,Мос!$44:$44,Мос!$58:$58,Мос!$60:$61,Мос!$68:$69,Мос!$79:$80,Мос!$82:$82,Мос!$85:$92,Мос!$95:$102,Мос!$143:$143</definedName>
    <definedName name="Z_B30CE22D_C12F_4E12_8BB9_3AAE0A6991CC_.wvu.Rows" localSheetId="9" hidden="1">Ори!$19:$24,Ори!$31:$35,Ори!$44:$44,Ори!$46:$46,Ори!$48:$50,Ори!$57:$57,Ори!$59:$60,Ори!$67:$68,Ори!$78:$79,Ори!$81:$81,Ори!$84:$88,Ори!$91:$98,Ори!$142:$142</definedName>
    <definedName name="Z_B30CE22D_C12F_4E12_8BB9_3AAE0A6991CC_.wvu.Rows" localSheetId="2" hidden="1">район!$17:$18,район!$20:$20,район!$27:$31,район!$35:$35,район!$38:$38,район!$50:$51,район!$62:$62,район!$75:$75,район!$82:$82,район!$99:$99,район!$106:$106,район!$134:$136,район!$139:$140</definedName>
    <definedName name="Z_B30CE22D_C12F_4E12_8BB9_3AAE0A6991CC_.wvu.Rows" localSheetId="1" hidden="1">Справка!$33:$33</definedName>
    <definedName name="Z_B30CE22D_C12F_4E12_8BB9_3AAE0A6991CC_.wvu.Rows" localSheetId="4" hidden="1">Сун!$19:$24,Сун!$34:$36,Сун!$45:$45,Сун!$47:$47,Сун!$49:$51,Сун!$58:$58,Сун!$60:$62,Сун!$68:$69,Сун!$79:$80,Сун!$82:$82,Сун!$85:$85,Сун!$87:$89,Сун!$93:$100,Сун!$142:$142</definedName>
    <definedName name="Z_B30CE22D_C12F_4E12_8BB9_3AAE0A6991CC_.wvu.Rows" localSheetId="10" hidden="1">Сят!$19:$24,Сят!$31:$33,Сят!$38:$38,Сят!$45:$48,Сят!$57:$57,Сят!$59:$60,Сят!$67:$68,Сят!$78:$79,Сят!$83:$87,Сят!$90:$97,Сят!$143:$143</definedName>
    <definedName name="Z_B30CE22D_C12F_4E12_8BB9_3AAE0A6991CC_.wvu.Rows" localSheetId="11" hidden="1">Тор!$19:$24,Тор!$32:$36,Тор!$39:$39,Тор!$50:$50,Тор!$57:$57,Тор!$59:$60,Тор!$67:$68,Тор!$75:$75,Тор!$79:$80,Тор!$86:$87,Тор!$90:$96,Тор!$143:$143</definedName>
    <definedName name="Z_B30CE22D_C12F_4E12_8BB9_3AAE0A6991CC_.wvu.Rows" localSheetId="12" hidden="1">Хор!$19:$24,Хор!$28:$36,Хор!$40:$40,Хор!$46:$48,Хор!$55:$55,Хор!$57:$59,Хор!$65:$66,Хор!$76:$77,Хор!$81:$85,Хор!$88:$95,Хор!$142:$142</definedName>
    <definedName name="Z_B30CE22D_C12F_4E12_8BB9_3AAE0A6991CC_.wvu.Rows" localSheetId="13" hidden="1">Чум!$19:$24,Чум!$31:$36,Чум!$46:$49,Чум!$57:$57,Чум!$59:$61,Чум!$67:$68,Чум!$78:$79,Чум!$83:$87,Чум!$90:$97,Чум!$142:$142</definedName>
    <definedName name="Z_B30CE22D_C12F_4E12_8BB9_3AAE0A6991CC_.wvu.Rows" localSheetId="14" hidden="1">Шать!$19:$25,Шать!$31:$33,Шать!$46:$49,Шать!$57:$57,Шать!$59:$60,Шать!$67:$68,Шать!$78:$79,Шать!$84:$86,Шать!$90:$97,Шать!$142:$142</definedName>
    <definedName name="Z_B30CE22D_C12F_4E12_8BB9_3AAE0A6991CC_.wvu.Rows" localSheetId="15" hidden="1">Юнг!$19:$24,Юнг!$38:$38,Юнг!$45:$49,Юнг!$56:$56,Юнг!$58:$60,Юнг!$66:$67,Юнг!$77:$78,Юнг!$82:$86,Юнг!$89:$96,Юнг!$142:$142</definedName>
    <definedName name="Z_B30CE22D_C12F_4E12_8BB9_3AAE0A6991CC_.wvu.Rows" localSheetId="16" hidden="1">Юсь!$19:$24,Юсь!$31:$33,Юсь!$36:$36,Юсь!$44:$50,Юсь!$58:$58,Юсь!$60:$61,Юсь!$68:$69,Юсь!$79:$80,Юсь!$84:$88,Юсь!$91:$98,Юсь!$142:$142</definedName>
    <definedName name="Z_B30CE22D_C12F_4E12_8BB9_3AAE0A6991CC_.wvu.Rows" localSheetId="17" hidden="1">Яра!$19:$24,Яра!$46:$46,Яра!$48:$51,Яра!$58:$58,Яра!$60:$62,Яра!$68:$69,Яра!$79:$80,Яра!$84:$88,Яра!$91:$98,Яра!$143:$143</definedName>
    <definedName name="Z_B30CE22D_C12F_4E12_8BB9_3AAE0A6991CC_.wvu.Rows" localSheetId="18" hidden="1">Яро!$19:$24,Яро!$28:$28,Яро!$34:$36,Яро!$43:$43,Яро!$46:$47,Яро!$54:$54,Яро!$56:$58,Яро!$64:$65,Яро!$75:$75,Яро!$80:$84,Яро!$87:$90,Яро!$92:$94</definedName>
    <definedName name="Z_B31C8DB7_3E78_4144_A6B5_8DE36DE63F0E_.wvu.Cols" localSheetId="1" hidden="1">Справка!$AV:$AX,Справка!$BB:$BD,Справка!$BH:$BM,Справка!$BT:$BY,Справка!$CX:$DF</definedName>
    <definedName name="Z_B31C8DB7_3E78_4144_A6B5_8DE36DE63F0E_.wvu.PrintArea" localSheetId="5" hidden="1">Иль!$A$1:$F$104</definedName>
    <definedName name="Z_B31C8DB7_3E78_4144_A6B5_8DE36DE63F0E_.wvu.PrintArea" localSheetId="0" hidden="1">Консол!$A$1:$K$50</definedName>
    <definedName name="Z_B31C8DB7_3E78_4144_A6B5_8DE36DE63F0E_.wvu.PrintArea" localSheetId="7" hidden="1">Мор!$A$1:$F$101</definedName>
    <definedName name="Z_B31C8DB7_3E78_4144_A6B5_8DE36DE63F0E_.wvu.PrintArea" localSheetId="1" hidden="1">Справка!$A$1:$EY$31</definedName>
    <definedName name="Z_B31C8DB7_3E78_4144_A6B5_8DE36DE63F0E_.wvu.PrintArea" localSheetId="11" hidden="1">Тор!$A$1:$F$102</definedName>
    <definedName name="Z_B31C8DB7_3E78_4144_A6B5_8DE36DE63F0E_.wvu.PrintArea" localSheetId="15" hidden="1">Юнг!$A$1:$F$100</definedName>
    <definedName name="Z_B31C8DB7_3E78_4144_A6B5_8DE36DE63F0E_.wvu.PrintArea" localSheetId="17" hidden="1">Яра!$A$1:$F$102</definedName>
    <definedName name="Z_B31C8DB7_3E78_4144_A6B5_8DE36DE63F0E_.wvu.Rows" localSheetId="3" hidden="1">Але!$19:$24,Але!$44:$44,Але!$46:$46,Але!$53:$53,Але!$55:$56,Але!$63:$64,Але!$74:$75,Але!$79:$83,Але!$87:$89</definedName>
    <definedName name="Z_B31C8DB7_3E78_4144_A6B5_8DE36DE63F0E_.wvu.Rows" localSheetId="5" hidden="1">Иль!$19:$24,Иль!$33:$33,Иль!$45:$45,Иль!$50:$50,Иль!$60:$61,Иль!$68:$69,Иль!$78:$79,Иль!$81:$81,Иль!$93:$97</definedName>
    <definedName name="Z_B31C8DB7_3E78_4144_A6B5_8DE36DE63F0E_.wvu.Rows" localSheetId="6" hidden="1">Кад!$19:$24,Кад!$44:$44,Кад!$56:$56,Кад!$58:$59,Кад!$66:$67,Кад!$83:$85,Кад!$89:$92,Кад!$94:$96</definedName>
    <definedName name="Z_B31C8DB7_3E78_4144_A6B5_8DE36DE63F0E_.wvu.Rows" localSheetId="0" hidden="1">Консол!$22:$22,Консол!$43:$45,Консол!$82:$84</definedName>
    <definedName name="Z_B31C8DB7_3E78_4144_A6B5_8DE36DE63F0E_.wvu.Rows" localSheetId="19" hidden="1">Лист1!$82:$84</definedName>
    <definedName name="Z_B31C8DB7_3E78_4144_A6B5_8DE36DE63F0E_.wvu.Rows" localSheetId="7" hidden="1">Мор!$21:$21,Мор!$23:$23,Мор!$37:$37,Мор!$44:$44,Мор!$47:$47,Мор!$49:$50,Мор!$57:$57,Мор!$59:$60,Мор!$67:$68,Мор!$83:$88,Мор!$91:$97</definedName>
    <definedName name="Z_B31C8DB7_3E78_4144_A6B5_8DE36DE63F0E_.wvu.Rows" localSheetId="8" hidden="1">Мос!$19:$24,Мос!$44:$44,Мос!$58:$58,Мос!$60:$61,Мос!$68:$69,Мос!$82:$82,Мос!$84:$90,Мос!$95:$100</definedName>
    <definedName name="Z_B31C8DB7_3E78_4144_A6B5_8DE36DE63F0E_.wvu.Rows" localSheetId="9" hidden="1">Ори!$19:$24,Ори!$32:$32,Ори!$44:$44,Ори!$48:$50,Ори!$57:$57,Ори!$59:$60,Ори!$67:$68,Ори!$78:$79,Ори!$81:$81,Ори!$83:$87,Ори!$91:$98</definedName>
    <definedName name="Z_B31C8DB7_3E78_4144_A6B5_8DE36DE63F0E_.wvu.Rows" localSheetId="2" hidden="1">район!$17:$18,район!$20:$20,район!$28:$30,район!$50:$51,район!$75:$75,район!$82:$82,район!$99:$99,район!$106:$106,район!$134:$136</definedName>
    <definedName name="Z_B31C8DB7_3E78_4144_A6B5_8DE36DE63F0E_.wvu.Rows" localSheetId="1" hidden="1">Справка!$33:$33,Справка!$34:$34</definedName>
    <definedName name="Z_B31C8DB7_3E78_4144_A6B5_8DE36DE63F0E_.wvu.Rows" localSheetId="4" hidden="1">Сун!$19:$24,Сун!$49:$51,Сун!$58:$58,Сун!$60:$61,Сун!$68:$69,Сун!$79:$80,Сун!$82:$82,Сун!$88:$89,Сун!$93:$97</definedName>
    <definedName name="Z_B31C8DB7_3E78_4144_A6B5_8DE36DE63F0E_.wvu.Rows" localSheetId="10" hidden="1">Сят!$19:$19,Сят!$45:$47,Сят!$57:$57,Сят!$59:$60,Сят!$67:$68,Сят!$83:$86,Сят!$90:$97</definedName>
    <definedName name="Z_B31C8DB7_3E78_4144_A6B5_8DE36DE63F0E_.wvu.Rows" localSheetId="11" hidden="1">Тор!$19:$19,Тор!$50:$50,Тор!$57:$57,Тор!$59:$60,Тор!$67:$68,Тор!$75:$75,Тор!$79:$80,Тор!$83:$94</definedName>
    <definedName name="Z_B31C8DB7_3E78_4144_A6B5_8DE36DE63F0E_.wvu.Rows" localSheetId="12" hidden="1">Хор!$19:$24,Хор!$32:$32,Хор!$40:$40,Хор!$44:$44,Хор!$55:$55,Хор!$57:$58,Хор!$65:$66,Хор!$81:$85,Хор!$88:$95</definedName>
    <definedName name="Z_B31C8DB7_3E78_4144_A6B5_8DE36DE63F0E_.wvu.Rows" localSheetId="13" hidden="1">Чум!$19:$19,Чум!$21:$21,Чум!$23:$24,Чум!$47:$49,Чум!$57:$57,Чум!$59:$60,Чум!$67:$68,Чум!$83:$87,Чум!$90:$97</definedName>
    <definedName name="Z_B31C8DB7_3E78_4144_A6B5_8DE36DE63F0E_.wvu.Rows" localSheetId="14" hidden="1">Шать!$19:$24,Шать!$47:$49,Шать!$57:$57,Шать!$59:$60,Шать!$67:$68,Шать!$78:$79,Шать!$83:$87,Шать!$90:$97</definedName>
    <definedName name="Z_B31C8DB7_3E78_4144_A6B5_8DE36DE63F0E_.wvu.Rows" localSheetId="15" hidden="1">Юнг!$19:$24,Юнг!$32:$32,Юнг!$49:$49,Юнг!$56:$56,Юнг!$58:$59,Юнг!$66:$67,Юнг!$82:$86,Юнг!$89:$96</definedName>
    <definedName name="Z_B31C8DB7_3E78_4144_A6B5_8DE36DE63F0E_.wvu.Rows" localSheetId="16" hidden="1">Юсь!$20:$24,Юсь!$40:$40,Юсь!$44:$49,Юсь!$58:$58,Юсь!$60:$61,Юсь!$68:$69,Юсь!$79:$80,Юсь!$83:$88,Юсь!$91:$98</definedName>
    <definedName name="Z_B31C8DB7_3E78_4144_A6B5_8DE36DE63F0E_.wvu.Rows" localSheetId="17" hidden="1">Яра!$19:$24,Яра!$46:$50,Яра!$58:$58,Яра!$60:$61,Яра!$68:$69,Яра!$79:$79,Яра!$82:$88,Яра!$91:$98</definedName>
    <definedName name="Z_B31C8DB7_3E78_4144_A6B5_8DE36DE63F0E_.wvu.Rows" localSheetId="18" hidden="1">Яро!$19:$24,Яро!$29:$30,Яро!$32:$32,Яро!$43:$43,Яро!$54:$54,Яро!$56:$57,Яро!$64:$65,Яро!$75:$76,Яро!$80:$85,Яро!$87:$94</definedName>
    <definedName name="_xlnm.Print_Area" localSheetId="3">Але!$A$1:$F$97</definedName>
    <definedName name="_xlnm.Print_Area" localSheetId="5">Иль!$A$1:$F$104</definedName>
    <definedName name="_xlnm.Print_Area" localSheetId="0">Консол!$A$1:$K$50</definedName>
    <definedName name="_xlnm.Print_Area" localSheetId="7">Мор!$A$1:$F$101</definedName>
    <definedName name="_xlnm.Print_Area" localSheetId="1">Справка!$A$1:$EY$31</definedName>
    <definedName name="_xlnm.Print_Area" localSheetId="4">Сун!$A$1:$F$104</definedName>
    <definedName name="_xlnm.Print_Area" localSheetId="11">Тор!$A$1:$F$102</definedName>
    <definedName name="_xlnm.Print_Area" localSheetId="13">Чум!$A$1:$F$101</definedName>
    <definedName name="_xlnm.Print_Area" localSheetId="15">Юнг!$A$1:$F$100</definedName>
    <definedName name="_xlnm.Print_Area" localSheetId="16">Юсь!$A$1:$F$102</definedName>
    <definedName name="_xlnm.Print_Area" localSheetId="17">Яра!$A$1:$F$102</definedName>
  </definedNames>
  <calcPr calcId="124519"/>
  <customWorkbookViews>
    <customWorkbookView name="morgau_fin3 - Личное представление" guid="{61528DAC-5C4C-48F4-ADE2-8A724B05A086}" mergeInterval="0" personalView="1" maximized="1" xWindow="1" yWindow="1" windowWidth="1916" windowHeight="850" tabRatio="695" activeSheetId="3"/>
    <customWorkbookView name="morgau_fin7 - Личное представление" guid="{5BFCA170-DEAE-4D2C-98A0-1E68B427AC01}" mergeInterval="0" personalView="1" maximized="1" xWindow="1" yWindow="1" windowWidth="1916" windowHeight="850" tabRatio="695" activeSheetId="1"/>
    <customWorkbookView name="morgau_fin4 - Личное представление" guid="{1A52382B-3765-4E8C-903F-6B8919B7242E}" mergeInterval="0" personalView="1" maximized="1" xWindow="1" yWindow="1" windowWidth="1916" windowHeight="850" tabRatio="695" activeSheetId="12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morgau_fin5 - Личное представление" guid="{B31C8DB7-3E78-4144-A6B5-8DE36DE63F0E}" mergeInterval="0" personalView="1" maximized="1" xWindow="1" yWindow="1" windowWidth="1916" windowHeight="850" tabRatio="695" activeSheetId="2"/>
    <customWorkbookView name="morgau_fin2 - Личное представление" guid="{B30CE22D-C12F-4E12-8BB9-3AAE0A6991CC}" mergeInterval="0" personalView="1" maximized="1" xWindow="1" yWindow="1" windowWidth="1916" windowHeight="859" tabRatio="695" activeSheetId="2"/>
  </customWorkbookViews>
</workbook>
</file>

<file path=xl/calcChain.xml><?xml version="1.0" encoding="utf-8"?>
<calcChain xmlns="http://schemas.openxmlformats.org/spreadsheetml/2006/main">
  <c r="C73" i="3"/>
  <c r="D104"/>
  <c r="C104"/>
  <c r="F105"/>
  <c r="E105"/>
  <c r="CO17" i="2"/>
  <c r="CO14"/>
  <c r="F144" i="3"/>
  <c r="E144"/>
  <c r="F143"/>
  <c r="E143"/>
  <c r="F142"/>
  <c r="E142"/>
  <c r="D141"/>
  <c r="E141" s="1"/>
  <c r="C141"/>
  <c r="F140"/>
  <c r="C139"/>
  <c r="F139" s="1"/>
  <c r="F138"/>
  <c r="E138"/>
  <c r="D137"/>
  <c r="C137"/>
  <c r="E136"/>
  <c r="E135"/>
  <c r="C134"/>
  <c r="E134" s="1"/>
  <c r="F133"/>
  <c r="E133"/>
  <c r="F132"/>
  <c r="E132"/>
  <c r="D131"/>
  <c r="C131"/>
  <c r="F130"/>
  <c r="E130"/>
  <c r="F129"/>
  <c r="E129"/>
  <c r="F128"/>
  <c r="E128"/>
  <c r="F127"/>
  <c r="E127"/>
  <c r="D126"/>
  <c r="C126"/>
  <c r="F125"/>
  <c r="E125"/>
  <c r="F124"/>
  <c r="E124"/>
  <c r="D123"/>
  <c r="C123"/>
  <c r="F122"/>
  <c r="E122"/>
  <c r="F121"/>
  <c r="E121"/>
  <c r="F120"/>
  <c r="E120"/>
  <c r="F119"/>
  <c r="E119"/>
  <c r="F118"/>
  <c r="E118"/>
  <c r="D117"/>
  <c r="C117"/>
  <c r="F116"/>
  <c r="E116"/>
  <c r="D115"/>
  <c r="C115"/>
  <c r="E115" s="1"/>
  <c r="F114"/>
  <c r="E114"/>
  <c r="F113"/>
  <c r="E113"/>
  <c r="F112"/>
  <c r="E112"/>
  <c r="D111"/>
  <c r="C111"/>
  <c r="F110"/>
  <c r="E110"/>
  <c r="F109"/>
  <c r="E109"/>
  <c r="F107"/>
  <c r="E107"/>
  <c r="F106"/>
  <c r="E106"/>
  <c r="F103"/>
  <c r="E103"/>
  <c r="F102"/>
  <c r="E102"/>
  <c r="F101"/>
  <c r="E101"/>
  <c r="F100"/>
  <c r="E100"/>
  <c r="F99"/>
  <c r="E99"/>
  <c r="D98"/>
  <c r="C98"/>
  <c r="F97"/>
  <c r="E97"/>
  <c r="D96"/>
  <c r="C96"/>
  <c r="F95"/>
  <c r="E95"/>
  <c r="F94"/>
  <c r="E94"/>
  <c r="F93"/>
  <c r="E93"/>
  <c r="F92"/>
  <c r="E92"/>
  <c r="F91"/>
  <c r="E91"/>
  <c r="F90"/>
  <c r="E90"/>
  <c r="F89"/>
  <c r="E89"/>
  <c r="D88"/>
  <c r="C88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D73"/>
  <c r="F71"/>
  <c r="E71"/>
  <c r="F70"/>
  <c r="E70"/>
  <c r="D69"/>
  <c r="C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D52"/>
  <c r="C52"/>
  <c r="F51"/>
  <c r="E51"/>
  <c r="D50"/>
  <c r="C50"/>
  <c r="F49"/>
  <c r="E49"/>
  <c r="F48"/>
  <c r="E48"/>
  <c r="D47"/>
  <c r="C47"/>
  <c r="F46"/>
  <c r="F45"/>
  <c r="E45"/>
  <c r="D44"/>
  <c r="C44"/>
  <c r="F43"/>
  <c r="E43"/>
  <c r="D42"/>
  <c r="C42"/>
  <c r="F41"/>
  <c r="E41"/>
  <c r="F40"/>
  <c r="E40"/>
  <c r="F39"/>
  <c r="E39"/>
  <c r="F38"/>
  <c r="E38"/>
  <c r="F37"/>
  <c r="E37"/>
  <c r="F36"/>
  <c r="E36"/>
  <c r="F35"/>
  <c r="E35"/>
  <c r="F34"/>
  <c r="E34"/>
  <c r="D33"/>
  <c r="C33"/>
  <c r="F31"/>
  <c r="E31"/>
  <c r="F30"/>
  <c r="E30"/>
  <c r="F29"/>
  <c r="E29"/>
  <c r="F28"/>
  <c r="E28"/>
  <c r="D27"/>
  <c r="C27"/>
  <c r="F26"/>
  <c r="E26"/>
  <c r="F25"/>
  <c r="E25"/>
  <c r="F24"/>
  <c r="E24"/>
  <c r="D23"/>
  <c r="C23"/>
  <c r="F22"/>
  <c r="E22"/>
  <c r="D21"/>
  <c r="C21"/>
  <c r="F20"/>
  <c r="E20"/>
  <c r="F19"/>
  <c r="E19"/>
  <c r="F18"/>
  <c r="E18"/>
  <c r="F17"/>
  <c r="E17"/>
  <c r="D16"/>
  <c r="C16"/>
  <c r="F15"/>
  <c r="E15"/>
  <c r="F14"/>
  <c r="E14"/>
  <c r="F13"/>
  <c r="E13"/>
  <c r="D12"/>
  <c r="C12"/>
  <c r="F11"/>
  <c r="E11"/>
  <c r="F10"/>
  <c r="E10"/>
  <c r="F9"/>
  <c r="E9"/>
  <c r="F8"/>
  <c r="E8"/>
  <c r="D7"/>
  <c r="C7"/>
  <c r="F6"/>
  <c r="E6"/>
  <c r="D5"/>
  <c r="C5"/>
  <c r="F71" i="12"/>
  <c r="E71"/>
  <c r="D77" i="4"/>
  <c r="CR19" i="2"/>
  <c r="AB28"/>
  <c r="AZ17"/>
  <c r="AZ19"/>
  <c r="AZ20"/>
  <c r="AZ21"/>
  <c r="AZ24"/>
  <c r="AZ26"/>
  <c r="AZ27"/>
  <c r="AZ28"/>
  <c r="C67" i="5"/>
  <c r="C66" i="8"/>
  <c r="F71"/>
  <c r="E71"/>
  <c r="DF35" i="2"/>
  <c r="C67" i="9"/>
  <c r="C40"/>
  <c r="C66" i="12"/>
  <c r="E65" i="11"/>
  <c r="C66"/>
  <c r="C66" i="10"/>
  <c r="C65" i="7"/>
  <c r="C64" i="13"/>
  <c r="C67" i="17"/>
  <c r="C65" i="16"/>
  <c r="C66" i="15"/>
  <c r="C66" i="14"/>
  <c r="F71"/>
  <c r="E71"/>
  <c r="C62" i="4"/>
  <c r="C63" i="19"/>
  <c r="D26"/>
  <c r="D31"/>
  <c r="BE28" i="2"/>
  <c r="D71" i="7"/>
  <c r="D83" i="9"/>
  <c r="D26" i="6"/>
  <c r="E44" i="14"/>
  <c r="F131" i="3" l="1"/>
  <c r="E23"/>
  <c r="F137"/>
  <c r="F7"/>
  <c r="F23"/>
  <c r="E42"/>
  <c r="E44"/>
  <c r="E88"/>
  <c r="F12"/>
  <c r="E7"/>
  <c r="E96"/>
  <c r="F98"/>
  <c r="F123"/>
  <c r="C4"/>
  <c r="E12"/>
  <c r="E52"/>
  <c r="F73"/>
  <c r="F88"/>
  <c r="F104"/>
  <c r="E131"/>
  <c r="E111"/>
  <c r="F115"/>
  <c r="D4"/>
  <c r="E47"/>
  <c r="F69"/>
  <c r="F126"/>
  <c r="E117"/>
  <c r="C32"/>
  <c r="F50"/>
  <c r="E27"/>
  <c r="E16"/>
  <c r="E5"/>
  <c r="E21"/>
  <c r="E33"/>
  <c r="F44"/>
  <c r="F47"/>
  <c r="F111"/>
  <c r="E137"/>
  <c r="E50"/>
  <c r="F52"/>
  <c r="E69"/>
  <c r="E98"/>
  <c r="E104"/>
  <c r="E123"/>
  <c r="E126"/>
  <c r="C145"/>
  <c r="F117"/>
  <c r="E73"/>
  <c r="D32"/>
  <c r="F96"/>
  <c r="F5"/>
  <c r="F16"/>
  <c r="F21"/>
  <c r="F27"/>
  <c r="F33"/>
  <c r="F42"/>
  <c r="F141"/>
  <c r="D145"/>
  <c r="D40" i="16"/>
  <c r="F4" i="3" l="1"/>
  <c r="E4"/>
  <c r="C72"/>
  <c r="C83" s="1"/>
  <c r="C84" s="1"/>
  <c r="D72"/>
  <c r="D83" s="1"/>
  <c r="F145"/>
  <c r="E145"/>
  <c r="E32"/>
  <c r="F32"/>
  <c r="D34" i="15"/>
  <c r="D36" i="7"/>
  <c r="D66" i="12"/>
  <c r="D34" i="11"/>
  <c r="D26"/>
  <c r="D14"/>
  <c r="CV26" i="2"/>
  <c r="AT18"/>
  <c r="AQ18"/>
  <c r="F72" i="3" l="1"/>
  <c r="E72"/>
  <c r="D84"/>
  <c r="F83" s="1"/>
  <c r="E83"/>
  <c r="C34" i="11"/>
  <c r="BN21" i="2" s="1"/>
  <c r="C82" i="12"/>
  <c r="C38" i="17"/>
  <c r="D12" i="19"/>
  <c r="D67" i="18" l="1"/>
  <c r="E42" i="13"/>
  <c r="D82" i="12"/>
  <c r="D64"/>
  <c r="D67" i="6"/>
  <c r="C67"/>
  <c r="E72"/>
  <c r="F72"/>
  <c r="C68" i="4"/>
  <c r="D68"/>
  <c r="G32" i="1" l="1"/>
  <c r="CO19" i="2"/>
  <c r="E49" i="9"/>
  <c r="D5" i="5"/>
  <c r="C29" i="12"/>
  <c r="J15" i="2"/>
  <c r="D12" i="7"/>
  <c r="CD14" i="2"/>
  <c r="CS17"/>
  <c r="CD17"/>
  <c r="C38" i="4"/>
  <c r="AT28" i="2"/>
  <c r="F28" i="18"/>
  <c r="E28"/>
  <c r="D26"/>
  <c r="C67"/>
  <c r="F72"/>
  <c r="E72"/>
  <c r="D73"/>
  <c r="F29"/>
  <c r="E29"/>
  <c r="F87" i="15"/>
  <c r="E87"/>
  <c r="F86"/>
  <c r="E86"/>
  <c r="F85"/>
  <c r="E85"/>
  <c r="F84"/>
  <c r="E84"/>
  <c r="D81" i="14"/>
  <c r="CR17" i="2"/>
  <c r="C40" i="7"/>
  <c r="D41" i="6"/>
  <c r="C41"/>
  <c r="CS16" i="2"/>
  <c r="CR16"/>
  <c r="BQ14"/>
  <c r="E51" i="6"/>
  <c r="F51"/>
  <c r="D67" i="5"/>
  <c r="D38" i="4"/>
  <c r="BR14" i="2"/>
  <c r="CV22"/>
  <c r="CV21"/>
  <c r="D41" i="12"/>
  <c r="E49"/>
  <c r="F49"/>
  <c r="D40" i="11"/>
  <c r="BR25" i="2" l="1"/>
  <c r="CS23"/>
  <c r="CS19"/>
  <c r="CS18"/>
  <c r="CS14" l="1"/>
  <c r="D38" i="13"/>
  <c r="D40" i="10"/>
  <c r="D40" i="9"/>
  <c r="D40" i="8"/>
  <c r="D17" i="15"/>
  <c r="CS29" i="2"/>
  <c r="CR29"/>
  <c r="CS27"/>
  <c r="CS25"/>
  <c r="CS24"/>
  <c r="CS22"/>
  <c r="CS21"/>
  <c r="D41" i="15"/>
  <c r="D37" i="14"/>
  <c r="BR24" i="2" s="1"/>
  <c r="D41" i="14"/>
  <c r="D38" i="17"/>
  <c r="CR23" i="2"/>
  <c r="E9" i="12"/>
  <c r="F33" i="5" l="1"/>
  <c r="AE14" i="2"/>
  <c r="CR14"/>
  <c r="CT14" s="1"/>
  <c r="CR27"/>
  <c r="CT27" s="1"/>
  <c r="CR25"/>
  <c r="CT25" s="1"/>
  <c r="CR24"/>
  <c r="CT24" s="1"/>
  <c r="CR21"/>
  <c r="CT21" s="1"/>
  <c r="CR18"/>
  <c r="CT18" s="1"/>
  <c r="CS15"/>
  <c r="CR15"/>
  <c r="F80" i="13"/>
  <c r="F90" i="18"/>
  <c r="F51" i="17"/>
  <c r="C40" i="16"/>
  <c r="E40" s="1"/>
  <c r="E50" i="15"/>
  <c r="F50"/>
  <c r="C41" i="14"/>
  <c r="F41" s="1"/>
  <c r="E50"/>
  <c r="F50"/>
  <c r="E76" i="12"/>
  <c r="E73"/>
  <c r="E31"/>
  <c r="F31"/>
  <c r="D29"/>
  <c r="AZ22" i="2" s="1"/>
  <c r="C40" i="11"/>
  <c r="E40" s="1"/>
  <c r="E49"/>
  <c r="F49"/>
  <c r="C40" i="10"/>
  <c r="F40" s="1"/>
  <c r="E81" i="9"/>
  <c r="E51"/>
  <c r="F51"/>
  <c r="E47" i="8"/>
  <c r="F47"/>
  <c r="E48"/>
  <c r="F48"/>
  <c r="E49"/>
  <c r="F49"/>
  <c r="E50"/>
  <c r="F50"/>
  <c r="C40"/>
  <c r="F40" s="1"/>
  <c r="F81" i="5"/>
  <c r="F76"/>
  <c r="C26"/>
  <c r="D41"/>
  <c r="E48"/>
  <c r="F48"/>
  <c r="C41"/>
  <c r="E48" i="12"/>
  <c r="F48"/>
  <c r="G24" i="1"/>
  <c r="C41" i="15"/>
  <c r="F41" s="1"/>
  <c r="E42"/>
  <c r="C38" i="13"/>
  <c r="C41" i="12"/>
  <c r="F41" i="10"/>
  <c r="E44"/>
  <c r="F44"/>
  <c r="E44" i="9"/>
  <c r="F44"/>
  <c r="E44" i="8"/>
  <c r="F44"/>
  <c r="E44" i="7"/>
  <c r="F44"/>
  <c r="E45" i="6"/>
  <c r="F45"/>
  <c r="E46"/>
  <c r="F46"/>
  <c r="E45" i="5"/>
  <c r="F45"/>
  <c r="CR22" i="2"/>
  <c r="CT22" s="1"/>
  <c r="CV14"/>
  <c r="C55" i="7"/>
  <c r="G33" i="1"/>
  <c r="F33"/>
  <c r="G20"/>
  <c r="D20" i="14"/>
  <c r="AK24" i="2" s="1"/>
  <c r="E75" i="11"/>
  <c r="E34" i="10"/>
  <c r="F34"/>
  <c r="E35"/>
  <c r="F35"/>
  <c r="D81" i="8"/>
  <c r="EL18" i="2" s="1"/>
  <c r="C77" i="8"/>
  <c r="EH18" i="2" s="1"/>
  <c r="C72" i="8"/>
  <c r="EE18" i="2" s="1"/>
  <c r="E35" i="11"/>
  <c r="F35"/>
  <c r="E34"/>
  <c r="F34"/>
  <c r="E33"/>
  <c r="C7" i="8"/>
  <c r="D7" i="5"/>
  <c r="C52" i="4"/>
  <c r="D12"/>
  <c r="BP23" i="2"/>
  <c r="BO21"/>
  <c r="BP21" s="1"/>
  <c r="D97" i="12"/>
  <c r="ER22" i="2" s="1"/>
  <c r="F35" i="16"/>
  <c r="E35"/>
  <c r="D34"/>
  <c r="E34" s="1"/>
  <c r="D12" i="13"/>
  <c r="D5"/>
  <c r="D79"/>
  <c r="EL23" i="2" s="1"/>
  <c r="D75" i="13"/>
  <c r="EI23" i="2" s="1"/>
  <c r="D62" i="13"/>
  <c r="D70"/>
  <c r="EF23" i="2" s="1"/>
  <c r="D54" i="13"/>
  <c r="D26"/>
  <c r="AQ27" i="2"/>
  <c r="AQ25"/>
  <c r="AQ19"/>
  <c r="AR19" s="1"/>
  <c r="AQ17"/>
  <c r="AT29"/>
  <c r="AU29" s="1"/>
  <c r="BU34"/>
  <c r="BU35" s="1"/>
  <c r="E88" i="16"/>
  <c r="C81" i="14"/>
  <c r="EK24" i="2" s="1"/>
  <c r="E15" i="14"/>
  <c r="C75" i="13"/>
  <c r="EH23" i="2" s="1"/>
  <c r="E42" i="10"/>
  <c r="F42"/>
  <c r="BO19" i="2"/>
  <c r="BP19" s="1"/>
  <c r="F76" i="9"/>
  <c r="F35"/>
  <c r="E35"/>
  <c r="D34"/>
  <c r="C34"/>
  <c r="AZ15" i="2"/>
  <c r="G21" i="1"/>
  <c r="E36" i="18"/>
  <c r="F36"/>
  <c r="E48" i="16"/>
  <c r="F48"/>
  <c r="E46"/>
  <c r="E47"/>
  <c r="E42"/>
  <c r="F42"/>
  <c r="C34" i="15"/>
  <c r="BN25" i="2" s="1"/>
  <c r="E36" i="15"/>
  <c r="F36"/>
  <c r="BO25" i="2"/>
  <c r="E70" i="14"/>
  <c r="D34"/>
  <c r="BO24" i="2" s="1"/>
  <c r="C34" i="14"/>
  <c r="E36" i="12"/>
  <c r="F36"/>
  <c r="C35"/>
  <c r="E42" i="11"/>
  <c r="F42"/>
  <c r="E42" i="8"/>
  <c r="F42"/>
  <c r="E86" i="7"/>
  <c r="BR17" i="2"/>
  <c r="E42" i="7"/>
  <c r="F42"/>
  <c r="E35"/>
  <c r="F35"/>
  <c r="E58" i="6"/>
  <c r="F58"/>
  <c r="E49"/>
  <c r="E60" i="5"/>
  <c r="E61"/>
  <c r="E62"/>
  <c r="C5"/>
  <c r="C7"/>
  <c r="E29"/>
  <c r="E31"/>
  <c r="F28"/>
  <c r="E28"/>
  <c r="E45" i="4"/>
  <c r="DN14" i="2"/>
  <c r="DQ29"/>
  <c r="DQ24"/>
  <c r="DQ22"/>
  <c r="DQ21"/>
  <c r="DQ18"/>
  <c r="DQ16"/>
  <c r="DQ14"/>
  <c r="D17" i="12"/>
  <c r="D5" i="8"/>
  <c r="D5" i="6"/>
  <c r="D56" i="12"/>
  <c r="D35"/>
  <c r="BO22" i="2" s="1"/>
  <c r="BP22" s="1"/>
  <c r="CS26"/>
  <c r="CR26"/>
  <c r="CS28"/>
  <c r="CR28"/>
  <c r="D82" i="18"/>
  <c r="D78"/>
  <c r="EI28" i="2" s="1"/>
  <c r="D41" i="18"/>
  <c r="C41"/>
  <c r="E51"/>
  <c r="F51"/>
  <c r="D34" i="7"/>
  <c r="BO17" i="2" s="1"/>
  <c r="BP17" s="1"/>
  <c r="C34" i="7"/>
  <c r="G15" i="1"/>
  <c r="D61" i="19"/>
  <c r="DZ29" i="2" s="1"/>
  <c r="D38" i="19"/>
  <c r="D35" i="18"/>
  <c r="BO28" i="2" s="1"/>
  <c r="BO20"/>
  <c r="BP20" s="1"/>
  <c r="D88" i="14"/>
  <c r="ER24" i="2" s="1"/>
  <c r="D36" i="8"/>
  <c r="BR18" i="2" s="1"/>
  <c r="E27" i="19"/>
  <c r="E56" i="16"/>
  <c r="E57"/>
  <c r="E58"/>
  <c r="E59"/>
  <c r="AQ29" i="2"/>
  <c r="AQ14"/>
  <c r="CL18"/>
  <c r="AS17"/>
  <c r="AA24"/>
  <c r="G35" i="1"/>
  <c r="D35" s="1"/>
  <c r="D66" i="8"/>
  <c r="EC18" i="2" s="1"/>
  <c r="EB18"/>
  <c r="C14" i="14"/>
  <c r="F15" s="1"/>
  <c r="F35" i="15"/>
  <c r="E35"/>
  <c r="D26" i="4"/>
  <c r="CI16" i="2"/>
  <c r="CI29"/>
  <c r="CI28"/>
  <c r="CI27"/>
  <c r="CI26"/>
  <c r="CI25"/>
  <c r="CI24"/>
  <c r="CI23"/>
  <c r="CI22"/>
  <c r="CI21"/>
  <c r="CI20"/>
  <c r="CI19"/>
  <c r="CI18"/>
  <c r="CI17"/>
  <c r="CI15"/>
  <c r="CI14"/>
  <c r="I29"/>
  <c r="P25"/>
  <c r="AN25"/>
  <c r="CP28"/>
  <c r="CP26"/>
  <c r="CP25"/>
  <c r="CP24"/>
  <c r="CP23"/>
  <c r="CP22"/>
  <c r="CP16"/>
  <c r="BE14"/>
  <c r="AY28"/>
  <c r="AY27"/>
  <c r="AY24"/>
  <c r="BA24" s="1"/>
  <c r="AY21"/>
  <c r="AY20"/>
  <c r="AY19"/>
  <c r="AY17"/>
  <c r="BA17" s="1"/>
  <c r="AY15"/>
  <c r="AY26"/>
  <c r="AS24"/>
  <c r="AQ26"/>
  <c r="AQ24"/>
  <c r="AQ22"/>
  <c r="AQ16"/>
  <c r="AQ15"/>
  <c r="D88" i="15"/>
  <c r="ER25" i="2" s="1"/>
  <c r="D20" i="12"/>
  <c r="AK22" i="2" s="1"/>
  <c r="AL22" s="1"/>
  <c r="C20" i="12"/>
  <c r="D26" i="5"/>
  <c r="C31" i="4"/>
  <c r="AP27" i="2"/>
  <c r="CO28"/>
  <c r="CO26"/>
  <c r="CC26"/>
  <c r="CO24"/>
  <c r="CO23"/>
  <c r="CO22"/>
  <c r="CO16"/>
  <c r="D53" i="19"/>
  <c r="D69"/>
  <c r="EF29" i="2" s="1"/>
  <c r="D65" i="16"/>
  <c r="D63"/>
  <c r="D55"/>
  <c r="D76"/>
  <c r="D71"/>
  <c r="EF26" i="2" s="1"/>
  <c r="D66" i="15"/>
  <c r="EC25" i="2" s="1"/>
  <c r="D7" i="7"/>
  <c r="D40"/>
  <c r="F40" s="1"/>
  <c r="D26"/>
  <c r="D17" i="5"/>
  <c r="EF14" i="2"/>
  <c r="DQ20"/>
  <c r="DQ17"/>
  <c r="D5" i="15"/>
  <c r="D5" i="9"/>
  <c r="C35" i="18"/>
  <c r="BN28" i="2" s="1"/>
  <c r="C34" i="8"/>
  <c r="AP18" i="2"/>
  <c r="AT19"/>
  <c r="AS18"/>
  <c r="F20" i="1"/>
  <c r="DZ22" i="2"/>
  <c r="AQ21"/>
  <c r="D65" i="17"/>
  <c r="D56" i="15"/>
  <c r="D37" i="12"/>
  <c r="BR22" i="2" s="1"/>
  <c r="E15" i="5"/>
  <c r="E16"/>
  <c r="D60" i="4"/>
  <c r="G9" i="1"/>
  <c r="D9" s="1"/>
  <c r="BE22" i="2"/>
  <c r="D31" i="7"/>
  <c r="J14" i="2"/>
  <c r="J16"/>
  <c r="J17"/>
  <c r="J18"/>
  <c r="J19"/>
  <c r="J20"/>
  <c r="J21"/>
  <c r="J22"/>
  <c r="J23"/>
  <c r="J24"/>
  <c r="J25"/>
  <c r="J26"/>
  <c r="J27"/>
  <c r="J28"/>
  <c r="J29"/>
  <c r="BN18"/>
  <c r="BF18"/>
  <c r="BI18"/>
  <c r="BI31" s="1"/>
  <c r="BI34" s="1"/>
  <c r="BI35" s="1"/>
  <c r="BJ18"/>
  <c r="BK18"/>
  <c r="BL18"/>
  <c r="BM18"/>
  <c r="D66" i="14"/>
  <c r="EC24" i="2" s="1"/>
  <c r="D5" i="14"/>
  <c r="EY30" i="2"/>
  <c r="D65" i="18"/>
  <c r="DZ28" i="2" s="1"/>
  <c r="D12" i="5"/>
  <c r="E47"/>
  <c r="F47"/>
  <c r="C73"/>
  <c r="I14" i="2"/>
  <c r="AP26"/>
  <c r="AP25"/>
  <c r="AP24"/>
  <c r="AP22"/>
  <c r="AP17"/>
  <c r="AP14"/>
  <c r="AS26"/>
  <c r="AS22"/>
  <c r="AS21"/>
  <c r="G11" i="1"/>
  <c r="D11" s="1"/>
  <c r="G5"/>
  <c r="G38"/>
  <c r="C97" i="12"/>
  <c r="EQ22" i="2" s="1"/>
  <c r="D7" i="16"/>
  <c r="E42" i="9"/>
  <c r="F42"/>
  <c r="ER14" i="2"/>
  <c r="C84" i="4"/>
  <c r="EL14" i="2"/>
  <c r="C77" i="4"/>
  <c r="D73"/>
  <c r="C73"/>
  <c r="EH14" i="2" s="1"/>
  <c r="D62" i="4"/>
  <c r="EB14" i="2"/>
  <c r="C60" i="4"/>
  <c r="D52"/>
  <c r="D36" i="16"/>
  <c r="G41" i="1"/>
  <c r="D17" i="19"/>
  <c r="D32" i="5"/>
  <c r="BF15" i="2" s="1"/>
  <c r="D66" i="11"/>
  <c r="D64"/>
  <c r="D56"/>
  <c r="DK21" i="2" s="1"/>
  <c r="D87" i="7"/>
  <c r="ER17" i="2" s="1"/>
  <c r="D82" i="7"/>
  <c r="EO17" i="2" s="1"/>
  <c r="D80" i="7"/>
  <c r="EL17" i="2" s="1"/>
  <c r="D76" i="7"/>
  <c r="EI17" i="2" s="1"/>
  <c r="D65" i="7"/>
  <c r="EC17" i="2" s="1"/>
  <c r="D63" i="7"/>
  <c r="D55"/>
  <c r="D64" i="10"/>
  <c r="AS28" i="2"/>
  <c r="AS27"/>
  <c r="AS25"/>
  <c r="AS23"/>
  <c r="AS20"/>
  <c r="AS16"/>
  <c r="AS15"/>
  <c r="AS14"/>
  <c r="AP28"/>
  <c r="AP23"/>
  <c r="AP20"/>
  <c r="D7" i="13"/>
  <c r="D14"/>
  <c r="C14" i="12"/>
  <c r="Y14" i="2"/>
  <c r="Y15"/>
  <c r="Y16"/>
  <c r="Y18"/>
  <c r="Y20"/>
  <c r="Y21"/>
  <c r="Y22"/>
  <c r="Y23"/>
  <c r="Y24"/>
  <c r="Y25"/>
  <c r="Y26"/>
  <c r="Y27"/>
  <c r="Y28"/>
  <c r="Y29"/>
  <c r="DV16"/>
  <c r="CP29"/>
  <c r="CO29"/>
  <c r="DN24"/>
  <c r="DN25"/>
  <c r="DN23"/>
  <c r="DN22"/>
  <c r="DN26"/>
  <c r="DN21"/>
  <c r="DN20"/>
  <c r="DN29"/>
  <c r="DN28"/>
  <c r="DN27"/>
  <c r="DN19"/>
  <c r="DN18"/>
  <c r="DN17"/>
  <c r="DN16"/>
  <c r="DN15"/>
  <c r="DP17"/>
  <c r="G29" i="1"/>
  <c r="D26" i="16"/>
  <c r="D7" i="4"/>
  <c r="D67" i="9"/>
  <c r="D57"/>
  <c r="AD23" i="2"/>
  <c r="I23"/>
  <c r="L23"/>
  <c r="I24"/>
  <c r="AD24"/>
  <c r="AQ28"/>
  <c r="AQ23"/>
  <c r="AQ20"/>
  <c r="AP21"/>
  <c r="AP15"/>
  <c r="C31" i="19"/>
  <c r="E43" i="14"/>
  <c r="F43"/>
  <c r="C26" i="6"/>
  <c r="C65" i="5"/>
  <c r="DE23" i="2"/>
  <c r="DE31" s="1"/>
  <c r="D78" i="17"/>
  <c r="EI27" i="2" s="1"/>
  <c r="D78" i="12"/>
  <c r="D73" i="9"/>
  <c r="G12" i="1"/>
  <c r="BU33" i="2"/>
  <c r="DF33"/>
  <c r="C89" i="17"/>
  <c r="EQ27" i="2" s="1"/>
  <c r="DP14"/>
  <c r="D26" i="17"/>
  <c r="D32" i="18"/>
  <c r="D14" i="4"/>
  <c r="C79" i="13"/>
  <c r="EK23" i="2" s="1"/>
  <c r="C26" i="11"/>
  <c r="C26" i="8"/>
  <c r="C32" i="6"/>
  <c r="E67" i="18"/>
  <c r="C64" i="15"/>
  <c r="C81" i="8"/>
  <c r="E83"/>
  <c r="F83"/>
  <c r="CG23" i="2"/>
  <c r="CF23"/>
  <c r="F40" i="13"/>
  <c r="F41"/>
  <c r="E40"/>
  <c r="E41"/>
  <c r="CG27" i="2"/>
  <c r="CF27"/>
  <c r="F40" i="17"/>
  <c r="F41"/>
  <c r="E40"/>
  <c r="E41"/>
  <c r="CP27" i="2"/>
  <c r="D7" i="10"/>
  <c r="D7" i="8"/>
  <c r="C31" i="13"/>
  <c r="EL22" i="2"/>
  <c r="EK22"/>
  <c r="D95" i="8"/>
  <c r="EU18" i="2" s="1"/>
  <c r="D65" i="6"/>
  <c r="D65" i="5"/>
  <c r="CO27" i="2"/>
  <c r="D81" i="11"/>
  <c r="EL21" i="2" s="1"/>
  <c r="D65" i="9"/>
  <c r="F44" i="17"/>
  <c r="F45"/>
  <c r="F47"/>
  <c r="F48"/>
  <c r="F49"/>
  <c r="F50"/>
  <c r="E44"/>
  <c r="E45"/>
  <c r="E47"/>
  <c r="E48"/>
  <c r="E49"/>
  <c r="E50"/>
  <c r="D17" i="18"/>
  <c r="CP21" i="2"/>
  <c r="E75" i="12"/>
  <c r="F75"/>
  <c r="CO21" i="2"/>
  <c r="CO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C7" i="4"/>
  <c r="D12" i="11"/>
  <c r="F38" i="1"/>
  <c r="F37"/>
  <c r="G36"/>
  <c r="F36"/>
  <c r="F32"/>
  <c r="G30"/>
  <c r="F29"/>
  <c r="F6"/>
  <c r="D12" i="6"/>
  <c r="C91" i="9"/>
  <c r="EN19" i="2" s="1"/>
  <c r="D67" i="17"/>
  <c r="EC27" i="2" s="1"/>
  <c r="F78" i="11"/>
  <c r="F79"/>
  <c r="E78"/>
  <c r="E79"/>
  <c r="D91" i="9"/>
  <c r="EO19" i="2" s="1"/>
  <c r="F87" i="9"/>
  <c r="F88"/>
  <c r="F89"/>
  <c r="F90"/>
  <c r="F92"/>
  <c r="E87"/>
  <c r="E88"/>
  <c r="E89"/>
  <c r="E90"/>
  <c r="E92"/>
  <c r="G6" i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F27"/>
  <c r="E28"/>
  <c r="F28"/>
  <c r="C29"/>
  <c r="D29"/>
  <c r="AZ29" i="2" s="1"/>
  <c r="BA29" s="1"/>
  <c r="E30" i="19"/>
  <c r="F30"/>
  <c r="E32"/>
  <c r="F32"/>
  <c r="E33"/>
  <c r="F33"/>
  <c r="C34"/>
  <c r="BQ29" i="2" s="1"/>
  <c r="D34" i="19"/>
  <c r="BR29" i="2" s="1"/>
  <c r="E35" i="19"/>
  <c r="F35"/>
  <c r="E36"/>
  <c r="F36"/>
  <c r="E39"/>
  <c r="E40"/>
  <c r="F40"/>
  <c r="E41"/>
  <c r="F41"/>
  <c r="E42"/>
  <c r="F42"/>
  <c r="E43"/>
  <c r="F43"/>
  <c r="E44"/>
  <c r="CQ29" i="2" s="1"/>
  <c r="F44" i="19"/>
  <c r="F45"/>
  <c r="F46"/>
  <c r="E47"/>
  <c r="F47"/>
  <c r="C53"/>
  <c r="E55"/>
  <c r="F55"/>
  <c r="F56"/>
  <c r="E57"/>
  <c r="F57"/>
  <c r="E58"/>
  <c r="F58"/>
  <c r="E59"/>
  <c r="F59"/>
  <c r="E60"/>
  <c r="F60"/>
  <c r="C61"/>
  <c r="E62"/>
  <c r="F62"/>
  <c r="D63"/>
  <c r="EC29" i="2" s="1"/>
  <c r="E64" i="19"/>
  <c r="F64"/>
  <c r="E65"/>
  <c r="F65"/>
  <c r="E66"/>
  <c r="F66"/>
  <c r="E67"/>
  <c r="F67"/>
  <c r="E70"/>
  <c r="F70"/>
  <c r="E71"/>
  <c r="F71"/>
  <c r="E73"/>
  <c r="F73"/>
  <c r="D74"/>
  <c r="EI29" i="2" s="1"/>
  <c r="E75" i="19"/>
  <c r="F75"/>
  <c r="E76"/>
  <c r="F76"/>
  <c r="E77"/>
  <c r="C78"/>
  <c r="D78"/>
  <c r="EL29" i="2" s="1"/>
  <c r="E79" i="19"/>
  <c r="F79"/>
  <c r="C80"/>
  <c r="EN29" i="2" s="1"/>
  <c r="D80" i="19"/>
  <c r="EO29" i="2" s="1"/>
  <c r="E81" i="19"/>
  <c r="F81"/>
  <c r="E82"/>
  <c r="F82"/>
  <c r="E83"/>
  <c r="F83"/>
  <c r="F84"/>
  <c r="C85"/>
  <c r="D85"/>
  <c r="ER29" i="2" s="1"/>
  <c r="E86" i="19"/>
  <c r="F86"/>
  <c r="E87"/>
  <c r="F87"/>
  <c r="E88"/>
  <c r="E89"/>
  <c r="E90"/>
  <c r="C91"/>
  <c r="D91"/>
  <c r="EU29" i="2" s="1"/>
  <c r="E92" i="19"/>
  <c r="F92"/>
  <c r="E93"/>
  <c r="F93"/>
  <c r="E94"/>
  <c r="F94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E33"/>
  <c r="F33"/>
  <c r="E34"/>
  <c r="F34"/>
  <c r="C37"/>
  <c r="BQ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F28" i="2"/>
  <c r="E75" i="18"/>
  <c r="F75"/>
  <c r="E76"/>
  <c r="F76"/>
  <c r="C78"/>
  <c r="E79"/>
  <c r="F79"/>
  <c r="E80"/>
  <c r="F80"/>
  <c r="E81"/>
  <c r="F81"/>
  <c r="C82"/>
  <c r="EK28" i="2" s="1"/>
  <c r="E83" i="18"/>
  <c r="F83"/>
  <c r="C84"/>
  <c r="EN28" i="2" s="1"/>
  <c r="D84" i="18"/>
  <c r="EO28" i="2" s="1"/>
  <c r="E85" i="18"/>
  <c r="F85"/>
  <c r="E86"/>
  <c r="F86"/>
  <c r="E87"/>
  <c r="F87"/>
  <c r="F88"/>
  <c r="D89"/>
  <c r="ER28" i="2" s="1"/>
  <c r="E90" i="18"/>
  <c r="E91"/>
  <c r="F91"/>
  <c r="E92"/>
  <c r="E93"/>
  <c r="E94"/>
  <c r="C95"/>
  <c r="ET28" i="2" s="1"/>
  <c r="D95" i="18"/>
  <c r="EU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D29"/>
  <c r="E30"/>
  <c r="F30"/>
  <c r="C31"/>
  <c r="BE27" i="2" s="1"/>
  <c r="E32" i="17"/>
  <c r="F32"/>
  <c r="E33"/>
  <c r="F33"/>
  <c r="C34"/>
  <c r="BQ27" i="2" s="1"/>
  <c r="D34" i="17"/>
  <c r="BR27" i="2" s="1"/>
  <c r="E35" i="17"/>
  <c r="F35"/>
  <c r="E36"/>
  <c r="F36"/>
  <c r="F39"/>
  <c r="E42"/>
  <c r="F42"/>
  <c r="E43"/>
  <c r="F43"/>
  <c r="C46"/>
  <c r="D46"/>
  <c r="C57"/>
  <c r="D57"/>
  <c r="E59"/>
  <c r="F59"/>
  <c r="F60"/>
  <c r="E61"/>
  <c r="F61"/>
  <c r="E62"/>
  <c r="F62"/>
  <c r="E63"/>
  <c r="F63"/>
  <c r="E64"/>
  <c r="F64"/>
  <c r="C65"/>
  <c r="E66"/>
  <c r="F66"/>
  <c r="E68"/>
  <c r="F68"/>
  <c r="E69"/>
  <c r="F69"/>
  <c r="E70"/>
  <c r="F70"/>
  <c r="E71"/>
  <c r="F71"/>
  <c r="D73"/>
  <c r="EF27" i="2" s="1"/>
  <c r="E75" i="17"/>
  <c r="F75"/>
  <c r="E76"/>
  <c r="F76"/>
  <c r="E77"/>
  <c r="F77"/>
  <c r="C78"/>
  <c r="EH27" i="2" s="1"/>
  <c r="E79" i="17"/>
  <c r="F79"/>
  <c r="E80"/>
  <c r="F80"/>
  <c r="E81"/>
  <c r="F81"/>
  <c r="D82"/>
  <c r="C84"/>
  <c r="D84"/>
  <c r="EO27" i="2" s="1"/>
  <c r="E85" i="17"/>
  <c r="F85"/>
  <c r="E86"/>
  <c r="F86"/>
  <c r="E87"/>
  <c r="F87"/>
  <c r="F88"/>
  <c r="D89"/>
  <c r="ER27" i="2" s="1"/>
  <c r="F90" i="17"/>
  <c r="E91"/>
  <c r="F91"/>
  <c r="E92"/>
  <c r="E93"/>
  <c r="E94"/>
  <c r="C95"/>
  <c r="ET27" i="2" s="1"/>
  <c r="D95" i="17"/>
  <c r="EU27" i="2" s="1"/>
  <c r="E96" i="17"/>
  <c r="F96"/>
  <c r="E97"/>
  <c r="F97"/>
  <c r="E98"/>
  <c r="F98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F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3"/>
  <c r="F73"/>
  <c r="E74"/>
  <c r="F74"/>
  <c r="E75"/>
  <c r="F75"/>
  <c r="C76"/>
  <c r="EH26" i="2" s="1"/>
  <c r="E77" i="16"/>
  <c r="F77"/>
  <c r="E78"/>
  <c r="F78"/>
  <c r="E79"/>
  <c r="F79"/>
  <c r="C80"/>
  <c r="EK26" i="2" s="1"/>
  <c r="D80" i="16"/>
  <c r="EL26" i="2" s="1"/>
  <c r="E81" i="16"/>
  <c r="F81"/>
  <c r="C82"/>
  <c r="EN26" i="2" s="1"/>
  <c r="D82" i="16"/>
  <c r="E83"/>
  <c r="F83"/>
  <c r="E84"/>
  <c r="F84"/>
  <c r="E85"/>
  <c r="F85"/>
  <c r="F86"/>
  <c r="C87"/>
  <c r="EQ26" i="2" s="1"/>
  <c r="D87" i="16"/>
  <c r="F88"/>
  <c r="E89"/>
  <c r="F89"/>
  <c r="E90"/>
  <c r="E91"/>
  <c r="E92"/>
  <c r="C93"/>
  <c r="ET26" i="2" s="1"/>
  <c r="D93" i="16"/>
  <c r="EU26" i="2" s="1"/>
  <c r="E94" i="16"/>
  <c r="F94"/>
  <c r="E95"/>
  <c r="F95"/>
  <c r="E96"/>
  <c r="F96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AZ25" i="2" s="1"/>
  <c r="E30" i="15"/>
  <c r="F30"/>
  <c r="C31"/>
  <c r="D31"/>
  <c r="E32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E67"/>
  <c r="F67"/>
  <c r="E68"/>
  <c r="F68"/>
  <c r="E69"/>
  <c r="F69"/>
  <c r="E70"/>
  <c r="F70"/>
  <c r="D72"/>
  <c r="EF25" i="2" s="1"/>
  <c r="E73" i="15"/>
  <c r="F73"/>
  <c r="E74"/>
  <c r="F74"/>
  <c r="F75"/>
  <c r="E76"/>
  <c r="F76"/>
  <c r="D77"/>
  <c r="EI25" i="2" s="1"/>
  <c r="E78" i="15"/>
  <c r="F78"/>
  <c r="E79"/>
  <c r="F79"/>
  <c r="C81"/>
  <c r="EK25" i="2" s="1"/>
  <c r="D81" i="15"/>
  <c r="EL25" i="2" s="1"/>
  <c r="E82" i="15"/>
  <c r="F82"/>
  <c r="C83"/>
  <c r="EN25" i="2" s="1"/>
  <c r="D83" i="15"/>
  <c r="C88"/>
  <c r="EQ25" i="2" s="1"/>
  <c r="E89" i="15"/>
  <c r="F89"/>
  <c r="E90"/>
  <c r="F90"/>
  <c r="E91"/>
  <c r="E92"/>
  <c r="E93"/>
  <c r="C94"/>
  <c r="ET25" i="2" s="1"/>
  <c r="D94" i="15"/>
  <c r="EU25" i="2" s="1"/>
  <c r="E95" i="15"/>
  <c r="F95"/>
  <c r="E96"/>
  <c r="F96"/>
  <c r="E97"/>
  <c r="F97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0" s="1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7"/>
  <c r="E37" s="1"/>
  <c r="E35" s="1"/>
  <c r="E34" s="1"/>
  <c r="E38"/>
  <c r="E36" s="1"/>
  <c r="F38"/>
  <c r="F36" s="1"/>
  <c r="E39"/>
  <c r="F39"/>
  <c r="E42"/>
  <c r="F42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EB24" i="2"/>
  <c r="E67" i="14"/>
  <c r="F67"/>
  <c r="E68"/>
  <c r="F68"/>
  <c r="E69"/>
  <c r="F69"/>
  <c r="F70"/>
  <c r="D72"/>
  <c r="EF24" i="2" s="1"/>
  <c r="E73" i="14"/>
  <c r="F73"/>
  <c r="E74"/>
  <c r="F74"/>
  <c r="E75"/>
  <c r="E76"/>
  <c r="F76"/>
  <c r="D77"/>
  <c r="EI24" i="2" s="1"/>
  <c r="E79" i="14"/>
  <c r="F79"/>
  <c r="E80"/>
  <c r="F80"/>
  <c r="EL24" i="2"/>
  <c r="E82" i="14"/>
  <c r="F82"/>
  <c r="C83"/>
  <c r="EN24" i="2" s="1"/>
  <c r="D83" i="14"/>
  <c r="EO24" i="2" s="1"/>
  <c r="E84" i="14"/>
  <c r="F84"/>
  <c r="E85"/>
  <c r="F85"/>
  <c r="E86"/>
  <c r="F86"/>
  <c r="F87"/>
  <c r="C88"/>
  <c r="EQ24" i="2" s="1"/>
  <c r="E89" i="14"/>
  <c r="F89"/>
  <c r="E90"/>
  <c r="F90"/>
  <c r="E91"/>
  <c r="E92"/>
  <c r="E93"/>
  <c r="C94"/>
  <c r="D94"/>
  <c r="EU24" i="2" s="1"/>
  <c r="E95" i="14"/>
  <c r="F95"/>
  <c r="E96"/>
  <c r="F96"/>
  <c r="E97"/>
  <c r="F97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AY23" i="2" s="1"/>
  <c r="D29" i="13"/>
  <c r="AZ23" i="2" s="1"/>
  <c r="E30" i="13"/>
  <c r="F30"/>
  <c r="D31"/>
  <c r="E32"/>
  <c r="F32"/>
  <c r="E33"/>
  <c r="F33"/>
  <c r="C34"/>
  <c r="BQ23" i="2" s="1"/>
  <c r="D34" i="13"/>
  <c r="E35"/>
  <c r="F35"/>
  <c r="E36"/>
  <c r="F36"/>
  <c r="E39"/>
  <c r="F39"/>
  <c r="F42"/>
  <c r="E43"/>
  <c r="F43"/>
  <c r="E44"/>
  <c r="F44"/>
  <c r="E45"/>
  <c r="F45"/>
  <c r="F46"/>
  <c r="E47"/>
  <c r="F47"/>
  <c r="C54"/>
  <c r="E56"/>
  <c r="F56"/>
  <c r="F57"/>
  <c r="E58"/>
  <c r="F58"/>
  <c r="E59"/>
  <c r="F59"/>
  <c r="E60"/>
  <c r="F60"/>
  <c r="E61"/>
  <c r="F61"/>
  <c r="C62"/>
  <c r="E63"/>
  <c r="F63"/>
  <c r="EB23" i="2"/>
  <c r="D64" i="13"/>
  <c r="EC23" i="2" s="1"/>
  <c r="E65" i="13"/>
  <c r="F65"/>
  <c r="E66"/>
  <c r="F66"/>
  <c r="E67"/>
  <c r="F67"/>
  <c r="E68"/>
  <c r="F68"/>
  <c r="C70"/>
  <c r="E72"/>
  <c r="F72"/>
  <c r="E73"/>
  <c r="F73"/>
  <c r="E74"/>
  <c r="F74"/>
  <c r="E76"/>
  <c r="F76"/>
  <c r="E77"/>
  <c r="F77"/>
  <c r="E78"/>
  <c r="F78"/>
  <c r="E80"/>
  <c r="C81"/>
  <c r="EN23" i="2" s="1"/>
  <c r="D81" i="13"/>
  <c r="E82"/>
  <c r="F82"/>
  <c r="E83"/>
  <c r="F83"/>
  <c r="E84"/>
  <c r="F84"/>
  <c r="F85"/>
  <c r="C86"/>
  <c r="EQ23" i="2" s="1"/>
  <c r="D86" i="13"/>
  <c r="ER23" i="2" s="1"/>
  <c r="E87" i="13"/>
  <c r="F87"/>
  <c r="E88"/>
  <c r="F88"/>
  <c r="E89"/>
  <c r="E90"/>
  <c r="E91"/>
  <c r="C92"/>
  <c r="ET23" i="2" s="1"/>
  <c r="D92" i="13"/>
  <c r="EU23" i="2" s="1"/>
  <c r="E93" i="13"/>
  <c r="F93"/>
  <c r="E94"/>
  <c r="F94"/>
  <c r="E95"/>
  <c r="F95"/>
  <c r="D5" i="12"/>
  <c r="D7"/>
  <c r="D12"/>
  <c r="D14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AY22" i="2"/>
  <c r="E30" i="12"/>
  <c r="F30"/>
  <c r="C32"/>
  <c r="D32"/>
  <c r="BF22" i="2" s="1"/>
  <c r="E33" i="12"/>
  <c r="F33"/>
  <c r="E34"/>
  <c r="F34"/>
  <c r="C37"/>
  <c r="BQ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EB22" i="2"/>
  <c r="EC22"/>
  <c r="E67" i="12"/>
  <c r="F67"/>
  <c r="E68"/>
  <c r="F68"/>
  <c r="E69"/>
  <c r="F69"/>
  <c r="E70"/>
  <c r="F70"/>
  <c r="D72"/>
  <c r="EF22" i="2" s="1"/>
  <c r="F73" i="12"/>
  <c r="E74"/>
  <c r="F74"/>
  <c r="F76"/>
  <c r="F77"/>
  <c r="C78"/>
  <c r="EH22" i="2" s="1"/>
  <c r="E79" i="12"/>
  <c r="F79"/>
  <c r="E80"/>
  <c r="F80"/>
  <c r="E81"/>
  <c r="F81"/>
  <c r="E83"/>
  <c r="F83"/>
  <c r="C84"/>
  <c r="EN22" i="2" s="1"/>
  <c r="D84" i="12"/>
  <c r="EO22" i="2" s="1"/>
  <c r="E85" i="12"/>
  <c r="F85"/>
  <c r="E86"/>
  <c r="F86"/>
  <c r="E87"/>
  <c r="F87"/>
  <c r="F88"/>
  <c r="C89"/>
  <c r="D89"/>
  <c r="E90"/>
  <c r="F90"/>
  <c r="E91"/>
  <c r="F91"/>
  <c r="E92"/>
  <c r="E93"/>
  <c r="E94"/>
  <c r="E95"/>
  <c r="F95"/>
  <c r="E96"/>
  <c r="F96"/>
  <c r="E98"/>
  <c r="F98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36"/>
  <c r="BR21" i="2" s="1"/>
  <c r="E27" i="11"/>
  <c r="F27"/>
  <c r="E28"/>
  <c r="F28"/>
  <c r="C29"/>
  <c r="D29"/>
  <c r="E30"/>
  <c r="F30"/>
  <c r="C31"/>
  <c r="D31"/>
  <c r="E32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F65"/>
  <c r="EB21" i="2"/>
  <c r="E67" i="11"/>
  <c r="F67"/>
  <c r="E68"/>
  <c r="F68"/>
  <c r="E69"/>
  <c r="F69"/>
  <c r="E70"/>
  <c r="F70"/>
  <c r="D72"/>
  <c r="EF21" i="2" s="1"/>
  <c r="E74" i="11"/>
  <c r="F74"/>
  <c r="E76"/>
  <c r="F76"/>
  <c r="C77"/>
  <c r="EH21" i="2" s="1"/>
  <c r="D77" i="11"/>
  <c r="E80"/>
  <c r="F80"/>
  <c r="F82"/>
  <c r="C83"/>
  <c r="EN21" i="2" s="1"/>
  <c r="D83" i="11"/>
  <c r="E84"/>
  <c r="F84"/>
  <c r="E85"/>
  <c r="F85"/>
  <c r="E86"/>
  <c r="F86"/>
  <c r="F87"/>
  <c r="C88"/>
  <c r="EQ21" i="2" s="1"/>
  <c r="D88" i="11"/>
  <c r="ER21" i="2" s="1"/>
  <c r="E89" i="11"/>
  <c r="F89"/>
  <c r="E90"/>
  <c r="F90"/>
  <c r="E91"/>
  <c r="E92"/>
  <c r="E93"/>
  <c r="C94"/>
  <c r="ET21" i="2" s="1"/>
  <c r="D94" i="11"/>
  <c r="EU21" i="2" s="1"/>
  <c r="E95" i="11"/>
  <c r="F95"/>
  <c r="E96"/>
  <c r="F96"/>
  <c r="E97"/>
  <c r="F97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20" i="2" s="1"/>
  <c r="D36" i="10"/>
  <c r="BR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EB20" i="2"/>
  <c r="D66" i="10"/>
  <c r="EC20" i="2" s="1"/>
  <c r="E67" i="10"/>
  <c r="F67"/>
  <c r="E68"/>
  <c r="F68"/>
  <c r="E69"/>
  <c r="F69"/>
  <c r="E70"/>
  <c r="F70"/>
  <c r="D72"/>
  <c r="E73"/>
  <c r="F73"/>
  <c r="E74"/>
  <c r="E75"/>
  <c r="F75"/>
  <c r="E76"/>
  <c r="F76"/>
  <c r="C77"/>
  <c r="EH20" i="2" s="1"/>
  <c r="D77" i="10"/>
  <c r="E78"/>
  <c r="F78"/>
  <c r="E79"/>
  <c r="F79"/>
  <c r="E80"/>
  <c r="F80"/>
  <c r="E81"/>
  <c r="F81"/>
  <c r="C82"/>
  <c r="D82"/>
  <c r="EL20" i="2" s="1"/>
  <c r="E83" i="10"/>
  <c r="F83"/>
  <c r="C84"/>
  <c r="EN20" i="2" s="1"/>
  <c r="D84" i="10"/>
  <c r="EO20" i="2" s="1"/>
  <c r="E85" i="10"/>
  <c r="F85"/>
  <c r="E86"/>
  <c r="F86"/>
  <c r="E87"/>
  <c r="F87"/>
  <c r="F88"/>
  <c r="C89"/>
  <c r="EQ20" i="2" s="1"/>
  <c r="D89" i="10"/>
  <c r="ER20" i="2" s="1"/>
  <c r="E90" i="10"/>
  <c r="F90"/>
  <c r="E91"/>
  <c r="F91"/>
  <c r="E92"/>
  <c r="E93"/>
  <c r="E94"/>
  <c r="C95"/>
  <c r="ET20" i="2" s="1"/>
  <c r="D95" i="10"/>
  <c r="E96"/>
  <c r="F96"/>
  <c r="E97"/>
  <c r="F97"/>
  <c r="E98"/>
  <c r="F98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AS19" i="2" s="1"/>
  <c r="D26" i="9"/>
  <c r="E27"/>
  <c r="F27"/>
  <c r="E28"/>
  <c r="F28"/>
  <c r="C29"/>
  <c r="D29"/>
  <c r="E30"/>
  <c r="F30"/>
  <c r="C31"/>
  <c r="D31"/>
  <c r="E32"/>
  <c r="F32"/>
  <c r="E33"/>
  <c r="F33"/>
  <c r="C36"/>
  <c r="BQ19" i="2" s="1"/>
  <c r="D36" i="9"/>
  <c r="BR19" i="2" s="1"/>
  <c r="E37" i="9"/>
  <c r="F37"/>
  <c r="E38"/>
  <c r="F38"/>
  <c r="E41"/>
  <c r="F41"/>
  <c r="E43"/>
  <c r="F43"/>
  <c r="E45"/>
  <c r="F45"/>
  <c r="E46"/>
  <c r="F46"/>
  <c r="E48"/>
  <c r="F48"/>
  <c r="F49"/>
  <c r="E50"/>
  <c r="F50"/>
  <c r="C57"/>
  <c r="E59"/>
  <c r="F59"/>
  <c r="F60"/>
  <c r="E61"/>
  <c r="F61"/>
  <c r="E62"/>
  <c r="F62"/>
  <c r="E63"/>
  <c r="F63"/>
  <c r="E64"/>
  <c r="F64"/>
  <c r="C65"/>
  <c r="E66"/>
  <c r="F66"/>
  <c r="EB19" i="2"/>
  <c r="E68" i="9"/>
  <c r="F68"/>
  <c r="E69"/>
  <c r="F69"/>
  <c r="E70"/>
  <c r="F70"/>
  <c r="E71"/>
  <c r="F71"/>
  <c r="C73"/>
  <c r="E74"/>
  <c r="F74"/>
  <c r="E75"/>
  <c r="F75"/>
  <c r="E77"/>
  <c r="F77"/>
  <c r="C78"/>
  <c r="D78"/>
  <c r="EI19" i="2" s="1"/>
  <c r="E79" i="9"/>
  <c r="F79"/>
  <c r="E80"/>
  <c r="F80"/>
  <c r="F81"/>
  <c r="E82"/>
  <c r="F82"/>
  <c r="C83"/>
  <c r="EK19" i="2" s="1"/>
  <c r="E84" i="9"/>
  <c r="F84"/>
  <c r="E85"/>
  <c r="F85"/>
  <c r="C86"/>
  <c r="D86"/>
  <c r="C93"/>
  <c r="D93"/>
  <c r="ER19" i="2" s="1"/>
  <c r="E94" i="9"/>
  <c r="F94"/>
  <c r="E95"/>
  <c r="F95"/>
  <c r="E96"/>
  <c r="E97"/>
  <c r="E98"/>
  <c r="C99"/>
  <c r="ET19" i="2" s="1"/>
  <c r="D99" i="9"/>
  <c r="EU19" i="2" s="1"/>
  <c r="E100" i="9"/>
  <c r="F100"/>
  <c r="E101"/>
  <c r="F101"/>
  <c r="E102"/>
  <c r="F102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AZ18" i="2" s="1"/>
  <c r="E30" i="8"/>
  <c r="F30"/>
  <c r="C31"/>
  <c r="D31"/>
  <c r="E32"/>
  <c r="F32"/>
  <c r="E33"/>
  <c r="BG18" i="2" s="1"/>
  <c r="F33" i="8"/>
  <c r="BH18" i="2" s="1"/>
  <c r="BH31" s="1"/>
  <c r="D34" i="8"/>
  <c r="BO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DY18" i="2" s="1"/>
  <c r="D64" i="8"/>
  <c r="DZ18" i="2" s="1"/>
  <c r="E65" i="8"/>
  <c r="F65"/>
  <c r="E67"/>
  <c r="F67"/>
  <c r="E68"/>
  <c r="F68"/>
  <c r="E69"/>
  <c r="F69"/>
  <c r="E70"/>
  <c r="F70"/>
  <c r="D72"/>
  <c r="EF18" i="2" s="1"/>
  <c r="E73" i="8"/>
  <c r="F73"/>
  <c r="F74"/>
  <c r="E75"/>
  <c r="F75"/>
  <c r="E76"/>
  <c r="F76"/>
  <c r="D77"/>
  <c r="EI18" i="2" s="1"/>
  <c r="E78" i="8"/>
  <c r="F78"/>
  <c r="E79"/>
  <c r="F79"/>
  <c r="E82"/>
  <c r="F82"/>
  <c r="C84"/>
  <c r="EN18" i="2" s="1"/>
  <c r="D84" i="8"/>
  <c r="E85"/>
  <c r="F85"/>
  <c r="E86"/>
  <c r="F86"/>
  <c r="E87"/>
  <c r="F87"/>
  <c r="F88"/>
  <c r="C89"/>
  <c r="EQ18" i="2" s="1"/>
  <c r="D89" i="8"/>
  <c r="ER18" i="2" s="1"/>
  <c r="E90" i="8"/>
  <c r="F90"/>
  <c r="E91"/>
  <c r="F91"/>
  <c r="E92"/>
  <c r="E93"/>
  <c r="E94"/>
  <c r="C95"/>
  <c r="ET18" i="2" s="1"/>
  <c r="E96" i="8"/>
  <c r="F96"/>
  <c r="E97"/>
  <c r="F97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2"/>
  <c r="F72"/>
  <c r="E74"/>
  <c r="F74"/>
  <c r="E75"/>
  <c r="F75"/>
  <c r="E77"/>
  <c r="F77"/>
  <c r="E78"/>
  <c r="F78"/>
  <c r="E79"/>
  <c r="C80"/>
  <c r="E81"/>
  <c r="F81"/>
  <c r="C82"/>
  <c r="E83"/>
  <c r="F83"/>
  <c r="E84"/>
  <c r="F84"/>
  <c r="E85"/>
  <c r="F85"/>
  <c r="F86"/>
  <c r="C87"/>
  <c r="EQ17" i="2" s="1"/>
  <c r="E88" i="7"/>
  <c r="F88"/>
  <c r="E89"/>
  <c r="F89"/>
  <c r="E90"/>
  <c r="E91"/>
  <c r="E92"/>
  <c r="C93"/>
  <c r="ET17" i="2" s="1"/>
  <c r="D93" i="7"/>
  <c r="E94"/>
  <c r="F94"/>
  <c r="E95"/>
  <c r="F95"/>
  <c r="E96"/>
  <c r="F96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AY16" i="2" s="1"/>
  <c r="D30" i="6"/>
  <c r="AZ16" i="2" s="1"/>
  <c r="E31" i="6"/>
  <c r="F31"/>
  <c r="D32"/>
  <c r="E33"/>
  <c r="F33"/>
  <c r="E34"/>
  <c r="F34"/>
  <c r="C35"/>
  <c r="D35"/>
  <c r="E36"/>
  <c r="F36"/>
  <c r="D37"/>
  <c r="BR16" i="2" s="1"/>
  <c r="C37" i="6"/>
  <c r="E38"/>
  <c r="E39"/>
  <c r="F39"/>
  <c r="F41"/>
  <c r="E42"/>
  <c r="F42"/>
  <c r="E43"/>
  <c r="F43"/>
  <c r="E44"/>
  <c r="F44"/>
  <c r="E47"/>
  <c r="F47"/>
  <c r="E48"/>
  <c r="F48"/>
  <c r="F49"/>
  <c r="E50"/>
  <c r="F50"/>
  <c r="C57"/>
  <c r="D57"/>
  <c r="E59"/>
  <c r="F59"/>
  <c r="F60"/>
  <c r="E61"/>
  <c r="F61"/>
  <c r="E62"/>
  <c r="F62"/>
  <c r="E63"/>
  <c r="F63"/>
  <c r="E64"/>
  <c r="F64"/>
  <c r="C65"/>
  <c r="E66"/>
  <c r="F66"/>
  <c r="EB16" i="2"/>
  <c r="E68" i="6"/>
  <c r="F68"/>
  <c r="E69"/>
  <c r="F69"/>
  <c r="E70"/>
  <c r="F70"/>
  <c r="E71"/>
  <c r="F71"/>
  <c r="D73"/>
  <c r="EF16" i="2" s="1"/>
  <c r="E74" i="6"/>
  <c r="F74"/>
  <c r="E75"/>
  <c r="F75"/>
  <c r="E77"/>
  <c r="F77"/>
  <c r="C80"/>
  <c r="D80"/>
  <c r="EI16" i="2" s="1"/>
  <c r="E81" i="6"/>
  <c r="F81"/>
  <c r="E82"/>
  <c r="F82"/>
  <c r="E83"/>
  <c r="F83"/>
  <c r="C84"/>
  <c r="EK16" i="2" s="1"/>
  <c r="D84" i="6"/>
  <c r="EL16" i="2" s="1"/>
  <c r="E85" i="6"/>
  <c r="F85"/>
  <c r="C86"/>
  <c r="EN16" i="2" s="1"/>
  <c r="D86" i="6"/>
  <c r="EO16" i="2" s="1"/>
  <c r="E87" i="6"/>
  <c r="F87"/>
  <c r="E88"/>
  <c r="F88"/>
  <c r="E89"/>
  <c r="F89"/>
  <c r="F90"/>
  <c r="C91"/>
  <c r="EQ16" i="2" s="1"/>
  <c r="D91" i="6"/>
  <c r="ER16" i="2" s="1"/>
  <c r="E92" i="6"/>
  <c r="F92"/>
  <c r="E93"/>
  <c r="F93"/>
  <c r="E94"/>
  <c r="E95"/>
  <c r="E96"/>
  <c r="C97"/>
  <c r="D97"/>
  <c r="EU16" i="2" s="1"/>
  <c r="E98" i="6"/>
  <c r="F98"/>
  <c r="E99"/>
  <c r="F99"/>
  <c r="E100"/>
  <c r="F100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D30"/>
  <c r="F31"/>
  <c r="C32"/>
  <c r="BE15" i="2" s="1"/>
  <c r="E33" i="5"/>
  <c r="E34"/>
  <c r="F34"/>
  <c r="C35"/>
  <c r="BK15" i="2" s="1"/>
  <c r="D35" i="5"/>
  <c r="BL15" i="2" s="1"/>
  <c r="E36" i="5"/>
  <c r="F36"/>
  <c r="C37"/>
  <c r="BQ15" i="2" s="1"/>
  <c r="D37" i="5"/>
  <c r="E38"/>
  <c r="F38"/>
  <c r="E39"/>
  <c r="F39"/>
  <c r="E42"/>
  <c r="F42"/>
  <c r="E43"/>
  <c r="F43"/>
  <c r="E44"/>
  <c r="F44"/>
  <c r="E46"/>
  <c r="F46"/>
  <c r="E49"/>
  <c r="F49"/>
  <c r="F50"/>
  <c r="E51"/>
  <c r="F51"/>
  <c r="C57"/>
  <c r="D57"/>
  <c r="E59"/>
  <c r="F59"/>
  <c r="F60"/>
  <c r="F61"/>
  <c r="F62"/>
  <c r="E63"/>
  <c r="F63"/>
  <c r="E64"/>
  <c r="F64"/>
  <c r="E66"/>
  <c r="F66"/>
  <c r="F67"/>
  <c r="E68"/>
  <c r="F68"/>
  <c r="E69"/>
  <c r="F69"/>
  <c r="E70"/>
  <c r="F70"/>
  <c r="E72"/>
  <c r="F72"/>
  <c r="D73"/>
  <c r="EF15" i="2" s="1"/>
  <c r="E74" i="5"/>
  <c r="F74"/>
  <c r="E75"/>
  <c r="F75"/>
  <c r="E76"/>
  <c r="E77"/>
  <c r="F77"/>
  <c r="C78"/>
  <c r="D78"/>
  <c r="EI15" i="2" s="1"/>
  <c r="E79" i="5"/>
  <c r="F79"/>
  <c r="E80"/>
  <c r="F80"/>
  <c r="E81"/>
  <c r="E82"/>
  <c r="F82"/>
  <c r="C83"/>
  <c r="EK15" i="2" s="1"/>
  <c r="D83" i="5"/>
  <c r="E84"/>
  <c r="F84"/>
  <c r="E85"/>
  <c r="F85"/>
  <c r="C86"/>
  <c r="EN15" i="2" s="1"/>
  <c r="D86" i="5"/>
  <c r="EO15" i="2" s="1"/>
  <c r="E87" i="5"/>
  <c r="F87"/>
  <c r="E88"/>
  <c r="F88"/>
  <c r="E89"/>
  <c r="F89"/>
  <c r="E90"/>
  <c r="F90"/>
  <c r="C91"/>
  <c r="EQ15" i="2" s="1"/>
  <c r="D91" i="5"/>
  <c r="ER15" i="2" s="1"/>
  <c r="E92" i="5"/>
  <c r="F92"/>
  <c r="E93"/>
  <c r="F93"/>
  <c r="E94"/>
  <c r="E95"/>
  <c r="E96"/>
  <c r="E97"/>
  <c r="F97"/>
  <c r="E98"/>
  <c r="F98"/>
  <c r="E99"/>
  <c r="F99"/>
  <c r="E100"/>
  <c r="F100"/>
  <c r="C5" i="4"/>
  <c r="D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D17"/>
  <c r="E18"/>
  <c r="F18"/>
  <c r="E19"/>
  <c r="F19"/>
  <c r="D20"/>
  <c r="E21"/>
  <c r="F21"/>
  <c r="E22"/>
  <c r="F22"/>
  <c r="E23"/>
  <c r="F23"/>
  <c r="E24"/>
  <c r="F24"/>
  <c r="C26"/>
  <c r="E27"/>
  <c r="F27"/>
  <c r="E28"/>
  <c r="F28"/>
  <c r="C29"/>
  <c r="AY14" i="2" s="1"/>
  <c r="D29" i="4"/>
  <c r="AZ14" i="2" s="1"/>
  <c r="E30" i="4"/>
  <c r="F30"/>
  <c r="D31"/>
  <c r="E32"/>
  <c r="F32"/>
  <c r="E33"/>
  <c r="F33"/>
  <c r="D34"/>
  <c r="E34" s="1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69"/>
  <c r="F69"/>
  <c r="E70"/>
  <c r="F70"/>
  <c r="E71"/>
  <c r="F71"/>
  <c r="E72"/>
  <c r="F72"/>
  <c r="E74"/>
  <c r="F74"/>
  <c r="E75"/>
  <c r="F75"/>
  <c r="E76"/>
  <c r="F76"/>
  <c r="E78"/>
  <c r="F78"/>
  <c r="E79"/>
  <c r="F79"/>
  <c r="E80"/>
  <c r="F80"/>
  <c r="E81"/>
  <c r="F81"/>
  <c r="E82"/>
  <c r="F82"/>
  <c r="F83"/>
  <c r="F85"/>
  <c r="E86"/>
  <c r="F86"/>
  <c r="E87"/>
  <c r="E88"/>
  <c r="E89"/>
  <c r="D90"/>
  <c r="E90" s="1"/>
  <c r="E91"/>
  <c r="F91"/>
  <c r="E92"/>
  <c r="F92"/>
  <c r="E93"/>
  <c r="F93"/>
  <c r="F9" i="1"/>
  <c r="F11"/>
  <c r="C11" s="1"/>
  <c r="F12"/>
  <c r="F13"/>
  <c r="F16"/>
  <c r="C16" s="1"/>
  <c r="F17"/>
  <c r="G17"/>
  <c r="F18"/>
  <c r="G19"/>
  <c r="D19" s="1"/>
  <c r="F34"/>
  <c r="C34" s="1"/>
  <c r="F39"/>
  <c r="C39" s="1"/>
  <c r="F40"/>
  <c r="C40" s="1"/>
  <c r="G40"/>
  <c r="D40" s="1"/>
  <c r="L14" i="2"/>
  <c r="M14"/>
  <c r="O14"/>
  <c r="P14"/>
  <c r="R14"/>
  <c r="S14"/>
  <c r="U14"/>
  <c r="V14"/>
  <c r="X14"/>
  <c r="AA14"/>
  <c r="AB14"/>
  <c r="AD14"/>
  <c r="AG14"/>
  <c r="AH14"/>
  <c r="AL14"/>
  <c r="AO14"/>
  <c r="AT14"/>
  <c r="AX14"/>
  <c r="BB14"/>
  <c r="BC14"/>
  <c r="BC31" s="1"/>
  <c r="BJ14"/>
  <c r="BP14"/>
  <c r="BV14"/>
  <c r="BV31" s="1"/>
  <c r="BV34" s="1"/>
  <c r="BV35" s="1"/>
  <c r="BY14"/>
  <c r="BY31" s="1"/>
  <c r="CC14"/>
  <c r="CF14"/>
  <c r="CG14"/>
  <c r="CJ14"/>
  <c r="CL14"/>
  <c r="CM14"/>
  <c r="CZ14"/>
  <c r="DM14"/>
  <c r="DS14"/>
  <c r="DT14"/>
  <c r="DV14"/>
  <c r="DW14"/>
  <c r="DY14"/>
  <c r="DZ14"/>
  <c r="EN14"/>
  <c r="EO14"/>
  <c r="ET14"/>
  <c r="I15"/>
  <c r="L15"/>
  <c r="M15"/>
  <c r="O15"/>
  <c r="P15"/>
  <c r="R15"/>
  <c r="S15"/>
  <c r="U15"/>
  <c r="V15"/>
  <c r="X15"/>
  <c r="AA15"/>
  <c r="AB15"/>
  <c r="AD15"/>
  <c r="AE15"/>
  <c r="AG15"/>
  <c r="AH15"/>
  <c r="AL15"/>
  <c r="AM15"/>
  <c r="AN15"/>
  <c r="AT15"/>
  <c r="AX15"/>
  <c r="BJ15"/>
  <c r="BV15"/>
  <c r="BY15"/>
  <c r="CC15"/>
  <c r="CD15"/>
  <c r="CF15"/>
  <c r="CG15"/>
  <c r="CJ15"/>
  <c r="CL15"/>
  <c r="CM15"/>
  <c r="CO15"/>
  <c r="CP15"/>
  <c r="CZ15"/>
  <c r="DM15"/>
  <c r="DP15"/>
  <c r="DQ15"/>
  <c r="DS15"/>
  <c r="DT15"/>
  <c r="DV15"/>
  <c r="DW15"/>
  <c r="DY15"/>
  <c r="DZ15"/>
  <c r="EC15"/>
  <c r="ET15"/>
  <c r="EU15"/>
  <c r="I16"/>
  <c r="L16"/>
  <c r="M16"/>
  <c r="O16"/>
  <c r="P16"/>
  <c r="R16"/>
  <c r="S16"/>
  <c r="U16"/>
  <c r="V16"/>
  <c r="X16"/>
  <c r="AA16"/>
  <c r="AB16"/>
  <c r="AD16"/>
  <c r="AE16"/>
  <c r="AG16"/>
  <c r="AH16"/>
  <c r="AL16"/>
  <c r="AM16"/>
  <c r="AN16"/>
  <c r="AP16"/>
  <c r="AT16"/>
  <c r="AX16"/>
  <c r="BE16"/>
  <c r="BF16"/>
  <c r="BJ16"/>
  <c r="BV16"/>
  <c r="BY16"/>
  <c r="CC16"/>
  <c r="CD16"/>
  <c r="CF16"/>
  <c r="CG16"/>
  <c r="CJ16"/>
  <c r="CL16"/>
  <c r="CM16"/>
  <c r="CT16"/>
  <c r="CZ16"/>
  <c r="DM16"/>
  <c r="DP16"/>
  <c r="DS16"/>
  <c r="DT16"/>
  <c r="DW16"/>
  <c r="DY16"/>
  <c r="DZ16"/>
  <c r="I17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X17"/>
  <c r="BE17"/>
  <c r="BF17"/>
  <c r="BJ17"/>
  <c r="BV17"/>
  <c r="BY17"/>
  <c r="CG17"/>
  <c r="CJ17"/>
  <c r="CL17"/>
  <c r="CM17"/>
  <c r="CT17"/>
  <c r="CZ17"/>
  <c r="DM17"/>
  <c r="DS17"/>
  <c r="DT17"/>
  <c r="DV17"/>
  <c r="DW17"/>
  <c r="DY17"/>
  <c r="DZ17"/>
  <c r="I18"/>
  <c r="L18"/>
  <c r="M18"/>
  <c r="O18"/>
  <c r="P18"/>
  <c r="R18"/>
  <c r="S18"/>
  <c r="U18"/>
  <c r="V18"/>
  <c r="X18"/>
  <c r="AA18"/>
  <c r="AB18"/>
  <c r="AD18"/>
  <c r="AE18"/>
  <c r="AG18"/>
  <c r="AH18"/>
  <c r="AJ18"/>
  <c r="AK18"/>
  <c r="AO18"/>
  <c r="AX18"/>
  <c r="BE18"/>
  <c r="BV18"/>
  <c r="BY18"/>
  <c r="CC18"/>
  <c r="CD18"/>
  <c r="CF18"/>
  <c r="CG18"/>
  <c r="CJ18"/>
  <c r="CM18"/>
  <c r="CO18"/>
  <c r="CP18"/>
  <c r="CZ18"/>
  <c r="DM18"/>
  <c r="DP18"/>
  <c r="DS18"/>
  <c r="DT18"/>
  <c r="DV18"/>
  <c r="DW18"/>
  <c r="I19"/>
  <c r="L19"/>
  <c r="M19"/>
  <c r="O19"/>
  <c r="P19"/>
  <c r="R19"/>
  <c r="S19"/>
  <c r="U19"/>
  <c r="V19"/>
  <c r="X19"/>
  <c r="AA19"/>
  <c r="AB19"/>
  <c r="AD19"/>
  <c r="AE19"/>
  <c r="AG19"/>
  <c r="AH19"/>
  <c r="AL19"/>
  <c r="AM19"/>
  <c r="AN19"/>
  <c r="AX19"/>
  <c r="BE19"/>
  <c r="BF19"/>
  <c r="BJ19"/>
  <c r="BV19"/>
  <c r="BY19"/>
  <c r="CD19"/>
  <c r="CG19"/>
  <c r="CJ19"/>
  <c r="CL19"/>
  <c r="CM19"/>
  <c r="CP19"/>
  <c r="CZ19"/>
  <c r="DM19"/>
  <c r="DP19"/>
  <c r="DQ19"/>
  <c r="DS19"/>
  <c r="DT19"/>
  <c r="DV19"/>
  <c r="DW19"/>
  <c r="DY19"/>
  <c r="DZ19"/>
  <c r="I20"/>
  <c r="L20"/>
  <c r="M20"/>
  <c r="O20"/>
  <c r="P20"/>
  <c r="R20"/>
  <c r="S20"/>
  <c r="U20"/>
  <c r="V20"/>
  <c r="X20"/>
  <c r="AA20"/>
  <c r="AB20"/>
  <c r="AD20"/>
  <c r="AE20"/>
  <c r="AG20"/>
  <c r="AH20"/>
  <c r="AL20"/>
  <c r="AO20"/>
  <c r="AT20"/>
  <c r="AX20"/>
  <c r="BE20"/>
  <c r="BF20"/>
  <c r="BJ20"/>
  <c r="BV20"/>
  <c r="BY20"/>
  <c r="CD20"/>
  <c r="CF20"/>
  <c r="CG20"/>
  <c r="CJ20"/>
  <c r="CL20"/>
  <c r="CM20"/>
  <c r="CP20"/>
  <c r="CR20"/>
  <c r="CS20"/>
  <c r="CZ20"/>
  <c r="DM20"/>
  <c r="DP20"/>
  <c r="DS20"/>
  <c r="DT20"/>
  <c r="DV20"/>
  <c r="DW20"/>
  <c r="DY20"/>
  <c r="DZ20"/>
  <c r="I21"/>
  <c r="M21"/>
  <c r="P21"/>
  <c r="S21"/>
  <c r="V21"/>
  <c r="AB21"/>
  <c r="AE21"/>
  <c r="AH21"/>
  <c r="AT21"/>
  <c r="L21"/>
  <c r="O21"/>
  <c r="R21"/>
  <c r="U21"/>
  <c r="X21"/>
  <c r="AA21"/>
  <c r="AD21"/>
  <c r="AG21"/>
  <c r="AJ21"/>
  <c r="AO21"/>
  <c r="AX21"/>
  <c r="BE21"/>
  <c r="BF21"/>
  <c r="BJ21"/>
  <c r="BV21"/>
  <c r="BY21"/>
  <c r="CC21"/>
  <c r="CD21"/>
  <c r="CJ21"/>
  <c r="CM21"/>
  <c r="CF21"/>
  <c r="CG21"/>
  <c r="CL21"/>
  <c r="CZ21"/>
  <c r="DM21"/>
  <c r="DP21"/>
  <c r="DS21"/>
  <c r="DT21"/>
  <c r="DV21"/>
  <c r="DW21"/>
  <c r="DY21"/>
  <c r="DZ21"/>
  <c r="I22"/>
  <c r="M22"/>
  <c r="P22"/>
  <c r="S22"/>
  <c r="V22"/>
  <c r="AB22"/>
  <c r="AE22"/>
  <c r="AH22"/>
  <c r="AT22"/>
  <c r="L22"/>
  <c r="O22"/>
  <c r="R22"/>
  <c r="U22"/>
  <c r="X22"/>
  <c r="AA22"/>
  <c r="AD22"/>
  <c r="AG22"/>
  <c r="AX22"/>
  <c r="BJ22"/>
  <c r="BV22"/>
  <c r="BY22"/>
  <c r="CC22"/>
  <c r="CD22"/>
  <c r="CM22"/>
  <c r="CF22"/>
  <c r="CG22"/>
  <c r="CJ22"/>
  <c r="CL22"/>
  <c r="CZ22"/>
  <c r="DP22"/>
  <c r="DS22"/>
  <c r="DT22"/>
  <c r="DV22"/>
  <c r="DW22"/>
  <c r="DY22"/>
  <c r="ET22"/>
  <c r="EU22"/>
  <c r="M23"/>
  <c r="P23"/>
  <c r="S23"/>
  <c r="V23"/>
  <c r="AB23"/>
  <c r="AE23"/>
  <c r="AH23"/>
  <c r="CD23"/>
  <c r="CJ23"/>
  <c r="CM23"/>
  <c r="O23"/>
  <c r="R23"/>
  <c r="U23"/>
  <c r="X23"/>
  <c r="AA23"/>
  <c r="AG23"/>
  <c r="AL23"/>
  <c r="AO23"/>
  <c r="AT23"/>
  <c r="AX23"/>
  <c r="BE23"/>
  <c r="BF23"/>
  <c r="BJ23"/>
  <c r="BV23"/>
  <c r="BY23"/>
  <c r="CC23"/>
  <c r="CL23"/>
  <c r="CT23"/>
  <c r="CZ23"/>
  <c r="DM23"/>
  <c r="DP23"/>
  <c r="DQ23"/>
  <c r="DS23"/>
  <c r="DT23"/>
  <c r="DV23"/>
  <c r="DW23"/>
  <c r="DY23"/>
  <c r="DZ23"/>
  <c r="M24"/>
  <c r="P24"/>
  <c r="S24"/>
  <c r="V24"/>
  <c r="AB24"/>
  <c r="AE24"/>
  <c r="AH24"/>
  <c r="CD24"/>
  <c r="CJ24"/>
  <c r="CM24"/>
  <c r="L24"/>
  <c r="O24"/>
  <c r="R24"/>
  <c r="U24"/>
  <c r="X24"/>
  <c r="AG24"/>
  <c r="AJ24"/>
  <c r="AO24"/>
  <c r="AT24"/>
  <c r="AX24"/>
  <c r="BE24"/>
  <c r="BF24"/>
  <c r="BJ24"/>
  <c r="BV24"/>
  <c r="BY24"/>
  <c r="CC24"/>
  <c r="CF24"/>
  <c r="CG24"/>
  <c r="CL24"/>
  <c r="CZ24"/>
  <c r="DM24"/>
  <c r="DP24"/>
  <c r="DS24"/>
  <c r="DT24"/>
  <c r="DV24"/>
  <c r="DW24"/>
  <c r="DY24"/>
  <c r="DZ24"/>
  <c r="M25"/>
  <c r="S25"/>
  <c r="V25"/>
  <c r="AB25"/>
  <c r="AE25"/>
  <c r="AH25"/>
  <c r="AO25"/>
  <c r="AT25"/>
  <c r="CD25"/>
  <c r="CJ25"/>
  <c r="CM25"/>
  <c r="I25"/>
  <c r="L25"/>
  <c r="O25"/>
  <c r="R25"/>
  <c r="U25"/>
  <c r="X25"/>
  <c r="AA25"/>
  <c r="AD25"/>
  <c r="AG25"/>
  <c r="AL25"/>
  <c r="AX25"/>
  <c r="BE25"/>
  <c r="BF25"/>
  <c r="BJ25"/>
  <c r="BV25"/>
  <c r="BY25"/>
  <c r="CC25"/>
  <c r="CF25"/>
  <c r="CG25"/>
  <c r="CL25"/>
  <c r="CO25"/>
  <c r="CZ25"/>
  <c r="DM25"/>
  <c r="DP25"/>
  <c r="DQ25"/>
  <c r="DS25"/>
  <c r="DT25"/>
  <c r="DV25"/>
  <c r="DW25"/>
  <c r="DY25"/>
  <c r="DZ25"/>
  <c r="M26"/>
  <c r="P26"/>
  <c r="S26"/>
  <c r="V26"/>
  <c r="AB26"/>
  <c r="AE26"/>
  <c r="AH26"/>
  <c r="AT26"/>
  <c r="CD26"/>
  <c r="CM26"/>
  <c r="I26"/>
  <c r="L26"/>
  <c r="O26"/>
  <c r="R26"/>
  <c r="U26"/>
  <c r="X26"/>
  <c r="AA26"/>
  <c r="AD26"/>
  <c r="AG26"/>
  <c r="AL26"/>
  <c r="AX26"/>
  <c r="BE26"/>
  <c r="BJ26"/>
  <c r="BV26"/>
  <c r="BY26"/>
  <c r="CF26"/>
  <c r="CG26"/>
  <c r="CJ26"/>
  <c r="CL26"/>
  <c r="CZ26"/>
  <c r="DM26"/>
  <c r="DP26"/>
  <c r="DQ26"/>
  <c r="DS26"/>
  <c r="DT26"/>
  <c r="DV26"/>
  <c r="DW26"/>
  <c r="DY26"/>
  <c r="DZ26"/>
  <c r="M27"/>
  <c r="P27"/>
  <c r="S27"/>
  <c r="V27"/>
  <c r="AB27"/>
  <c r="AE27"/>
  <c r="AH27"/>
  <c r="AT27"/>
  <c r="CD27"/>
  <c r="CM27"/>
  <c r="I27"/>
  <c r="L27"/>
  <c r="O27"/>
  <c r="R27"/>
  <c r="U27"/>
  <c r="X27"/>
  <c r="AA27"/>
  <c r="AD27"/>
  <c r="AG27"/>
  <c r="AL27"/>
  <c r="AX27"/>
  <c r="BJ27"/>
  <c r="BP27"/>
  <c r="BV27"/>
  <c r="BY27"/>
  <c r="CC27"/>
  <c r="CJ27"/>
  <c r="CL27"/>
  <c r="CZ27"/>
  <c r="DM27"/>
  <c r="DP27"/>
  <c r="DQ27"/>
  <c r="DS27"/>
  <c r="DT27"/>
  <c r="DV27"/>
  <c r="DW27"/>
  <c r="DY27"/>
  <c r="DZ27"/>
  <c r="M28"/>
  <c r="P28"/>
  <c r="S28"/>
  <c r="V28"/>
  <c r="AE28"/>
  <c r="AH28"/>
  <c r="CD28"/>
  <c r="CM28"/>
  <c r="I28"/>
  <c r="L28"/>
  <c r="O28"/>
  <c r="R28"/>
  <c r="U28"/>
  <c r="X28"/>
  <c r="AA28"/>
  <c r="AD28"/>
  <c r="AG28"/>
  <c r="AL28"/>
  <c r="AO28"/>
  <c r="AX28"/>
  <c r="BG28"/>
  <c r="BJ28"/>
  <c r="BV28"/>
  <c r="BY28"/>
  <c r="CC28"/>
  <c r="CF28"/>
  <c r="CG28"/>
  <c r="CJ28"/>
  <c r="CL28"/>
  <c r="CZ28"/>
  <c r="DB28"/>
  <c r="DC28" s="1"/>
  <c r="DM28"/>
  <c r="DP28"/>
  <c r="DQ28"/>
  <c r="DS28"/>
  <c r="DT28"/>
  <c r="DV28"/>
  <c r="DW28"/>
  <c r="DY28"/>
  <c r="M29"/>
  <c r="P29"/>
  <c r="S29"/>
  <c r="V29"/>
  <c r="AB29"/>
  <c r="AE29"/>
  <c r="AH29"/>
  <c r="CD29"/>
  <c r="CJ29"/>
  <c r="CM29"/>
  <c r="L29"/>
  <c r="O29"/>
  <c r="R29"/>
  <c r="U29"/>
  <c r="X29"/>
  <c r="AA29"/>
  <c r="AD29"/>
  <c r="AG29"/>
  <c r="AL29"/>
  <c r="AX29"/>
  <c r="BE29"/>
  <c r="BJ29"/>
  <c r="BP29"/>
  <c r="BV29"/>
  <c r="BY29"/>
  <c r="CC29"/>
  <c r="CF29"/>
  <c r="CG29"/>
  <c r="CL29"/>
  <c r="CT29"/>
  <c r="CZ29"/>
  <c r="DM29"/>
  <c r="DP29"/>
  <c r="DS29"/>
  <c r="DT29"/>
  <c r="DV29"/>
  <c r="DW29"/>
  <c r="EK29"/>
  <c r="BA30"/>
  <c r="AV31"/>
  <c r="AV34" s="1"/>
  <c r="AV35" s="1"/>
  <c r="AW31"/>
  <c r="AW33" s="1"/>
  <c r="BT31"/>
  <c r="BT34" s="1"/>
  <c r="BT35" s="1"/>
  <c r="BW31"/>
  <c r="BW34" s="1"/>
  <c r="BW35" s="1"/>
  <c r="BX31"/>
  <c r="BX33" s="1"/>
  <c r="CU31"/>
  <c r="CU34" s="1"/>
  <c r="CU35" s="1"/>
  <c r="CX31"/>
  <c r="CX34" s="1"/>
  <c r="CX35" s="1"/>
  <c r="CY31"/>
  <c r="CY34" s="1"/>
  <c r="CY35" s="1"/>
  <c r="DA31"/>
  <c r="DA33" s="1"/>
  <c r="DD31"/>
  <c r="DD34" s="1"/>
  <c r="DD35" s="1"/>
  <c r="C22" i="1"/>
  <c r="D22"/>
  <c r="E24"/>
  <c r="F24"/>
  <c r="F26"/>
  <c r="C26" s="1"/>
  <c r="G26"/>
  <c r="D26" s="1"/>
  <c r="E32"/>
  <c r="E33"/>
  <c r="E36"/>
  <c r="AO22" i="2"/>
  <c r="AO29"/>
  <c r="AO27"/>
  <c r="AO26"/>
  <c r="F38" i="6"/>
  <c r="BS14" i="2"/>
  <c r="G37" i="1"/>
  <c r="E73" i="11"/>
  <c r="E58" i="12"/>
  <c r="F58"/>
  <c r="C56"/>
  <c r="DM22" i="2"/>
  <c r="F78" i="14"/>
  <c r="C77"/>
  <c r="EH24" i="2" s="1"/>
  <c r="E78" i="14"/>
  <c r="F80" i="15"/>
  <c r="C77"/>
  <c r="EH25" i="2" s="1"/>
  <c r="E80" i="15"/>
  <c r="F74" i="18"/>
  <c r="E74"/>
  <c r="C69" i="19"/>
  <c r="F72"/>
  <c r="E72"/>
  <c r="E41" i="6"/>
  <c r="E76" i="9"/>
  <c r="F75" i="11"/>
  <c r="E77" i="12"/>
  <c r="F74" i="17"/>
  <c r="C73"/>
  <c r="EE27" i="2" s="1"/>
  <c r="E74" i="17"/>
  <c r="E80" i="8"/>
  <c r="F80"/>
  <c r="E74"/>
  <c r="CC20" i="2"/>
  <c r="C72" i="12"/>
  <c r="C38" i="19"/>
  <c r="F39"/>
  <c r="BZ14" i="2" l="1"/>
  <c r="BZ16"/>
  <c r="BA16"/>
  <c r="C94" i="4"/>
  <c r="G94" s="1"/>
  <c r="J31" i="2"/>
  <c r="J35" s="1"/>
  <c r="E64" i="11"/>
  <c r="D25" i="19"/>
  <c r="D95"/>
  <c r="E14" i="12"/>
  <c r="EQ29" i="2"/>
  <c r="ES29" s="1"/>
  <c r="F17" i="14"/>
  <c r="C99" i="12"/>
  <c r="G99" s="1"/>
  <c r="D99"/>
  <c r="H99" s="1"/>
  <c r="D25"/>
  <c r="V31" i="2"/>
  <c r="V35" s="1"/>
  <c r="EQ14"/>
  <c r="ES14" s="1"/>
  <c r="D25" i="11"/>
  <c r="F40"/>
  <c r="C25"/>
  <c r="D94" i="4"/>
  <c r="K27" i="2"/>
  <c r="F60" i="4"/>
  <c r="H9" i="1"/>
  <c r="E17" i="19"/>
  <c r="F81" i="14"/>
  <c r="BA23" i="2"/>
  <c r="D25" i="13"/>
  <c r="E40" i="9"/>
  <c r="EB15" i="2"/>
  <c r="ED15" s="1"/>
  <c r="E5" i="12"/>
  <c r="F55" i="16"/>
  <c r="E40" i="8"/>
  <c r="CK27" i="2"/>
  <c r="E70" i="13"/>
  <c r="F7" i="7"/>
  <c r="E66" i="15"/>
  <c r="D25" i="18"/>
  <c r="F5" i="17"/>
  <c r="AC24" i="2"/>
  <c r="CK28"/>
  <c r="F32" i="18"/>
  <c r="F12" i="12"/>
  <c r="E7"/>
  <c r="AU21" i="2"/>
  <c r="F5" i="16"/>
  <c r="E26" i="5"/>
  <c r="E5" i="14"/>
  <c r="DR29" i="2"/>
  <c r="K26"/>
  <c r="E5" i="13"/>
  <c r="AU22" i="2"/>
  <c r="F82" i="12"/>
  <c r="CQ20" i="2"/>
  <c r="E5" i="8"/>
  <c r="F26" i="5"/>
  <c r="F26" i="12"/>
  <c r="AR22" i="2"/>
  <c r="F41" i="5"/>
  <c r="F7" i="12"/>
  <c r="E37" i="5"/>
  <c r="C25"/>
  <c r="CH23" i="2"/>
  <c r="Z20"/>
  <c r="E54" i="13"/>
  <c r="N22" i="2"/>
  <c r="F14" i="11"/>
  <c r="DO18" i="2"/>
  <c r="K17"/>
  <c r="AF14"/>
  <c r="C36" i="16"/>
  <c r="BQ26" i="2" s="1"/>
  <c r="F26" s="1"/>
  <c r="E17" i="16"/>
  <c r="ED23" i="2"/>
  <c r="E17" i="13"/>
  <c r="E26" i="12"/>
  <c r="CK22" i="2"/>
  <c r="F5" i="12"/>
  <c r="CH19" i="2"/>
  <c r="AI18"/>
  <c r="AC18"/>
  <c r="AI17"/>
  <c r="E26" i="6"/>
  <c r="F80"/>
  <c r="F20"/>
  <c r="DU29" i="2"/>
  <c r="AF28"/>
  <c r="E26" i="17"/>
  <c r="E26" i="14"/>
  <c r="E66"/>
  <c r="CN23" i="2"/>
  <c r="EA23"/>
  <c r="W21"/>
  <c r="E37" i="11"/>
  <c r="EA21" i="2"/>
  <c r="N21"/>
  <c r="F14" i="9"/>
  <c r="E91"/>
  <c r="CN18" i="2"/>
  <c r="F56" i="8"/>
  <c r="E7"/>
  <c r="W18" i="2"/>
  <c r="E34" i="7"/>
  <c r="F67" i="6"/>
  <c r="E35" i="5"/>
  <c r="E32"/>
  <c r="E67"/>
  <c r="DU15" i="2"/>
  <c r="CN15"/>
  <c r="F57" i="5"/>
  <c r="C4"/>
  <c r="BN15" i="2"/>
  <c r="F15" s="1"/>
  <c r="F35" i="5"/>
  <c r="F30"/>
  <c r="AU14" i="2"/>
  <c r="F34" i="4"/>
  <c r="F17"/>
  <c r="F5"/>
  <c r="F41" i="1"/>
  <c r="H41" s="1"/>
  <c r="DD33" i="2"/>
  <c r="F26" i="19"/>
  <c r="E17" i="17"/>
  <c r="CH27" i="2"/>
  <c r="EA25"/>
  <c r="AU25"/>
  <c r="CH25"/>
  <c r="Z25"/>
  <c r="CE25"/>
  <c r="F37" i="14"/>
  <c r="F35" s="1"/>
  <c r="F34" s="1"/>
  <c r="F20" i="13"/>
  <c r="F62"/>
  <c r="Q22" i="2"/>
  <c r="E94" i="11"/>
  <c r="F40" i="9"/>
  <c r="E20"/>
  <c r="F36"/>
  <c r="F86"/>
  <c r="AU19" i="2"/>
  <c r="F7" i="8"/>
  <c r="ES18" i="2"/>
  <c r="F14" i="8"/>
  <c r="F80" i="7"/>
  <c r="E37" i="6"/>
  <c r="E35"/>
  <c r="CE15" i="2"/>
  <c r="AF15"/>
  <c r="W15"/>
  <c r="EP15"/>
  <c r="E84" i="4"/>
  <c r="E73"/>
  <c r="D4"/>
  <c r="G31" i="1"/>
  <c r="F7" i="19"/>
  <c r="BA27" i="2"/>
  <c r="F31" i="16"/>
  <c r="E29"/>
  <c r="F31" i="15"/>
  <c r="F29"/>
  <c r="E20"/>
  <c r="AI24" i="2"/>
  <c r="CK23"/>
  <c r="E26" i="13"/>
  <c r="CH22" i="2"/>
  <c r="F94" i="11"/>
  <c r="F37"/>
  <c r="E7"/>
  <c r="DJ20" i="2"/>
  <c r="CT20"/>
  <c r="E26" i="10"/>
  <c r="F20"/>
  <c r="E12"/>
  <c r="BG19" i="2"/>
  <c r="BZ18"/>
  <c r="E14" i="8"/>
  <c r="T18" i="2"/>
  <c r="BP18"/>
  <c r="F81" i="8"/>
  <c r="F17" i="7"/>
  <c r="DJ16" i="2"/>
  <c r="F37" i="6"/>
  <c r="F86"/>
  <c r="C4"/>
  <c r="DR15" i="2"/>
  <c r="BO15"/>
  <c r="F20" i="5"/>
  <c r="DX14" i="2"/>
  <c r="CE14"/>
  <c r="E7" i="19"/>
  <c r="D4"/>
  <c r="E34"/>
  <c r="AC29" i="2"/>
  <c r="DK29"/>
  <c r="DH29" s="1"/>
  <c r="E84" i="18"/>
  <c r="F78" i="17"/>
  <c r="C25"/>
  <c r="E31"/>
  <c r="AI27" i="2"/>
  <c r="E82" i="16"/>
  <c r="W26" i="2"/>
  <c r="C4" i="16"/>
  <c r="E26"/>
  <c r="E12"/>
  <c r="G25" i="2"/>
  <c r="E31" i="15"/>
  <c r="F20"/>
  <c r="F26" i="14"/>
  <c r="E83"/>
  <c r="DK24" i="2"/>
  <c r="DH24" s="1"/>
  <c r="F92" i="13"/>
  <c r="F23" i="2"/>
  <c r="DO23"/>
  <c r="F54" i="13"/>
  <c r="D96"/>
  <c r="F86"/>
  <c r="D4"/>
  <c r="F78" i="12"/>
  <c r="EI22" i="2"/>
  <c r="EJ22" s="1"/>
  <c r="E29" i="12"/>
  <c r="DO22" i="2"/>
  <c r="F29" i="12"/>
  <c r="DR22" i="2"/>
  <c r="E64" i="12"/>
  <c r="F37"/>
  <c r="E78"/>
  <c r="E12"/>
  <c r="F7" i="11"/>
  <c r="F84" i="10"/>
  <c r="E7"/>
  <c r="E66"/>
  <c r="AF20" i="2"/>
  <c r="AR20"/>
  <c r="F20" i="9"/>
  <c r="CK19" i="2"/>
  <c r="F65" i="9"/>
  <c r="DK19" i="2"/>
  <c r="DX19"/>
  <c r="Q19"/>
  <c r="CQ19"/>
  <c r="K19"/>
  <c r="E66" i="8"/>
  <c r="CE18" i="2"/>
  <c r="K18"/>
  <c r="BL31"/>
  <c r="BL33" s="1"/>
  <c r="E89" i="8"/>
  <c r="EA18" i="2"/>
  <c r="AR18"/>
  <c r="E7" i="6"/>
  <c r="E32"/>
  <c r="F12"/>
  <c r="F86" i="5"/>
  <c r="E20"/>
  <c r="DO15" i="2"/>
  <c r="E20" i="4"/>
  <c r="CK14" i="2"/>
  <c r="Z14"/>
  <c r="C25" i="4"/>
  <c r="E14"/>
  <c r="E7"/>
  <c r="F31"/>
  <c r="CU33" i="2"/>
  <c r="F29" i="19"/>
  <c r="E29"/>
  <c r="E12"/>
  <c r="E26"/>
  <c r="AI29" i="2"/>
  <c r="F31" i="19"/>
  <c r="E91"/>
  <c r="DO29" i="2"/>
  <c r="W29"/>
  <c r="E17" i="18"/>
  <c r="E7"/>
  <c r="Z28" i="2"/>
  <c r="E78" i="17"/>
  <c r="E46"/>
  <c r="DX27" i="2"/>
  <c r="E34" i="17"/>
  <c r="EV27" i="2"/>
  <c r="F31" i="17"/>
  <c r="W27" i="2"/>
  <c r="E95" i="17"/>
  <c r="F95"/>
  <c r="BS27" i="2"/>
  <c r="E87" i="16"/>
  <c r="E55"/>
  <c r="F93"/>
  <c r="EO26" i="2"/>
  <c r="EP26" s="1"/>
  <c r="BO26"/>
  <c r="BP26" s="1"/>
  <c r="ER26"/>
  <c r="ER31" s="1"/>
  <c r="N26"/>
  <c r="F26" i="16"/>
  <c r="BA26" i="2"/>
  <c r="F34" i="16"/>
  <c r="F37"/>
  <c r="F29"/>
  <c r="F12"/>
  <c r="F7"/>
  <c r="EV25" i="2"/>
  <c r="F56" i="15"/>
  <c r="E41"/>
  <c r="F94"/>
  <c r="EB25" i="2"/>
  <c r="ED25" s="1"/>
  <c r="K25"/>
  <c r="E88" i="15"/>
  <c r="E56"/>
  <c r="DX25" i="2"/>
  <c r="EJ24"/>
  <c r="E17" i="14"/>
  <c r="BQ24" i="2"/>
  <c r="BS24" s="1"/>
  <c r="F64" i="14"/>
  <c r="E88"/>
  <c r="BZ24" i="2"/>
  <c r="N24"/>
  <c r="F5" i="14"/>
  <c r="AR24" i="2"/>
  <c r="E64" i="13"/>
  <c r="F26"/>
  <c r="BZ23" i="2"/>
  <c r="AI23"/>
  <c r="AR23"/>
  <c r="E89" i="12"/>
  <c r="F72"/>
  <c r="F97"/>
  <c r="E97"/>
  <c r="BA22" i="2"/>
  <c r="F83" i="11"/>
  <c r="EO21" i="2"/>
  <c r="EP21" s="1"/>
  <c r="E88" i="11"/>
  <c r="AF21" i="2"/>
  <c r="AJ31"/>
  <c r="AJ34" s="1"/>
  <c r="AJ35" s="1"/>
  <c r="K21"/>
  <c r="ES20"/>
  <c r="F66" i="10"/>
  <c r="F77"/>
  <c r="F7"/>
  <c r="DO20" i="2"/>
  <c r="E29" i="10"/>
  <c r="E20"/>
  <c r="E14"/>
  <c r="E86" i="9"/>
  <c r="E65"/>
  <c r="DO19" i="2"/>
  <c r="E34" i="9"/>
  <c r="F26"/>
  <c r="D98" i="8"/>
  <c r="EV18" i="2"/>
  <c r="EJ18"/>
  <c r="F20" i="8"/>
  <c r="E95"/>
  <c r="F34"/>
  <c r="BK31" i="2"/>
  <c r="BK33" s="1"/>
  <c r="E20" i="7"/>
  <c r="O31" i="2"/>
  <c r="O35" s="1"/>
  <c r="E87" i="7"/>
  <c r="AU17" i="2"/>
  <c r="F93" i="7"/>
  <c r="E65"/>
  <c r="ES16" i="2"/>
  <c r="E20" i="6"/>
  <c r="BO16" i="2"/>
  <c r="BP16" s="1"/>
  <c r="E91" i="6"/>
  <c r="DR16" i="2"/>
  <c r="E12" i="6"/>
  <c r="DU16" i="2"/>
  <c r="AI16"/>
  <c r="AC16"/>
  <c r="W16"/>
  <c r="C101" i="5"/>
  <c r="D101"/>
  <c r="EV15" i="2"/>
  <c r="BC34"/>
  <c r="BC35" s="1"/>
  <c r="BC33"/>
  <c r="E12" i="4"/>
  <c r="F90"/>
  <c r="F20"/>
  <c r="Q29" i="2"/>
  <c r="DX28"/>
  <c r="DR28"/>
  <c r="CE28"/>
  <c r="Q27"/>
  <c r="N27"/>
  <c r="T26"/>
  <c r="Q24"/>
  <c r="DK23"/>
  <c r="AC23"/>
  <c r="BZ22"/>
  <c r="W22"/>
  <c r="DU19"/>
  <c r="BZ19"/>
  <c r="AL18"/>
  <c r="CN16"/>
  <c r="AO16"/>
  <c r="F16"/>
  <c r="DK15"/>
  <c r="DJ15"/>
  <c r="AO15"/>
  <c r="AA31"/>
  <c r="AA35" s="1"/>
  <c r="E17" i="4"/>
  <c r="C4"/>
  <c r="F83" i="5"/>
  <c r="EP16" i="2"/>
  <c r="E80" i="6"/>
  <c r="C25"/>
  <c r="F17"/>
  <c r="F87" i="7"/>
  <c r="F29"/>
  <c r="F5"/>
  <c r="E56" i="8"/>
  <c r="E17"/>
  <c r="E78" i="9"/>
  <c r="F31"/>
  <c r="C4"/>
  <c r="E82" i="10"/>
  <c r="F56"/>
  <c r="E36"/>
  <c r="E17"/>
  <c r="F77" i="11"/>
  <c r="E17"/>
  <c r="E20" i="13"/>
  <c r="E31" i="14"/>
  <c r="E29"/>
  <c r="C25" i="15"/>
  <c r="E12"/>
  <c r="F87" i="16"/>
  <c r="F14"/>
  <c r="F89" i="17"/>
  <c r="E12"/>
  <c r="C4"/>
  <c r="E5"/>
  <c r="E20" i="18"/>
  <c r="E5" i="19"/>
  <c r="C4" i="14"/>
  <c r="F31" i="13"/>
  <c r="E73" i="9"/>
  <c r="DK17" i="2"/>
  <c r="G21"/>
  <c r="F7" i="13"/>
  <c r="E64" i="10"/>
  <c r="BG15" i="2"/>
  <c r="K16"/>
  <c r="BG22"/>
  <c r="AR21"/>
  <c r="E34" i="8"/>
  <c r="E26" i="7"/>
  <c r="F65" i="16"/>
  <c r="BZ26" i="2"/>
  <c r="ES24"/>
  <c r="E41" i="18"/>
  <c r="CT28" i="2"/>
  <c r="D25" i="6"/>
  <c r="E68" i="4"/>
  <c r="F77" i="8"/>
  <c r="H20" i="1"/>
  <c r="CT15" i="2"/>
  <c r="E67" i="6"/>
  <c r="AF27" i="2"/>
  <c r="AF25"/>
  <c r="N25"/>
  <c r="T24"/>
  <c r="F20"/>
  <c r="C4" i="7"/>
  <c r="C4" i="8"/>
  <c r="BS19" i="2"/>
  <c r="D4" i="10"/>
  <c r="C4" i="11"/>
  <c r="E14" i="15"/>
  <c r="F17" i="16"/>
  <c r="F85" i="19"/>
  <c r="C25"/>
  <c r="E7" i="9"/>
  <c r="F26" i="17"/>
  <c r="Z24" i="2"/>
  <c r="Z16"/>
  <c r="F65" i="7"/>
  <c r="D4" i="5"/>
  <c r="E5" i="15"/>
  <c r="D37" i="19"/>
  <c r="D48" s="1"/>
  <c r="BZ17" i="2"/>
  <c r="BZ21"/>
  <c r="ED18"/>
  <c r="F5" i="6"/>
  <c r="DK22" i="2"/>
  <c r="BA20"/>
  <c r="AR17"/>
  <c r="E72" i="8"/>
  <c r="D98" i="11"/>
  <c r="F56"/>
  <c r="F57" i="9"/>
  <c r="E56" i="12"/>
  <c r="F57" i="17"/>
  <c r="DK18" i="2"/>
  <c r="DR18"/>
  <c r="E56" i="11"/>
  <c r="F89" i="18"/>
  <c r="BZ28" i="2"/>
  <c r="F14" i="18"/>
  <c r="E35"/>
  <c r="W28" i="2"/>
  <c r="C89" i="18"/>
  <c r="EQ28" i="2" s="1"/>
  <c r="ES28" s="1"/>
  <c r="F5" i="18"/>
  <c r="F35"/>
  <c r="F26"/>
  <c r="E12"/>
  <c r="E69" i="19"/>
  <c r="BZ29" i="2"/>
  <c r="E37" i="18"/>
  <c r="E38" i="19"/>
  <c r="F17" i="17"/>
  <c r="DQ31" i="2"/>
  <c r="D4" i="16"/>
  <c r="F7" i="18"/>
  <c r="BZ27" i="2"/>
  <c r="CN27"/>
  <c r="DT31"/>
  <c r="DT33" s="1"/>
  <c r="AG31"/>
  <c r="I31"/>
  <c r="I35" s="1"/>
  <c r="D97" i="16"/>
  <c r="H97" s="1"/>
  <c r="EG27" i="2"/>
  <c r="DO26"/>
  <c r="CP31"/>
  <c r="CP34" s="1"/>
  <c r="CP35" s="1"/>
  <c r="D99" i="18"/>
  <c r="H99" s="1"/>
  <c r="H33" i="1"/>
  <c r="H6"/>
  <c r="D25" i="16"/>
  <c r="BR26" i="2"/>
  <c r="AQ31"/>
  <c r="EM25"/>
  <c r="DJ25"/>
  <c r="W25"/>
  <c r="E83" i="15"/>
  <c r="D25"/>
  <c r="E64" i="14"/>
  <c r="AE31" i="2"/>
  <c r="AE35" s="1"/>
  <c r="CL31"/>
  <c r="D98" i="15"/>
  <c r="H98" s="1"/>
  <c r="F77" i="14"/>
  <c r="E41"/>
  <c r="BZ25" i="2"/>
  <c r="E81" i="15"/>
  <c r="DP31" i="2"/>
  <c r="DP35" s="1"/>
  <c r="DJ24"/>
  <c r="F64" i="15"/>
  <c r="H24" i="1"/>
  <c r="BY34" i="2"/>
  <c r="BY35" s="1"/>
  <c r="BY33"/>
  <c r="EM26"/>
  <c r="BI33"/>
  <c r="F77" i="15"/>
  <c r="Z21" i="2"/>
  <c r="E77" i="8"/>
  <c r="AC15" i="2"/>
  <c r="EU14"/>
  <c r="EV14" s="1"/>
  <c r="ES17"/>
  <c r="E7" i="13"/>
  <c r="F34" i="9"/>
  <c r="E34" i="15"/>
  <c r="F95" i="18"/>
  <c r="DO17" i="2"/>
  <c r="F91" i="9"/>
  <c r="G34" i="1"/>
  <c r="G7"/>
  <c r="BF29" i="2"/>
  <c r="G29" s="1"/>
  <c r="EC26"/>
  <c r="EO25"/>
  <c r="EP25" s="1"/>
  <c r="N23"/>
  <c r="EC16"/>
  <c r="ED16" s="1"/>
  <c r="F26" i="6"/>
  <c r="DJ26" i="2"/>
  <c r="AN31"/>
  <c r="AN33" s="1"/>
  <c r="E63" i="16"/>
  <c r="E85" i="19"/>
  <c r="AW34" i="2"/>
  <c r="AW35" s="1"/>
  <c r="E66" i="12"/>
  <c r="F66"/>
  <c r="F81" i="15"/>
  <c r="F64" i="13"/>
  <c r="F72" i="8"/>
  <c r="C98"/>
  <c r="G98" s="1"/>
  <c r="D98" i="14"/>
  <c r="H98" s="1"/>
  <c r="E79" i="13"/>
  <c r="E20" i="12"/>
  <c r="F83" i="15"/>
  <c r="E91" i="5"/>
  <c r="F17" i="15"/>
  <c r="EU17" i="2"/>
  <c r="EV17" s="1"/>
  <c r="E84" i="6"/>
  <c r="F32"/>
  <c r="CK17" i="2"/>
  <c r="CY33"/>
  <c r="E17" i="6"/>
  <c r="EL15" i="2"/>
  <c r="EM15" s="1"/>
  <c r="F36" i="10"/>
  <c r="K29" i="2"/>
  <c r="F26" i="7"/>
  <c r="E7" i="16"/>
  <c r="F26" i="15"/>
  <c r="E31" i="9"/>
  <c r="D4" i="15"/>
  <c r="AP29" i="2"/>
  <c r="AR29" s="1"/>
  <c r="E29" i="15"/>
  <c r="D25" i="9"/>
  <c r="F82" i="7"/>
  <c r="F34" i="15"/>
  <c r="E92" i="13"/>
  <c r="F17" i="18"/>
  <c r="DR14" i="2"/>
  <c r="F17" i="11"/>
  <c r="F84" i="6"/>
  <c r="F75" i="13"/>
  <c r="F80" i="16"/>
  <c r="F61" i="19"/>
  <c r="E14" i="18"/>
  <c r="F20" i="14"/>
  <c r="Q25" i="2"/>
  <c r="CK25"/>
  <c r="Z22"/>
  <c r="EK20"/>
  <c r="EM20" s="1"/>
  <c r="EH16"/>
  <c r="EJ16" s="1"/>
  <c r="E57" i="9"/>
  <c r="F7"/>
  <c r="E64" i="15"/>
  <c r="F79" i="13"/>
  <c r="E93" i="7"/>
  <c r="E5" i="6"/>
  <c r="D25" i="10"/>
  <c r="DN31" i="2"/>
  <c r="DN35" s="1"/>
  <c r="E37" i="12"/>
  <c r="F64"/>
  <c r="EC28" i="2"/>
  <c r="AU24"/>
  <c r="AR16"/>
  <c r="E65" i="6"/>
  <c r="DJ18" i="2"/>
  <c r="F17" i="19"/>
  <c r="E29" i="4"/>
  <c r="E80" i="16"/>
  <c r="E99" i="9"/>
  <c r="DJ19" i="2"/>
  <c r="F14" i="4"/>
  <c r="E77" i="15"/>
  <c r="E94"/>
  <c r="E82" i="12"/>
  <c r="E78" i="19"/>
  <c r="C25" i="12"/>
  <c r="F29" i="10"/>
  <c r="E84"/>
  <c r="F66" i="8"/>
  <c r="E83" i="5"/>
  <c r="ES25" i="2"/>
  <c r="C4" i="13"/>
  <c r="F21" i="1"/>
  <c r="F66" i="14"/>
  <c r="E95" i="18"/>
  <c r="F34" i="19"/>
  <c r="CK29" i="2"/>
  <c r="DO24"/>
  <c r="CK24"/>
  <c r="AU23"/>
  <c r="CS31"/>
  <c r="CS35" s="1"/>
  <c r="AU20"/>
  <c r="EB17"/>
  <c r="ED17" s="1"/>
  <c r="Z15"/>
  <c r="EE14"/>
  <c r="EG14" s="1"/>
  <c r="E31" i="13"/>
  <c r="F12"/>
  <c r="E65" i="18"/>
  <c r="AR28" i="2"/>
  <c r="DR17"/>
  <c r="AI25"/>
  <c r="W24"/>
  <c r="EE29"/>
  <c r="EG29" s="1"/>
  <c r="F28"/>
  <c r="CN29"/>
  <c r="AF16"/>
  <c r="F97" i="6"/>
  <c r="N28" i="2"/>
  <c r="D97" i="7"/>
  <c r="AI28" i="2"/>
  <c r="CN21"/>
  <c r="K14"/>
  <c r="EA28"/>
  <c r="CK21"/>
  <c r="F57" i="6"/>
  <c r="F7"/>
  <c r="DM31" i="2"/>
  <c r="DM35" s="1"/>
  <c r="CE26"/>
  <c r="CA26"/>
  <c r="CA29"/>
  <c r="CA28"/>
  <c r="CA27"/>
  <c r="CO31"/>
  <c r="CO35" s="1"/>
  <c r="CA24"/>
  <c r="CA23"/>
  <c r="EP22"/>
  <c r="CF31"/>
  <c r="CF35" s="1"/>
  <c r="CA22"/>
  <c r="AD31"/>
  <c r="L31"/>
  <c r="L35" s="1"/>
  <c r="AC22"/>
  <c r="CA21"/>
  <c r="CA18"/>
  <c r="CA17"/>
  <c r="BA19"/>
  <c r="CA25"/>
  <c r="CA20"/>
  <c r="CA19"/>
  <c r="CA16"/>
  <c r="CA15"/>
  <c r="CA14"/>
  <c r="G20"/>
  <c r="AF22"/>
  <c r="CE20"/>
  <c r="M31"/>
  <c r="P31"/>
  <c r="E37" i="7"/>
  <c r="F37"/>
  <c r="E57" i="6"/>
  <c r="E55" i="7"/>
  <c r="F55"/>
  <c r="F38" i="19"/>
  <c r="EA17" i="2"/>
  <c r="F14" i="5"/>
  <c r="EV19" i="2"/>
  <c r="E26" i="9"/>
  <c r="E31" i="10"/>
  <c r="F5"/>
  <c r="E75" i="13"/>
  <c r="F91" i="6"/>
  <c r="H36" i="1"/>
  <c r="CH18" i="2"/>
  <c r="F17" i="10"/>
  <c r="F56" i="12"/>
  <c r="BT33" i="2"/>
  <c r="CH14"/>
  <c r="F12" i="14"/>
  <c r="F12" i="17"/>
  <c r="E5" i="18"/>
  <c r="E7" i="14"/>
  <c r="E7" i="15"/>
  <c r="T22" i="2"/>
  <c r="F5" i="8"/>
  <c r="E41" i="5"/>
  <c r="F30" i="1"/>
  <c r="H30" s="1"/>
  <c r="BR15" i="2"/>
  <c r="F37" i="5"/>
  <c r="E82" i="7"/>
  <c r="EN17" i="2"/>
  <c r="EP17" s="1"/>
  <c r="F36" i="8"/>
  <c r="BQ18" i="2"/>
  <c r="BS18" s="1"/>
  <c r="E26" i="8"/>
  <c r="D25"/>
  <c r="E12" i="13"/>
  <c r="AS31" i="2"/>
  <c r="AS35" s="1"/>
  <c r="DJ22"/>
  <c r="CX33"/>
  <c r="F19"/>
  <c r="BS22"/>
  <c r="E26" i="4"/>
  <c r="F26"/>
  <c r="C4" i="15"/>
  <c r="E65" i="16"/>
  <c r="EB26" i="2"/>
  <c r="F7" i="17"/>
  <c r="E7"/>
  <c r="F31" i="1"/>
  <c r="F73" i="4"/>
  <c r="EI14" i="2"/>
  <c r="EJ14" s="1"/>
  <c r="Z29"/>
  <c r="DO28"/>
  <c r="Z27"/>
  <c r="AU27"/>
  <c r="AU26"/>
  <c r="DR24"/>
  <c r="AF24"/>
  <c r="Z23"/>
  <c r="AF23"/>
  <c r="CK20"/>
  <c r="AU16"/>
  <c r="CK15"/>
  <c r="K15"/>
  <c r="F12" i="4"/>
  <c r="E73" i="5"/>
  <c r="E80" i="7"/>
  <c r="F7" i="14"/>
  <c r="F5" i="15"/>
  <c r="F7"/>
  <c r="F63" i="16"/>
  <c r="E31" i="19"/>
  <c r="E67" i="17"/>
  <c r="AU28" i="2"/>
  <c r="AR14"/>
  <c r="AR25"/>
  <c r="BA14"/>
  <c r="F14"/>
  <c r="CE24"/>
  <c r="T21"/>
  <c r="F12" i="19"/>
  <c r="F41" i="12"/>
  <c r="E41"/>
  <c r="F38" i="17"/>
  <c r="E38"/>
  <c r="AF29" i="2"/>
  <c r="E14" i="11"/>
  <c r="D4"/>
  <c r="E7" i="7"/>
  <c r="C71"/>
  <c r="EE17" i="2" s="1"/>
  <c r="F15" i="1"/>
  <c r="H15" s="1"/>
  <c r="CE27" i="2"/>
  <c r="T23"/>
  <c r="DX15"/>
  <c r="EP14"/>
  <c r="F30" i="6"/>
  <c r="D99" i="10"/>
  <c r="G18" i="1"/>
  <c r="H18" s="1"/>
  <c r="K23" i="2"/>
  <c r="DV31"/>
  <c r="CJ31"/>
  <c r="CJ35" s="1"/>
  <c r="EJ25"/>
  <c r="E40" i="7"/>
  <c r="F69" i="19"/>
  <c r="AL24" i="2"/>
  <c r="BZ20"/>
  <c r="E77" i="14"/>
  <c r="DA34" i="2"/>
  <c r="DA35" s="1"/>
  <c r="AV33"/>
  <c r="BW33"/>
  <c r="EP29"/>
  <c r="ES27"/>
  <c r="DK25"/>
  <c r="BG23"/>
  <c r="E36" i="9"/>
  <c r="F46" i="17"/>
  <c r="F34"/>
  <c r="E72" i="12"/>
  <c r="AC26" i="2"/>
  <c r="DU24"/>
  <c r="CH24"/>
  <c r="AO19"/>
  <c r="N19"/>
  <c r="DU18"/>
  <c r="E86" i="6"/>
  <c r="F17" i="9"/>
  <c r="F82" i="10"/>
  <c r="E5"/>
  <c r="E86" i="13"/>
  <c r="F82" i="16"/>
  <c r="BP24" i="2"/>
  <c r="G24"/>
  <c r="C9" i="1"/>
  <c r="E9" s="1"/>
  <c r="AK31" i="2"/>
  <c r="EE22"/>
  <c r="EG22" s="1"/>
  <c r="E73" i="17"/>
  <c r="AX31" i="2"/>
  <c r="BS29"/>
  <c r="EA26"/>
  <c r="DX26"/>
  <c r="DK26"/>
  <c r="AI26"/>
  <c r="DU23"/>
  <c r="Q21"/>
  <c r="AI21"/>
  <c r="Q18"/>
  <c r="DU17"/>
  <c r="X31"/>
  <c r="X35" s="1"/>
  <c r="R31"/>
  <c r="R35" s="1"/>
  <c r="EA16"/>
  <c r="CE16"/>
  <c r="Q16"/>
  <c r="E86" i="5"/>
  <c r="F65" i="6"/>
  <c r="F35"/>
  <c r="E29" i="7"/>
  <c r="E17"/>
  <c r="F64" i="8"/>
  <c r="E31"/>
  <c r="F29" i="11"/>
  <c r="E84" i="12"/>
  <c r="EM24" i="2"/>
  <c r="D25" i="14"/>
  <c r="F84" i="18"/>
  <c r="F37"/>
  <c r="F20"/>
  <c r="D4"/>
  <c r="E60" i="4"/>
  <c r="F41" i="18"/>
  <c r="AC25" i="2"/>
  <c r="S31"/>
  <c r="F88" i="15"/>
  <c r="H32" i="1"/>
  <c r="H12"/>
  <c r="E81" i="14"/>
  <c r="G27" i="2"/>
  <c r="CG31"/>
  <c r="CG35" s="1"/>
  <c r="CM31"/>
  <c r="CM35" s="1"/>
  <c r="AB31"/>
  <c r="EK17"/>
  <c r="EM17" s="1"/>
  <c r="N17"/>
  <c r="ED22"/>
  <c r="EM29"/>
  <c r="F91" i="5"/>
  <c r="EP19" i="2"/>
  <c r="F20" i="12"/>
  <c r="F34" i="7"/>
  <c r="BS16" i="2"/>
  <c r="CC31"/>
  <c r="CC35" s="1"/>
  <c r="H37" i="1"/>
  <c r="BV33" i="2"/>
  <c r="CZ31"/>
  <c r="CZ33" s="1"/>
  <c r="DB31"/>
  <c r="BX34"/>
  <c r="BX35" s="1"/>
  <c r="T29"/>
  <c r="EV28"/>
  <c r="AC28"/>
  <c r="T27"/>
  <c r="DX24"/>
  <c r="DX23"/>
  <c r="DR23"/>
  <c r="W23"/>
  <c r="CE22"/>
  <c r="DX21"/>
  <c r="BG21"/>
  <c r="AI20"/>
  <c r="W20"/>
  <c r="Q20"/>
  <c r="N20"/>
  <c r="CN19"/>
  <c r="AM31"/>
  <c r="AM34" s="1"/>
  <c r="AM35" s="1"/>
  <c r="AI19"/>
  <c r="AC19"/>
  <c r="DX18"/>
  <c r="DX17"/>
  <c r="CE17"/>
  <c r="AC17"/>
  <c r="T17"/>
  <c r="T16"/>
  <c r="N16"/>
  <c r="Q15"/>
  <c r="N15"/>
  <c r="DJ14"/>
  <c r="CN14"/>
  <c r="AI14"/>
  <c r="F29" i="4"/>
  <c r="E5"/>
  <c r="E57" i="5"/>
  <c r="D25"/>
  <c r="E30" i="6"/>
  <c r="E5" i="7"/>
  <c r="E20" i="8"/>
  <c r="E12"/>
  <c r="E14" i="9"/>
  <c r="F31" i="10"/>
  <c r="F26"/>
  <c r="F88" i="11"/>
  <c r="E29"/>
  <c r="F31" i="14"/>
  <c r="E93" i="16"/>
  <c r="F84" i="17"/>
  <c r="E57"/>
  <c r="E20"/>
  <c r="F78" i="19"/>
  <c r="F20"/>
  <c r="H38" i="1"/>
  <c r="BG27" i="2"/>
  <c r="BE31"/>
  <c r="BE35" s="1"/>
  <c r="F27"/>
  <c r="E36" i="7"/>
  <c r="F36"/>
  <c r="BQ17" i="2"/>
  <c r="BS17" s="1"/>
  <c r="DZ31"/>
  <c r="DZ35" s="1"/>
  <c r="BP28"/>
  <c r="EV26"/>
  <c r="DJ23"/>
  <c r="AF17"/>
  <c r="CH16"/>
  <c r="EA15"/>
  <c r="CQ15"/>
  <c r="BZ15"/>
  <c r="E64" i="8"/>
  <c r="C25" i="9"/>
  <c r="F89" i="10"/>
  <c r="F14"/>
  <c r="F84" i="12"/>
  <c r="F5" i="13"/>
  <c r="F83" i="14"/>
  <c r="E26" i="15"/>
  <c r="F12"/>
  <c r="E31" i="16"/>
  <c r="F20" i="17"/>
  <c r="F65" i="18"/>
  <c r="E20" i="19"/>
  <c r="Z26" i="2"/>
  <c r="E62" i="13"/>
  <c r="F40" i="16"/>
  <c r="E40" i="10"/>
  <c r="EM16" i="2"/>
  <c r="CN26"/>
  <c r="EP24"/>
  <c r="EM22"/>
  <c r="EA22"/>
  <c r="CN22"/>
  <c r="DU21"/>
  <c r="ED20"/>
  <c r="EA19"/>
  <c r="AI15"/>
  <c r="T15"/>
  <c r="T14"/>
  <c r="EP20"/>
  <c r="F14" i="15"/>
  <c r="E5" i="16"/>
  <c r="C25" i="13"/>
  <c r="E65" i="5"/>
  <c r="Z18" i="2"/>
  <c r="F68" i="4"/>
  <c r="DS31" i="2"/>
  <c r="DS35" s="1"/>
  <c r="CH15"/>
  <c r="AC14"/>
  <c r="E30" i="5"/>
  <c r="F20" i="7"/>
  <c r="F29" i="14"/>
  <c r="F12" i="18"/>
  <c r="C4"/>
  <c r="F7" i="4"/>
  <c r="AU15" i="2"/>
  <c r="F32" i="5"/>
  <c r="BA28" i="2"/>
  <c r="EA27"/>
  <c r="AF26"/>
  <c r="Q26"/>
  <c r="DU25"/>
  <c r="CN24"/>
  <c r="ES23"/>
  <c r="EV21"/>
  <c r="AC21"/>
  <c r="EA20"/>
  <c r="DU20"/>
  <c r="CN20"/>
  <c r="CH20"/>
  <c r="ES15"/>
  <c r="F84" i="4"/>
  <c r="E14" i="5"/>
  <c r="F89" i="8"/>
  <c r="F12"/>
  <c r="C25" i="10"/>
  <c r="E83" i="11"/>
  <c r="BR28" i="2"/>
  <c r="G28" s="1"/>
  <c r="K28"/>
  <c r="K24"/>
  <c r="F66" i="15"/>
  <c r="BP25" i="2"/>
  <c r="BB31"/>
  <c r="BD14"/>
  <c r="G39" i="1"/>
  <c r="F5"/>
  <c r="E12" i="5"/>
  <c r="F12"/>
  <c r="E31" i="7"/>
  <c r="F31"/>
  <c r="C25"/>
  <c r="F17" i="8"/>
  <c r="D4"/>
  <c r="EH19" i="2"/>
  <c r="EJ19" s="1"/>
  <c r="F78" i="9"/>
  <c r="E5"/>
  <c r="F5"/>
  <c r="E77" i="10"/>
  <c r="EI20" i="2"/>
  <c r="EI21"/>
  <c r="EJ21" s="1"/>
  <c r="E77" i="11"/>
  <c r="E31"/>
  <c r="E26"/>
  <c r="F26"/>
  <c r="E32" i="12"/>
  <c r="F32"/>
  <c r="E34" i="13"/>
  <c r="BR23" i="2"/>
  <c r="BS23" s="1"/>
  <c r="F34" i="13"/>
  <c r="E14"/>
  <c r="F14"/>
  <c r="F20" i="16"/>
  <c r="E20"/>
  <c r="E29" i="17"/>
  <c r="F29"/>
  <c r="D25"/>
  <c r="E61" i="19"/>
  <c r="DY29" i="2"/>
  <c r="EA29" s="1"/>
  <c r="EK18"/>
  <c r="E81" i="8"/>
  <c r="C25"/>
  <c r="F26"/>
  <c r="G16" i="1"/>
  <c r="E67" i="9"/>
  <c r="EC19" i="2"/>
  <c r="F67" i="9"/>
  <c r="E66" i="11"/>
  <c r="F66"/>
  <c r="EC21" i="2"/>
  <c r="E77" i="4"/>
  <c r="EK14" i="2"/>
  <c r="F77" i="4"/>
  <c r="C72" i="15"/>
  <c r="C98" s="1"/>
  <c r="G98" s="1"/>
  <c r="E75"/>
  <c r="C71" i="16"/>
  <c r="F72"/>
  <c r="E72"/>
  <c r="C82" i="17"/>
  <c r="E82" s="1"/>
  <c r="F83"/>
  <c r="E83"/>
  <c r="E77" i="18"/>
  <c r="C73"/>
  <c r="F77"/>
  <c r="E64"/>
  <c r="C57"/>
  <c r="F64"/>
  <c r="C74" i="19"/>
  <c r="C95" s="1"/>
  <c r="F77"/>
  <c r="H11" i="1"/>
  <c r="D101" i="6"/>
  <c r="F93" i="9"/>
  <c r="E89" i="10"/>
  <c r="EV23" i="2"/>
  <c r="F65" i="5"/>
  <c r="E32" i="18"/>
  <c r="CK18" i="2"/>
  <c r="G13" i="1"/>
  <c r="BF14" i="2"/>
  <c r="E31" i="4"/>
  <c r="D25"/>
  <c r="E5" i="5"/>
  <c r="F5"/>
  <c r="ET16" i="2"/>
  <c r="E97" i="6"/>
  <c r="E14"/>
  <c r="D4"/>
  <c r="F14"/>
  <c r="EQ19" i="2"/>
  <c r="E93" i="9"/>
  <c r="EE19" i="2"/>
  <c r="C103" i="9"/>
  <c r="F95" i="10"/>
  <c r="EU20" i="2"/>
  <c r="E95" i="10"/>
  <c r="E56"/>
  <c r="F36" i="11"/>
  <c r="BQ21" i="2"/>
  <c r="BS21" s="1"/>
  <c r="E36" i="11"/>
  <c r="E37" i="15"/>
  <c r="BQ25" i="2"/>
  <c r="F37" i="15"/>
  <c r="EB28" i="2"/>
  <c r="F67" i="18"/>
  <c r="ET29" i="2"/>
  <c r="EV29" s="1"/>
  <c r="F91" i="19"/>
  <c r="F35" i="1"/>
  <c r="E12" i="11"/>
  <c r="F12"/>
  <c r="CQ21" i="2"/>
  <c r="EE15"/>
  <c r="F73" i="5"/>
  <c r="D99" i="17"/>
  <c r="E65"/>
  <c r="F65"/>
  <c r="F76" i="16"/>
  <c r="E76"/>
  <c r="EI26" i="2"/>
  <c r="E53" i="19"/>
  <c r="F53"/>
  <c r="E82" i="18"/>
  <c r="EL28" i="2"/>
  <c r="EM28" s="1"/>
  <c r="F82" i="18"/>
  <c r="F39" i="4"/>
  <c r="E76" i="6"/>
  <c r="C73"/>
  <c r="F76"/>
  <c r="E73" i="7"/>
  <c r="F73"/>
  <c r="F79"/>
  <c r="C76"/>
  <c r="CR31" i="2"/>
  <c r="CR35" s="1"/>
  <c r="CT19"/>
  <c r="F73" i="17"/>
  <c r="CN28" i="2"/>
  <c r="F31" i="8"/>
  <c r="E17" i="9"/>
  <c r="F31" i="11"/>
  <c r="F89" i="12"/>
  <c r="C96" i="13"/>
  <c r="F88" i="14"/>
  <c r="C25"/>
  <c r="E14" i="16"/>
  <c r="D103" i="9"/>
  <c r="ES22" i="2"/>
  <c r="DK16"/>
  <c r="DX16"/>
  <c r="F19" i="1"/>
  <c r="F7"/>
  <c r="EH15" i="2"/>
  <c r="F78" i="5"/>
  <c r="E78"/>
  <c r="E14" i="7"/>
  <c r="F14"/>
  <c r="AY18" i="2"/>
  <c r="F29" i="8"/>
  <c r="E29"/>
  <c r="E83" i="9"/>
  <c r="F83"/>
  <c r="EL19" i="2"/>
  <c r="F12" i="10"/>
  <c r="C4"/>
  <c r="F64" i="11"/>
  <c r="E20"/>
  <c r="F20"/>
  <c r="E5"/>
  <c r="F5"/>
  <c r="F17" i="12"/>
  <c r="C4"/>
  <c r="E17"/>
  <c r="F81" i="13"/>
  <c r="EO23" i="2"/>
  <c r="EP23" s="1"/>
  <c r="E81" i="13"/>
  <c r="EE23" i="2"/>
  <c r="F70" i="13"/>
  <c r="F56" i="14"/>
  <c r="E56"/>
  <c r="E12"/>
  <c r="D4"/>
  <c r="EL27" i="2"/>
  <c r="D4" i="17"/>
  <c r="F14"/>
  <c r="E14"/>
  <c r="F30" i="18"/>
  <c r="E30"/>
  <c r="C25"/>
  <c r="E14" i="19"/>
  <c r="F14"/>
  <c r="F73" i="9"/>
  <c r="EF19" i="2"/>
  <c r="E52" i="4"/>
  <c r="F52"/>
  <c r="DK20" i="2"/>
  <c r="DR20"/>
  <c r="DO14"/>
  <c r="DK14"/>
  <c r="F35" i="12"/>
  <c r="E35"/>
  <c r="E38" i="13"/>
  <c r="F38"/>
  <c r="E7" i="5"/>
  <c r="F7"/>
  <c r="EB27" i="2"/>
  <c r="F67" i="17"/>
  <c r="E13" i="7"/>
  <c r="Y17" i="2"/>
  <c r="F13" i="7"/>
  <c r="Y19" i="2"/>
  <c r="G19" s="1"/>
  <c r="E13" i="9"/>
  <c r="D12"/>
  <c r="F95" i="8"/>
  <c r="CE23" i="2"/>
  <c r="K22"/>
  <c r="F22"/>
  <c r="E17" i="5"/>
  <c r="F17"/>
  <c r="E63" i="7"/>
  <c r="F63"/>
  <c r="F84" i="8"/>
  <c r="E84"/>
  <c r="EO18" i="2"/>
  <c r="E29" i="9"/>
  <c r="F29"/>
  <c r="EF20" i="2"/>
  <c r="F14" i="12"/>
  <c r="D4"/>
  <c r="E29" i="13"/>
  <c r="F29"/>
  <c r="E94" i="14"/>
  <c r="F94"/>
  <c r="ET24" i="2"/>
  <c r="EV24" s="1"/>
  <c r="E14" i="14"/>
  <c r="F14"/>
  <c r="E84" i="17"/>
  <c r="EN27" i="2"/>
  <c r="EP27" s="1"/>
  <c r="E78" i="18"/>
  <c r="EH28" i="2"/>
  <c r="EJ28" s="1"/>
  <c r="F78" i="18"/>
  <c r="E80" i="19"/>
  <c r="F80"/>
  <c r="EB29" i="2"/>
  <c r="ED29" s="1"/>
  <c r="E63" i="19"/>
  <c r="F63"/>
  <c r="C4"/>
  <c r="F5"/>
  <c r="F64" i="10"/>
  <c r="EF17" i="2"/>
  <c r="EC14"/>
  <c r="F62" i="4"/>
  <c r="E62"/>
  <c r="CI31" i="2"/>
  <c r="CI35" s="1"/>
  <c r="CK16"/>
  <c r="CW14"/>
  <c r="CV31"/>
  <c r="F74" i="10"/>
  <c r="C72"/>
  <c r="EE20" i="2" s="1"/>
  <c r="F73" i="11"/>
  <c r="C72"/>
  <c r="C81"/>
  <c r="E82"/>
  <c r="E71" i="13"/>
  <c r="F71"/>
  <c r="C72" i="14"/>
  <c r="F75"/>
  <c r="F99" i="9"/>
  <c r="D25" i="7"/>
  <c r="BA21" i="2"/>
  <c r="BA15"/>
  <c r="EM23"/>
  <c r="EP28"/>
  <c r="CK26"/>
  <c r="DO25"/>
  <c r="EA24"/>
  <c r="DR21"/>
  <c r="AL21"/>
  <c r="DX20"/>
  <c r="K20"/>
  <c r="AF19"/>
  <c r="AF18"/>
  <c r="N18"/>
  <c r="CN17"/>
  <c r="Q17"/>
  <c r="AR26"/>
  <c r="H29" i="1"/>
  <c r="DJ29" i="2"/>
  <c r="CH29"/>
  <c r="N29"/>
  <c r="DU28"/>
  <c r="DU27"/>
  <c r="DO27"/>
  <c r="AC27"/>
  <c r="DR26"/>
  <c r="BG26"/>
  <c r="DR25"/>
  <c r="BG25"/>
  <c r="T25"/>
  <c r="CN25"/>
  <c r="ED24"/>
  <c r="EJ23"/>
  <c r="Q23"/>
  <c r="EV22"/>
  <c r="DU22"/>
  <c r="AI22"/>
  <c r="AC20"/>
  <c r="CE19"/>
  <c r="T19"/>
  <c r="U31"/>
  <c r="U34" s="1"/>
  <c r="U35" s="1"/>
  <c r="CH17"/>
  <c r="BG17"/>
  <c r="W17"/>
  <c r="DO16"/>
  <c r="W14"/>
  <c r="Q14"/>
  <c r="BS20"/>
  <c r="H17" i="1"/>
  <c r="DX29" i="2"/>
  <c r="CE29"/>
  <c r="DK28"/>
  <c r="CH28"/>
  <c r="T28"/>
  <c r="Q28"/>
  <c r="EJ27"/>
  <c r="DR27"/>
  <c r="DU26"/>
  <c r="CH26"/>
  <c r="BG24"/>
  <c r="DX22"/>
  <c r="ES21"/>
  <c r="DO21"/>
  <c r="CH21"/>
  <c r="CE21"/>
  <c r="BG20"/>
  <c r="T20"/>
  <c r="DR19"/>
  <c r="W19"/>
  <c r="CQ18"/>
  <c r="DJ17"/>
  <c r="CD31"/>
  <c r="BG16"/>
  <c r="EA14"/>
  <c r="DU14"/>
  <c r="N14"/>
  <c r="AR15"/>
  <c r="CT26"/>
  <c r="AR27"/>
  <c r="E11" i="1"/>
  <c r="BH33" i="2"/>
  <c r="BH34"/>
  <c r="BH35" s="1"/>
  <c r="BJ31"/>
  <c r="DE34"/>
  <c r="DE35" s="1"/>
  <c r="DE33"/>
  <c r="DJ28"/>
  <c r="DJ27"/>
  <c r="DW31"/>
  <c r="DW35" s="1"/>
  <c r="AH31"/>
  <c r="AH35" s="1"/>
  <c r="EG18"/>
  <c r="DK27"/>
  <c r="DJ21"/>
  <c r="D39" i="16" l="1"/>
  <c r="D50" s="1"/>
  <c r="CD33" i="2"/>
  <c r="CD35"/>
  <c r="AB33"/>
  <c r="AB35"/>
  <c r="S33"/>
  <c r="S35"/>
  <c r="M33"/>
  <c r="M35"/>
  <c r="I10" i="1"/>
  <c r="C10" s="1"/>
  <c r="AD35" i="2"/>
  <c r="CL33"/>
  <c r="CL35"/>
  <c r="I12" i="1"/>
  <c r="C12" s="1"/>
  <c r="AG35" i="2"/>
  <c r="DQ33"/>
  <c r="DQ35"/>
  <c r="J38" i="1"/>
  <c r="ER35" i="2"/>
  <c r="DV33"/>
  <c r="DV35"/>
  <c r="P33"/>
  <c r="P35"/>
  <c r="AQ33"/>
  <c r="AQ35"/>
  <c r="G18"/>
  <c r="D18" s="1"/>
  <c r="AT31"/>
  <c r="AT35" s="1"/>
  <c r="C40" i="5"/>
  <c r="C52" s="1"/>
  <c r="C53" s="1"/>
  <c r="X33" i="2"/>
  <c r="D40" i="18"/>
  <c r="D52" s="1"/>
  <c r="J33" i="2"/>
  <c r="BS15"/>
  <c r="G15"/>
  <c r="D15" s="1"/>
  <c r="CB29"/>
  <c r="D49" i="19"/>
  <c r="E25" i="15"/>
  <c r="ED26" i="2"/>
  <c r="BN31"/>
  <c r="E25" i="5"/>
  <c r="E4" i="13"/>
  <c r="CZ34" i="2"/>
  <c r="CZ35" s="1"/>
  <c r="C25" i="16"/>
  <c r="E25" s="1"/>
  <c r="BS26" i="2"/>
  <c r="F4" i="16"/>
  <c r="E36"/>
  <c r="F36"/>
  <c r="E4" i="10"/>
  <c r="D39"/>
  <c r="D51" s="1"/>
  <c r="F17" i="2"/>
  <c r="C17" s="1"/>
  <c r="BP15"/>
  <c r="CB18"/>
  <c r="CB23"/>
  <c r="E4" i="16"/>
  <c r="C40" i="14"/>
  <c r="C51" s="1"/>
  <c r="G51" s="1"/>
  <c r="F4" i="13"/>
  <c r="E25" i="12"/>
  <c r="E71" i="7"/>
  <c r="C40" i="6"/>
  <c r="C52" s="1"/>
  <c r="G16" i="2"/>
  <c r="D16" s="1"/>
  <c r="BO31"/>
  <c r="BO35" s="1"/>
  <c r="E4" i="5"/>
  <c r="F4" i="4"/>
  <c r="D37"/>
  <c r="D47" s="1"/>
  <c r="DG20" i="2"/>
  <c r="DL23"/>
  <c r="DL19"/>
  <c r="BM31"/>
  <c r="BM33" s="1"/>
  <c r="DY31"/>
  <c r="ES26"/>
  <c r="D40" i="14"/>
  <c r="AL31" i="2"/>
  <c r="AL35" s="1"/>
  <c r="DL24"/>
  <c r="H20"/>
  <c r="C19"/>
  <c r="BL34"/>
  <c r="BL35" s="1"/>
  <c r="F98" i="8"/>
  <c r="CB16" i="2"/>
  <c r="DG14"/>
  <c r="H31" i="1"/>
  <c r="BK34" i="2"/>
  <c r="BK35" s="1"/>
  <c r="C16"/>
  <c r="CB19"/>
  <c r="C28"/>
  <c r="AZ31"/>
  <c r="E4" i="11"/>
  <c r="F25" i="9"/>
  <c r="F71" i="7"/>
  <c r="E25" i="6"/>
  <c r="F4" i="5"/>
  <c r="C23" i="2"/>
  <c r="E25" i="19"/>
  <c r="DL29" i="2"/>
  <c r="C37" i="17"/>
  <c r="C52" s="1"/>
  <c r="G52" s="1"/>
  <c r="DL26" i="2"/>
  <c r="BA25"/>
  <c r="F25" i="15"/>
  <c r="DH22" i="2"/>
  <c r="F25" i="12"/>
  <c r="F4" i="11"/>
  <c r="AJ33" i="2"/>
  <c r="I13" i="1"/>
  <c r="C13" s="1"/>
  <c r="F101" i="5"/>
  <c r="E4" i="4"/>
  <c r="F94"/>
  <c r="CB26" i="2"/>
  <c r="DL18"/>
  <c r="DL15"/>
  <c r="F25" i="19"/>
  <c r="BG29" i="2"/>
  <c r="C26"/>
  <c r="DH25"/>
  <c r="CB25"/>
  <c r="O33"/>
  <c r="F24"/>
  <c r="C24" s="1"/>
  <c r="CB24"/>
  <c r="G22"/>
  <c r="H22" s="1"/>
  <c r="C40" i="12"/>
  <c r="C51" s="1"/>
  <c r="C39" i="11"/>
  <c r="C51" s="1"/>
  <c r="CF33" i="2"/>
  <c r="CB17"/>
  <c r="C39" i="7"/>
  <c r="C50" s="1"/>
  <c r="DL17" i="2"/>
  <c r="F25" i="6"/>
  <c r="AO31" i="2"/>
  <c r="AD33"/>
  <c r="AN34"/>
  <c r="AN35" s="1"/>
  <c r="V33"/>
  <c r="E101" i="5"/>
  <c r="ER33" i="2"/>
  <c r="C15"/>
  <c r="AA33"/>
  <c r="I6" i="1"/>
  <c r="C6" s="1"/>
  <c r="C37" i="4"/>
  <c r="C47" s="1"/>
  <c r="E94"/>
  <c r="I8" i="1"/>
  <c r="C8" s="1"/>
  <c r="DH15" i="2"/>
  <c r="CB20"/>
  <c r="C22"/>
  <c r="CB14"/>
  <c r="AG33"/>
  <c r="D28"/>
  <c r="H28"/>
  <c r="CB27"/>
  <c r="F4" i="15"/>
  <c r="CO33" i="2"/>
  <c r="DT34"/>
  <c r="DT35" s="1"/>
  <c r="CB28"/>
  <c r="E89" i="18"/>
  <c r="BZ31" i="2"/>
  <c r="BZ35" s="1"/>
  <c r="DU31"/>
  <c r="DU33" s="1"/>
  <c r="I33"/>
  <c r="D27"/>
  <c r="DO31"/>
  <c r="CQ31"/>
  <c r="CP33"/>
  <c r="DS33"/>
  <c r="CC33"/>
  <c r="I5" i="1"/>
  <c r="C5" s="1"/>
  <c r="L33" i="2"/>
  <c r="N31"/>
  <c r="G4" i="1"/>
  <c r="G26" i="2"/>
  <c r="D26" s="1"/>
  <c r="AF31"/>
  <c r="AE33"/>
  <c r="J10" i="1"/>
  <c r="D10" s="1"/>
  <c r="DR31" i="2"/>
  <c r="DR33" s="1"/>
  <c r="E4" i="15"/>
  <c r="D40"/>
  <c r="D51" s="1"/>
  <c r="DP33" i="2"/>
  <c r="DL25"/>
  <c r="D29"/>
  <c r="EX29" s="1"/>
  <c r="J25" i="1"/>
  <c r="D25" s="1"/>
  <c r="CS33" i="2"/>
  <c r="AM33"/>
  <c r="DH16"/>
  <c r="ED28"/>
  <c r="F25" i="10"/>
  <c r="D25" i="2"/>
  <c r="DN33"/>
  <c r="AP31"/>
  <c r="H34" i="1"/>
  <c r="D34"/>
  <c r="E34" s="1"/>
  <c r="K31" i="2"/>
  <c r="BQ31"/>
  <c r="BQ33" s="1"/>
  <c r="DG18"/>
  <c r="D39" i="11"/>
  <c r="D51" s="1"/>
  <c r="DG23" i="2"/>
  <c r="J5" i="1"/>
  <c r="D5" s="1"/>
  <c r="C37" i="13"/>
  <c r="C49" s="1"/>
  <c r="DM33" i="2"/>
  <c r="E98" i="8"/>
  <c r="F29" i="2"/>
  <c r="C29" s="1"/>
  <c r="D20"/>
  <c r="Q31"/>
  <c r="R33"/>
  <c r="D24"/>
  <c r="I7" i="1"/>
  <c r="E25" i="9"/>
  <c r="EM18" i="2"/>
  <c r="C20"/>
  <c r="CJ33"/>
  <c r="AS33"/>
  <c r="C14"/>
  <c r="J6" i="1"/>
  <c r="D6" s="1"/>
  <c r="CM33" i="2"/>
  <c r="Z19"/>
  <c r="DG22"/>
  <c r="DL16"/>
  <c r="U33"/>
  <c r="DH28"/>
  <c r="EN31"/>
  <c r="BS28"/>
  <c r="C40" i="15"/>
  <c r="DL22" i="2"/>
  <c r="EG19"/>
  <c r="D40" i="5"/>
  <c r="T31" i="2"/>
  <c r="F99" i="12"/>
  <c r="E99"/>
  <c r="CH31" i="2"/>
  <c r="DK31"/>
  <c r="CG33"/>
  <c r="AK34"/>
  <c r="AK35" s="1"/>
  <c r="J13" i="1"/>
  <c r="D13" s="1"/>
  <c r="AK33" i="2"/>
  <c r="AX33"/>
  <c r="AX34"/>
  <c r="AX35" s="1"/>
  <c r="F25" i="5"/>
  <c r="CN31" i="2"/>
  <c r="C40" i="18"/>
  <c r="AC31" i="2"/>
  <c r="J8" i="1"/>
  <c r="W31" i="2"/>
  <c r="CE31"/>
  <c r="AU18"/>
  <c r="DH20"/>
  <c r="DB33"/>
  <c r="DC31"/>
  <c r="DB34"/>
  <c r="DB35" s="1"/>
  <c r="CB15"/>
  <c r="F4" i="18"/>
  <c r="E4"/>
  <c r="DZ33" i="2"/>
  <c r="J30" i="1"/>
  <c r="D30" s="1"/>
  <c r="DL28" i="2"/>
  <c r="E25" i="18"/>
  <c r="E25" i="10"/>
  <c r="C39" i="9"/>
  <c r="BE33" i="2"/>
  <c r="I18" i="1"/>
  <c r="C18" s="1"/>
  <c r="E72" i="10"/>
  <c r="F21" i="2"/>
  <c r="C27"/>
  <c r="H27"/>
  <c r="EE24"/>
  <c r="E72" i="14"/>
  <c r="F72"/>
  <c r="C98"/>
  <c r="G98" s="1"/>
  <c r="EK21" i="2"/>
  <c r="EM21" s="1"/>
  <c r="F81" i="11"/>
  <c r="E81"/>
  <c r="DH14" i="2"/>
  <c r="DL14"/>
  <c r="EE16"/>
  <c r="C101" i="6"/>
  <c r="E73"/>
  <c r="EV16" i="2"/>
  <c r="ET31"/>
  <c r="F73" i="18"/>
  <c r="E73"/>
  <c r="EE28" i="2"/>
  <c r="EG28" s="1"/>
  <c r="F25" i="7"/>
  <c r="E25"/>
  <c r="F72" i="11"/>
  <c r="E72"/>
  <c r="EE21" i="2"/>
  <c r="EG21" s="1"/>
  <c r="C98" i="11"/>
  <c r="CV33" i="2"/>
  <c r="CW31"/>
  <c r="CV34"/>
  <c r="CV35" s="1"/>
  <c r="E4" i="12"/>
  <c r="D40"/>
  <c r="F4"/>
  <c r="F12" i="9"/>
  <c r="E12"/>
  <c r="D4"/>
  <c r="Y31" i="2"/>
  <c r="Y35" s="1"/>
  <c r="G17"/>
  <c r="Z17"/>
  <c r="F4" i="10"/>
  <c r="C39"/>
  <c r="EJ15" i="2"/>
  <c r="C19" i="1"/>
  <c r="F14"/>
  <c r="EG15" i="2"/>
  <c r="DG15"/>
  <c r="E4" i="6"/>
  <c r="D40"/>
  <c r="F4"/>
  <c r="G14" i="2"/>
  <c r="BG14"/>
  <c r="BF31"/>
  <c r="BF35" s="1"/>
  <c r="F57" i="18"/>
  <c r="E57"/>
  <c r="C99"/>
  <c r="G99" s="1"/>
  <c r="EE25" i="2"/>
  <c r="E72" i="15"/>
  <c r="F72"/>
  <c r="ED21" i="2"/>
  <c r="DH21"/>
  <c r="ED19"/>
  <c r="DH19"/>
  <c r="E25" i="11"/>
  <c r="F25"/>
  <c r="EJ20" i="2"/>
  <c r="EI31"/>
  <c r="EI35" s="1"/>
  <c r="EG23"/>
  <c r="EG20"/>
  <c r="F96" i="13"/>
  <c r="EB31" i="2"/>
  <c r="EB35" s="1"/>
  <c r="DG19"/>
  <c r="ED27"/>
  <c r="CI33"/>
  <c r="CK31"/>
  <c r="DH17"/>
  <c r="EG17"/>
  <c r="EF31"/>
  <c r="EF35" s="1"/>
  <c r="EO31"/>
  <c r="EO35" s="1"/>
  <c r="EP18"/>
  <c r="BA18"/>
  <c r="AY31"/>
  <c r="AY35" s="1"/>
  <c r="F18"/>
  <c r="C35" i="1"/>
  <c r="E35" s="1"/>
  <c r="F28"/>
  <c r="H35"/>
  <c r="F4"/>
  <c r="H5"/>
  <c r="ED14" i="2"/>
  <c r="EC31"/>
  <c r="EC35" s="1"/>
  <c r="D19"/>
  <c r="H19"/>
  <c r="D4" i="7"/>
  <c r="F12"/>
  <c r="E12"/>
  <c r="D37" i="17"/>
  <c r="F4"/>
  <c r="E4"/>
  <c r="E4" i="14"/>
  <c r="F4"/>
  <c r="EM19" i="2"/>
  <c r="EL31"/>
  <c r="EL35" s="1"/>
  <c r="F103" i="9"/>
  <c r="E103"/>
  <c r="E76" i="7"/>
  <c r="F76"/>
  <c r="C97"/>
  <c r="EH17" i="2"/>
  <c r="EJ17" s="1"/>
  <c r="ES19"/>
  <c r="EQ31"/>
  <c r="EQ35" s="1"/>
  <c r="F25" i="4"/>
  <c r="E25"/>
  <c r="F74" i="19"/>
  <c r="EH29" i="2"/>
  <c r="E74" i="19"/>
  <c r="F95"/>
  <c r="EE26" i="2"/>
  <c r="F71" i="16"/>
  <c r="C97"/>
  <c r="G97" s="1"/>
  <c r="E71"/>
  <c r="EM14" i="2"/>
  <c r="E25" i="8"/>
  <c r="F25"/>
  <c r="F25" i="17"/>
  <c r="E25"/>
  <c r="G23" i="2"/>
  <c r="BR31"/>
  <c r="BR35" s="1"/>
  <c r="D39" i="8"/>
  <c r="F4"/>
  <c r="E4"/>
  <c r="D39" i="1"/>
  <c r="H39"/>
  <c r="G28"/>
  <c r="E96" i="13"/>
  <c r="F72" i="10"/>
  <c r="C99"/>
  <c r="E99" s="1"/>
  <c r="F25" i="18"/>
  <c r="DL20" i="2"/>
  <c r="C39" i="8"/>
  <c r="C51" s="1"/>
  <c r="G51" s="1"/>
  <c r="D37" i="13"/>
  <c r="F25"/>
  <c r="E25"/>
  <c r="CB21" i="2"/>
  <c r="D21"/>
  <c r="EK27"/>
  <c r="DG27" s="1"/>
  <c r="C99" i="17"/>
  <c r="D16" i="1"/>
  <c r="E16" s="1"/>
  <c r="G14"/>
  <c r="H16"/>
  <c r="E4" i="19"/>
  <c r="C37"/>
  <c r="C48" s="1"/>
  <c r="F4"/>
  <c r="H7" i="1"/>
  <c r="F25" i="14"/>
  <c r="E25"/>
  <c r="I25" i="1"/>
  <c r="CR33" i="2"/>
  <c r="CT31"/>
  <c r="E38" i="4"/>
  <c r="F38"/>
  <c r="EJ26" i="2"/>
  <c r="DH26"/>
  <c r="F25"/>
  <c r="BS25"/>
  <c r="EV20"/>
  <c r="EU31"/>
  <c r="BB34"/>
  <c r="BB35" s="1"/>
  <c r="BB33"/>
  <c r="BD31"/>
  <c r="F73" i="6"/>
  <c r="F82" i="17"/>
  <c r="DH23" i="2"/>
  <c r="DH18"/>
  <c r="DL21"/>
  <c r="CB22"/>
  <c r="CA31"/>
  <c r="CA35" s="1"/>
  <c r="BJ33"/>
  <c r="BJ34"/>
  <c r="BJ35" s="1"/>
  <c r="DX31"/>
  <c r="DW33"/>
  <c r="DH27"/>
  <c r="DL27"/>
  <c r="AH33"/>
  <c r="J12" i="1"/>
  <c r="AI31" i="2"/>
  <c r="DJ31"/>
  <c r="DJ35" s="1"/>
  <c r="C50" i="13" l="1"/>
  <c r="C52" i="12"/>
  <c r="G51"/>
  <c r="D53" i="18"/>
  <c r="F51" i="11"/>
  <c r="E10" i="1"/>
  <c r="C52" i="8"/>
  <c r="DK33" i="2"/>
  <c r="DK35"/>
  <c r="I15" i="1"/>
  <c r="C15" s="1"/>
  <c r="AP35" i="2"/>
  <c r="AO33"/>
  <c r="AO35"/>
  <c r="J17" i="1"/>
  <c r="D17" s="1"/>
  <c r="AZ35" i="2"/>
  <c r="I30" i="1"/>
  <c r="C30" s="1"/>
  <c r="E30" s="1"/>
  <c r="DY35" i="2"/>
  <c r="I20" i="1"/>
  <c r="C20" s="1"/>
  <c r="BN35" i="2"/>
  <c r="EN33"/>
  <c r="EN35"/>
  <c r="D52" i="15"/>
  <c r="D52" i="11"/>
  <c r="D52" i="10"/>
  <c r="C52" i="9"/>
  <c r="C53" s="1"/>
  <c r="W33" i="2"/>
  <c r="C53" i="17"/>
  <c r="EW23" i="2"/>
  <c r="DG28"/>
  <c r="EW28" s="1"/>
  <c r="F25" i="16"/>
  <c r="BN33" i="2"/>
  <c r="E16"/>
  <c r="EX25"/>
  <c r="E28"/>
  <c r="C39" i="16"/>
  <c r="C50" s="1"/>
  <c r="BM34" i="2"/>
  <c r="BM35" s="1"/>
  <c r="EW20"/>
  <c r="J20" i="1"/>
  <c r="D20" s="1"/>
  <c r="BO33" i="2"/>
  <c r="C53" i="6"/>
  <c r="BP31" i="2"/>
  <c r="H16"/>
  <c r="DI14"/>
  <c r="EW19"/>
  <c r="EA31"/>
  <c r="DY33"/>
  <c r="DG21"/>
  <c r="DI21" s="1"/>
  <c r="EW14"/>
  <c r="AZ33"/>
  <c r="EW22"/>
  <c r="C51" i="7"/>
  <c r="F101" i="6"/>
  <c r="H15" i="2"/>
  <c r="EX16"/>
  <c r="E26"/>
  <c r="H26"/>
  <c r="H24"/>
  <c r="E24"/>
  <c r="D22"/>
  <c r="E22" s="1"/>
  <c r="F39" i="11"/>
  <c r="E6" i="1"/>
  <c r="E37" i="4"/>
  <c r="F37"/>
  <c r="I21" i="1"/>
  <c r="C21" s="1"/>
  <c r="I24"/>
  <c r="I4"/>
  <c r="E27" i="2"/>
  <c r="EX20"/>
  <c r="K8" i="1"/>
  <c r="DI23" i="2"/>
  <c r="D8" i="1"/>
  <c r="E8" s="1"/>
  <c r="EX28" i="2"/>
  <c r="BQ34"/>
  <c r="BQ35" s="1"/>
  <c r="F40" i="18"/>
  <c r="K5" i="1"/>
  <c r="BZ33" i="2"/>
  <c r="C7" i="1"/>
  <c r="C4" s="1"/>
  <c r="EW27" i="2"/>
  <c r="J29" i="1"/>
  <c r="D29" s="1"/>
  <c r="D51" i="16"/>
  <c r="K10" i="1"/>
  <c r="H14"/>
  <c r="AP33" i="2"/>
  <c r="AR31"/>
  <c r="H29"/>
  <c r="EX24"/>
  <c r="E29"/>
  <c r="EX18"/>
  <c r="I37" i="1"/>
  <c r="E39" i="11"/>
  <c r="E101" i="6"/>
  <c r="E40" i="18"/>
  <c r="C52"/>
  <c r="C48" i="4"/>
  <c r="E20" i="2"/>
  <c r="K6" i="1"/>
  <c r="DI20" i="2"/>
  <c r="DI22"/>
  <c r="C51" i="15"/>
  <c r="F40"/>
  <c r="E40"/>
  <c r="D52" i="5"/>
  <c r="G52" s="1"/>
  <c r="E40"/>
  <c r="F40"/>
  <c r="E97" i="7"/>
  <c r="EX21" i="2"/>
  <c r="F97" i="7"/>
  <c r="DC34" i="2"/>
  <c r="DC35" s="1"/>
  <c r="DC33"/>
  <c r="AT33"/>
  <c r="J15" i="1"/>
  <c r="AU31" i="2"/>
  <c r="H28" i="1"/>
  <c r="EK31" i="2"/>
  <c r="E95" i="19"/>
  <c r="DG17" i="2"/>
  <c r="EW17" s="1"/>
  <c r="EM27"/>
  <c r="H21"/>
  <c r="C21"/>
  <c r="E21" s="1"/>
  <c r="F37" i="13"/>
  <c r="D49"/>
  <c r="E37"/>
  <c r="H23" i="2"/>
  <c r="D23"/>
  <c r="F97" i="16"/>
  <c r="E97"/>
  <c r="E4" i="7"/>
  <c r="D39"/>
  <c r="F4"/>
  <c r="H4" i="1"/>
  <c r="F23"/>
  <c r="F27" s="1"/>
  <c r="F43" s="1"/>
  <c r="EI33" i="2"/>
  <c r="J33" i="1"/>
  <c r="F98" i="15"/>
  <c r="E98"/>
  <c r="F99" i="18"/>
  <c r="E99"/>
  <c r="D17" i="2"/>
  <c r="H17"/>
  <c r="ET33"/>
  <c r="ET34"/>
  <c r="ET35" s="1"/>
  <c r="I41" i="1"/>
  <c r="DG16" i="2"/>
  <c r="EG16"/>
  <c r="EE31"/>
  <c r="EE35" s="1"/>
  <c r="E98" i="14"/>
  <c r="F98"/>
  <c r="F47" i="4"/>
  <c r="E47"/>
  <c r="D48"/>
  <c r="BD34" i="2"/>
  <c r="BD35" s="1"/>
  <c r="BD33"/>
  <c r="E37" i="19"/>
  <c r="F37"/>
  <c r="E39" i="1"/>
  <c r="J21"/>
  <c r="D21" s="1"/>
  <c r="BR33" i="2"/>
  <c r="BS31"/>
  <c r="EQ33"/>
  <c r="I38" i="1"/>
  <c r="ES31" i="2"/>
  <c r="EC33"/>
  <c r="J31" i="1"/>
  <c r="D31" s="1"/>
  <c r="ED31" i="2"/>
  <c r="BA31"/>
  <c r="AY33"/>
  <c r="I17" i="1"/>
  <c r="J32"/>
  <c r="EF33" i="2"/>
  <c r="I31" i="1"/>
  <c r="C31" s="1"/>
  <c r="EB33" i="2"/>
  <c r="EG25"/>
  <c r="DG25"/>
  <c r="DI25" s="1"/>
  <c r="J18" i="1"/>
  <c r="BF33" i="2"/>
  <c r="BG31"/>
  <c r="BG33" s="1"/>
  <c r="E40" i="6"/>
  <c r="F40"/>
  <c r="D52"/>
  <c r="E15" i="2"/>
  <c r="EX15"/>
  <c r="E98" i="11"/>
  <c r="F98"/>
  <c r="EG24" i="2"/>
  <c r="DG24"/>
  <c r="DI19"/>
  <c r="F99" i="10"/>
  <c r="G23" i="1"/>
  <c r="E5"/>
  <c r="DI18" i="2"/>
  <c r="EH31"/>
  <c r="EH35" s="1"/>
  <c r="C52" i="11"/>
  <c r="E51"/>
  <c r="J41" i="1"/>
  <c r="EU34" i="2"/>
  <c r="EU35" s="1"/>
  <c r="EV31"/>
  <c r="EU33"/>
  <c r="EX26"/>
  <c r="F39" i="8"/>
  <c r="D51"/>
  <c r="E39"/>
  <c r="DG26" i="2"/>
  <c r="EW26" s="1"/>
  <c r="EG26"/>
  <c r="J36" i="1"/>
  <c r="EL33" i="2"/>
  <c r="E19"/>
  <c r="EX19"/>
  <c r="C18"/>
  <c r="H18"/>
  <c r="F31"/>
  <c r="F35" s="1"/>
  <c r="EO33"/>
  <c r="J37" i="1"/>
  <c r="EP31" i="2"/>
  <c r="E4" i="9"/>
  <c r="F4"/>
  <c r="D39"/>
  <c r="F40" i="12"/>
  <c r="D51"/>
  <c r="H51" s="1"/>
  <c r="E40"/>
  <c r="E99" i="17"/>
  <c r="H25" i="2"/>
  <c r="C25"/>
  <c r="K25" i="1"/>
  <c r="C25"/>
  <c r="E25" s="1"/>
  <c r="EJ29" i="2"/>
  <c r="DG29"/>
  <c r="F40" i="14"/>
  <c r="D51"/>
  <c r="H51" s="1"/>
  <c r="E40"/>
  <c r="D52" i="17"/>
  <c r="H52" s="1"/>
  <c r="E37"/>
  <c r="F37"/>
  <c r="H14" i="2"/>
  <c r="G31"/>
  <c r="G35" s="1"/>
  <c r="D14"/>
  <c r="EW15"/>
  <c r="DI15"/>
  <c r="C51" i="10"/>
  <c r="F39"/>
  <c r="E39"/>
  <c r="J7" i="1"/>
  <c r="J4" s="1"/>
  <c r="Y33" i="2"/>
  <c r="Z31"/>
  <c r="CW33"/>
  <c r="F99" i="17"/>
  <c r="C52" i="14"/>
  <c r="I29" i="1"/>
  <c r="C29" s="1"/>
  <c r="DJ33" i="2"/>
  <c r="EX27"/>
  <c r="DI27"/>
  <c r="K12" i="1"/>
  <c r="D12"/>
  <c r="DH31" i="2"/>
  <c r="DH35" s="1"/>
  <c r="DL31"/>
  <c r="CB31"/>
  <c r="J24" i="1"/>
  <c r="CA33" i="2"/>
  <c r="E50" i="16" l="1"/>
  <c r="G50"/>
  <c r="C53" i="18"/>
  <c r="E20" i="1"/>
  <c r="E37"/>
  <c r="K30"/>
  <c r="EM31" i="2"/>
  <c r="EK35"/>
  <c r="C52" i="15"/>
  <c r="E31" i="1"/>
  <c r="E29"/>
  <c r="D28"/>
  <c r="K38"/>
  <c r="DI28" i="2"/>
  <c r="EY28"/>
  <c r="F50" i="16"/>
  <c r="C51"/>
  <c r="F39"/>
  <c r="E39"/>
  <c r="EY20" i="2"/>
  <c r="EY19"/>
  <c r="EX22"/>
  <c r="EY22" s="1"/>
  <c r="DI17"/>
  <c r="D31"/>
  <c r="D35" s="1"/>
  <c r="EY27"/>
  <c r="K29" i="1"/>
  <c r="EK33" i="2"/>
  <c r="E52" i="18"/>
  <c r="F52"/>
  <c r="D53" i="6"/>
  <c r="E51" i="15"/>
  <c r="F51"/>
  <c r="D53" i="5"/>
  <c r="E52"/>
  <c r="F52"/>
  <c r="I36" i="1"/>
  <c r="K36" s="1"/>
  <c r="K15"/>
  <c r="D15"/>
  <c r="E15" s="1"/>
  <c r="EY15" i="2"/>
  <c r="DI26"/>
  <c r="EW21"/>
  <c r="EY21" s="1"/>
  <c r="DG31"/>
  <c r="J28" i="1"/>
  <c r="C17"/>
  <c r="K17"/>
  <c r="I14"/>
  <c r="I32"/>
  <c r="K32" s="1"/>
  <c r="EE33" i="2"/>
  <c r="G33"/>
  <c r="H31"/>
  <c r="EW29"/>
  <c r="EY29" s="1"/>
  <c r="DI29"/>
  <c r="F51" i="12"/>
  <c r="E51"/>
  <c r="D52"/>
  <c r="EX14" i="2"/>
  <c r="E14"/>
  <c r="E51" i="14"/>
  <c r="F51"/>
  <c r="D52"/>
  <c r="E39" i="9"/>
  <c r="D52"/>
  <c r="F39"/>
  <c r="E23" i="2"/>
  <c r="EX23"/>
  <c r="EY23" s="1"/>
  <c r="EG31"/>
  <c r="K31" i="1"/>
  <c r="F39" i="7"/>
  <c r="D50"/>
  <c r="E39"/>
  <c r="I33" i="1"/>
  <c r="K33" s="1"/>
  <c r="EH33" i="2"/>
  <c r="EX17"/>
  <c r="EY17" s="1"/>
  <c r="E17"/>
  <c r="D50" i="13"/>
  <c r="E49"/>
  <c r="F49"/>
  <c r="D7" i="1"/>
  <c r="E7" s="1"/>
  <c r="K7"/>
  <c r="F33" i="2"/>
  <c r="F51" i="8"/>
  <c r="D52"/>
  <c r="E51"/>
  <c r="E52" i="6"/>
  <c r="F52"/>
  <c r="C52" i="10"/>
  <c r="E51"/>
  <c r="F51"/>
  <c r="D53" i="17"/>
  <c r="F52"/>
  <c r="E52"/>
  <c r="EW25" i="2"/>
  <c r="EY25" s="1"/>
  <c r="E25"/>
  <c r="EW18"/>
  <c r="EY18" s="1"/>
  <c r="E18"/>
  <c r="C31"/>
  <c r="C35" s="1"/>
  <c r="G27" i="1"/>
  <c r="H23"/>
  <c r="DI24" i="2"/>
  <c r="EW24"/>
  <c r="EY24" s="1"/>
  <c r="J14" i="1"/>
  <c r="J23" s="1"/>
  <c r="J27" s="1"/>
  <c r="K18"/>
  <c r="D18"/>
  <c r="E48" i="19"/>
  <c r="C49"/>
  <c r="F48"/>
  <c r="EW16" i="2"/>
  <c r="EY16" s="1"/>
  <c r="DI16"/>
  <c r="EY26"/>
  <c r="EJ31"/>
  <c r="K4" i="1"/>
  <c r="DH33" i="2"/>
  <c r="E12" i="1"/>
  <c r="K24"/>
  <c r="DI31" i="2" l="1"/>
  <c r="DG35"/>
  <c r="E38" i="1"/>
  <c r="C28"/>
  <c r="E28" s="1"/>
  <c r="E31" i="2"/>
  <c r="D33"/>
  <c r="I28" i="1"/>
  <c r="K28" s="1"/>
  <c r="DG33" i="2"/>
  <c r="EY14"/>
  <c r="EX31"/>
  <c r="EX35" s="1"/>
  <c r="D53" i="9"/>
  <c r="F52"/>
  <c r="E52"/>
  <c r="E18" i="1"/>
  <c r="D14"/>
  <c r="D4"/>
  <c r="E4" s="1"/>
  <c r="K14"/>
  <c r="I23"/>
  <c r="I27" s="1"/>
  <c r="G43"/>
  <c r="H27"/>
  <c r="F50" i="7"/>
  <c r="D51"/>
  <c r="E50"/>
  <c r="EW31" i="2"/>
  <c r="EW35" s="1"/>
  <c r="C33"/>
  <c r="E17" i="1"/>
  <c r="C14"/>
  <c r="C23" s="1"/>
  <c r="C27" s="1"/>
  <c r="J43"/>
  <c r="C43" l="1"/>
  <c r="D23"/>
  <c r="D27" s="1"/>
  <c r="I43"/>
  <c r="F44" s="1"/>
  <c r="F45" s="1"/>
  <c r="E14"/>
  <c r="G44"/>
  <c r="EX33" i="2"/>
  <c r="EY31"/>
  <c r="EW33"/>
  <c r="K27" i="1"/>
  <c r="K23"/>
  <c r="E23" l="1"/>
  <c r="G45"/>
  <c r="C44"/>
  <c r="E27"/>
  <c r="D43"/>
  <c r="D44" s="1"/>
</calcChain>
</file>

<file path=xl/sharedStrings.xml><?xml version="1.0" encoding="utf-8"?>
<sst xmlns="http://schemas.openxmlformats.org/spreadsheetml/2006/main" count="2862" uniqueCount="444">
  <si>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</si>
  <si>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</si>
  <si>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</si>
  <si>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</si>
  <si>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</si>
  <si>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</si>
  <si>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</si>
  <si>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</si>
  <si>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</si>
  <si>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</si>
  <si>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</si>
  <si>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</si>
  <si>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</si>
  <si>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</si>
  <si>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</si>
  <si>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 xml:space="preserve">Д. в. за соверш. преступл, и возмещение ущерба имущ. </t>
  </si>
  <si>
    <t>Денежные взыскания  (штрафы) за нарушения законодательства РФ о размещении заказов на поставки товаров, выполнение работ, оказание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</si>
  <si>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</si>
  <si>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</si>
  <si>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</si>
  <si>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</si>
  <si>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</si>
  <si>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</si>
  <si>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</si>
  <si>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</si>
  <si>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</si>
  <si>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</si>
  <si>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</si>
  <si>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</si>
  <si>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</si>
  <si>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</si>
  <si>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</si>
  <si>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</si>
  <si>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</si>
  <si>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</si>
  <si>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</si>
  <si>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</si>
  <si>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</si>
  <si>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</si>
  <si>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</si>
  <si>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</si>
  <si>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</si>
  <si>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</si>
  <si>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</si>
  <si>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</si>
  <si>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</si>
  <si>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</si>
  <si>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</si>
  <si>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</si>
  <si>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</si>
  <si>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</si>
  <si>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</si>
  <si>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</si>
  <si>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</si>
  <si>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</si>
  <si>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</si>
  <si>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</si>
  <si>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</si>
  <si>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</si>
  <si>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</si>
  <si>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</si>
  <si>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</si>
  <si>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</si>
  <si>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</si>
  <si>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</si>
  <si>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</si>
  <si>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</si>
  <si>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</si>
  <si>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</si>
  <si>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</si>
  <si>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</si>
  <si>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</si>
  <si>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</si>
  <si>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</si>
  <si>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</si>
  <si>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</si>
  <si>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</si>
  <si>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</si>
  <si>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</si>
  <si>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</si>
  <si>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</si>
  <si>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</si>
  <si>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</si>
  <si>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</si>
  <si>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</si>
  <si>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</si>
  <si>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</si>
  <si>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</si>
  <si>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</si>
  <si>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</si>
  <si>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</si>
  <si>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</si>
  <si>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</si>
  <si>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</si>
  <si>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</si>
  <si>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</si>
  <si>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</si>
  <si>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</si>
  <si>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</si>
  <si>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</si>
  <si>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</si>
  <si>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</si>
  <si>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</si>
  <si>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</si>
  <si>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</si>
  <si>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</si>
  <si>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</si>
  <si>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</si>
  <si>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</si>
  <si>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</si>
  <si>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</si>
  <si>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</si>
  <si>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</si>
  <si>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</si>
  <si>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</si>
  <si>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</si>
  <si>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</si>
  <si>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</si>
  <si>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</si>
  <si>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</si>
  <si>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</si>
  <si>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</si>
  <si>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</si>
  <si>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</si>
  <si>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</si>
  <si>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</si>
  <si>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</si>
  <si>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</si>
  <si>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</si>
  <si>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</si>
  <si>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</si>
  <si>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</si>
  <si>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</si>
  <si>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</si>
  <si>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</si>
  <si>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</si>
  <si>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</si>
  <si>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</si>
  <si>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</si>
  <si>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</si>
  <si>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</si>
  <si>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</si>
  <si>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</si>
  <si>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</si>
  <si>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</si>
  <si>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</si>
  <si>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</si>
  <si>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</si>
  <si>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</si>
  <si>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</si>
  <si>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</si>
  <si>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</si>
  <si>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</si>
  <si>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</si>
  <si>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</si>
  <si>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</si>
  <si>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</si>
  <si>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</si>
  <si>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Продажа земли                                          000 114 06014100000 420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</si>
  <si>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</si>
  <si>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</si>
  <si>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</si>
  <si>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</si>
  <si>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</si>
  <si>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</si>
  <si>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</si>
  <si>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</si>
  <si>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</si>
  <si>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</si>
  <si>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</si>
  <si>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</si>
  <si>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</si>
  <si>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</si>
  <si>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</si>
  <si>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</si>
  <si>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</si>
  <si>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</si>
  <si>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</si>
  <si>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</si>
  <si>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</si>
  <si>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</si>
  <si>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</si>
  <si>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</si>
  <si>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</si>
  <si>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</si>
  <si>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</si>
  <si>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</si>
  <si>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</si>
  <si>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</si>
  <si>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</si>
  <si>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</si>
  <si>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</si>
  <si>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</si>
  <si>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</si>
  <si>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</si>
  <si>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</si>
  <si>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</si>
  <si>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</si>
  <si>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</si>
  <si>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</si>
  <si>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</si>
  <si>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</si>
  <si>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</si>
  <si>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</si>
  <si>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</si>
  <si>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</si>
  <si>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</si>
  <si>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</si>
  <si>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</si>
  <si>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</si>
  <si>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</si>
  <si>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</si>
  <si>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</si>
  <si>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</si>
  <si>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</si>
  <si>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</si>
  <si>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</si>
  <si>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</si>
  <si>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</si>
  <si>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</si>
  <si>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</si>
  <si>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</si>
  <si>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</si>
  <si>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</si>
  <si>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</si>
  <si>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</si>
  <si>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</si>
  <si>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</si>
  <si>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</si>
  <si>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</si>
  <si>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</si>
  <si>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</si>
  <si>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</si>
  <si>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</si>
  <si>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</si>
  <si>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</si>
  <si>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Прочие поступления от денежных взысканий и иных сумм от возмещение ущерба</t>
  </si>
  <si>
    <t>Д. в. за наруш. Зак.в области сан.эпидем.благоп.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</si>
  <si>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</si>
  <si>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</si>
  <si>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</si>
  <si>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</si>
  <si>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</si>
  <si>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</si>
  <si>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Ден.взыс. за наруш. закон. о налогах и сборах</t>
  </si>
  <si>
    <t>Д.в. за административные правонарушения</t>
  </si>
  <si>
    <t>Д. в. за наруш. закон. о применении ККМ</t>
  </si>
  <si>
    <t>Штрафы за адм. правонаруш. в обл. рег. произ-ва спирта</t>
  </si>
  <si>
    <t>Д. в. за наруш. ФЗ "О пожарной безопасности"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</si>
  <si>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</si>
  <si>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</si>
  <si>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</si>
  <si>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</si>
  <si>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</si>
  <si>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</si>
  <si>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</si>
  <si>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</si>
  <si>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</si>
  <si>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</si>
  <si>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</si>
  <si>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</si>
  <si>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Д. в. за взыскания  (штрафы) за нарушения законодательства РФ о об адм. Правонар., предусмотренные ст. 20.25 КоАП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</si>
  <si>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</si>
  <si>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</si>
  <si>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</si>
  <si>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</si>
  <si>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</si>
  <si>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</si>
  <si>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Д. в. за наруш. Земельного законодательства</t>
  </si>
  <si>
    <t>Д. в. за правонаруш. В области дорожного движения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</si>
  <si>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</si>
  <si>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</si>
  <si>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</si>
  <si>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</si>
  <si>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</si>
  <si>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</si>
  <si>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</si>
  <si>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</si>
  <si>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</si>
  <si>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</si>
  <si>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</si>
  <si>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</si>
  <si>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</si>
  <si>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</si>
  <si>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</si>
  <si>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</si>
  <si>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</si>
  <si>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</si>
  <si>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</si>
  <si>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</si>
  <si>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</si>
  <si>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</si>
  <si>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</si>
  <si>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</si>
  <si>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</si>
  <si>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</si>
  <si>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</si>
  <si>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</si>
  <si>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</si>
  <si>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</si>
  <si>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</si>
  <si>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</si>
  <si>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</si>
  <si>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</si>
  <si>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</si>
  <si>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</si>
  <si>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</si>
  <si>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</si>
  <si>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</si>
  <si>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</si>
  <si>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</si>
  <si>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</si>
  <si>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</si>
  <si>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</si>
  <si>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</si>
  <si>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</si>
  <si>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</si>
  <si>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</si>
  <si>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</si>
  <si>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</si>
  <si>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</si>
  <si>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</si>
  <si>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</si>
  <si>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</si>
  <si>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</si>
  <si>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</si>
  <si>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</si>
  <si>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</si>
  <si>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</si>
  <si>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</si>
  <si>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Сумма по искам о возмещении вреда</t>
  </si>
  <si>
    <t>% исполнения к плану</t>
  </si>
  <si>
    <t>Д. в. за наруш. закон. Об охране животного мира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</si>
  <si>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</si>
  <si>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</si>
  <si>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</si>
  <si>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</si>
  <si>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</si>
  <si>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</si>
  <si>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</si>
  <si>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</si>
  <si>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Штрафы за нарушение оборота табачной продукции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</si>
  <si>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</si>
  <si>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</si>
  <si>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 xml:space="preserve">Д. в. за наруш.  Земельн закон. 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</si>
  <si>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</si>
  <si>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</si>
  <si>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</si>
  <si>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</si>
  <si>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</si>
  <si>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</si>
  <si>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</si>
  <si>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</si>
  <si>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</si>
  <si>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</si>
  <si>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</si>
  <si>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</si>
  <si>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</si>
  <si>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</si>
  <si>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</si>
  <si>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</si>
  <si>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</si>
  <si>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</si>
  <si>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</si>
  <si>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</si>
  <si>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</si>
  <si>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</si>
  <si>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</si>
  <si>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</si>
  <si>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</si>
  <si>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</si>
  <si>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</si>
  <si>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</si>
  <si>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</si>
  <si>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</si>
  <si>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</si>
  <si>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</si>
  <si>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</si>
  <si>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</si>
  <si>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</si>
  <si>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</si>
  <si>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</si>
  <si>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</si>
  <si>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</si>
  <si>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</si>
  <si>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</si>
  <si>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</si>
  <si>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</si>
  <si>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</si>
  <si>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</si>
  <si>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</si>
  <si>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</si>
  <si>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</si>
  <si>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</si>
  <si>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</si>
  <si>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</si>
  <si>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</si>
  <si>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</si>
  <si>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</si>
  <si>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</si>
  <si>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</si>
  <si>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</si>
  <si>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</si>
  <si>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</si>
  <si>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</si>
  <si>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</si>
  <si>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</si>
  <si>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</si>
  <si>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Другие вопросы </t>
  </si>
  <si>
    <t>Доходы от эксплуатации имущества</t>
  </si>
  <si>
    <t>план на 2019 г.</t>
  </si>
  <si>
    <t>назначено на 2019 г.</t>
  </si>
  <si>
    <t>Водное хозяйство</t>
  </si>
  <si>
    <t>Другие вопросы в облости национальной безопасности</t>
  </si>
  <si>
    <t>Другие вопросы</t>
  </si>
  <si>
    <t>Другие вопросы в области национальной безоапсности</t>
  </si>
  <si>
    <t xml:space="preserve">                          Моргаушского района на 01.05.2019 г. </t>
  </si>
  <si>
    <t xml:space="preserve">                           Анализ исполнения райбюджета</t>
  </si>
  <si>
    <t>Анализ исполнения консолидированного бюджета Моргаушского районана 01.06.2019 г.</t>
  </si>
  <si>
    <t>исполнено на 01.06.2019 г.</t>
  </si>
  <si>
    <t>об исполнении бюджетов поселений  Моргаушского района  на 1 июня 2019 г.</t>
  </si>
  <si>
    <t xml:space="preserve">исполнено на 01.06.2019 г. </t>
  </si>
  <si>
    <t>исполнен на 01.06.2019 г.</t>
  </si>
  <si>
    <t xml:space="preserve">                     Анализ исполнения бюджета Александровского сельского поселения на 01.06.2019 г.</t>
  </si>
  <si>
    <t>исполнено на 01.06.2019 г</t>
  </si>
  <si>
    <t xml:space="preserve">                     Анализ исполнения бюджета Большесундырского сельского поселения на 01.06.2019 г.</t>
  </si>
  <si>
    <t xml:space="preserve">                     Анализ исполнения бюджета Ильинского сельского поселения на 01.06.2019 г.</t>
  </si>
  <si>
    <t xml:space="preserve">                     Анализ исполнения бюджета Кадикасинского сельского поселения на 01.06.2019 г.</t>
  </si>
  <si>
    <t xml:space="preserve">                     Анализ исполнения бюджета Моргаушского сельского поселения на 01.06.2019 г.</t>
  </si>
  <si>
    <t xml:space="preserve">                     Анализ исполнения бюджета Москакасинского сельского поселения на 01.06.2019 г.</t>
  </si>
  <si>
    <t xml:space="preserve">                     Анализ исполнения бюджета Орининского сельского поселения на 01.06.2019 г.</t>
  </si>
  <si>
    <t xml:space="preserve">                     Анализ исполнения бюджета Сятракасинского сельского поселения на 01.06.2019 г.</t>
  </si>
  <si>
    <t xml:space="preserve">                     Анализ исполнения бюджета Тораевского сельского поселения на 01.06.2019 г.</t>
  </si>
  <si>
    <t xml:space="preserve">                     Анализ исполнения бюджета Хорнойского сельского поселения на 01.06.2019 г.</t>
  </si>
  <si>
    <t xml:space="preserve">                     Анализ исполнения бюджета Чуманкасинского сельского поселения на 01.06.2019 г.</t>
  </si>
  <si>
    <t xml:space="preserve">                     Анализ исполнения бюджета Шатьмапосинского сельского поселения на 01.06.2019 г.</t>
  </si>
  <si>
    <t xml:space="preserve">                     Анализ исполнения бюджета Юнгинского сельского поселения на 01.06.2019 г.</t>
  </si>
  <si>
    <t>исполнено на 01.06.2019г.</t>
  </si>
  <si>
    <t xml:space="preserve">                     Анализ исполнения бюджета Юськасинского сельского поселения на 01.06.2019 г.</t>
  </si>
  <si>
    <t xml:space="preserve">                     Анализ исполнения бюджета Ярабайкасинского сельского поселения на 01.06.2019 г.</t>
  </si>
  <si>
    <t xml:space="preserve">                     Анализ исполнения бюджета Ярославского сельского поселения на 01.06.2019 г.</t>
  </si>
  <si>
    <t>Дотация бюджетам по обеспечению сбалансированности бюджетов</t>
  </si>
  <si>
    <t>0401</t>
  </si>
  <si>
    <t>Общеэкономические вопросы</t>
  </si>
</sst>
</file>

<file path=xl/styles.xml><?xml version="1.0" encoding="utf-8"?>
<styleSheet xmlns="http://schemas.openxmlformats.org/spreadsheetml/2006/main">
  <numFmts count="2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#,##0.000"/>
    <numFmt numFmtId="174" formatCode="0.000000"/>
    <numFmt numFmtId="175" formatCode="0.0000"/>
    <numFmt numFmtId="176" formatCode="_(* #,##0.0000_);_(* \(#,##0.0000\);_(* &quot;-&quot;??_);_(@_)"/>
    <numFmt numFmtId="177" formatCode="_(* #,##0.00000_);_(* \(#,##0.00000\);_(* &quot;-&quot;??_);_(@_)"/>
    <numFmt numFmtId="178" formatCode="0.0000000"/>
    <numFmt numFmtId="179" formatCode="_(* #,##0_);_(* \(#,##0\);_(* &quot;-&quot;??_);_(@_)"/>
    <numFmt numFmtId="180" formatCode="#,##0.000000"/>
    <numFmt numFmtId="181" formatCode="_-* #,##0.0000000_р_._-;\-* #,##0.0000000_р_._-;_-* &quot;-&quot;?????_р_._-;_-@_-"/>
    <numFmt numFmtId="182" formatCode="#,##0.00000000"/>
    <numFmt numFmtId="183" formatCode="#,##0.0000"/>
    <numFmt numFmtId="184" formatCode="#,##0.0000000"/>
    <numFmt numFmtId="185" formatCode="_(* #,##0.000000_);_(* \(#,##0.000000\);_(* &quot;-&quot;??_);_(@_)"/>
    <numFmt numFmtId="186" formatCode="0.000"/>
    <numFmt numFmtId="187" formatCode="_(* #,##0.00000000_);_(* \(#,##0.00000000\);_(* &quot;-&quot;??_);_(@_)"/>
    <numFmt numFmtId="188" formatCode="_(* #,##0.000_);_(* \(#,##0.000\);_(* &quot;-&quot;??_);_(@_)"/>
    <numFmt numFmtId="189" formatCode="_-* #,##0.00000\ _₽_-;\-* #,##0.00000\ _₽_-;_-* &quot;-&quot;?????\ _₽_-;_-@_-"/>
  </numFmts>
  <fonts count="39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TimesET"/>
    </font>
    <font>
      <sz val="12"/>
      <name val="TimesET"/>
      <charset val="204"/>
    </font>
    <font>
      <sz val="12"/>
      <color indexed="8"/>
      <name val="Arial Cyr"/>
      <charset val="204"/>
    </font>
    <font>
      <sz val="12"/>
      <color indexed="8"/>
      <name val="TimesET"/>
    </font>
    <font>
      <b/>
      <sz val="12"/>
      <name val="TimesET"/>
    </font>
    <font>
      <b/>
      <sz val="12"/>
      <color indexed="8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 Cyr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527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1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8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3" fillId="0" borderId="1" xfId="11" applyNumberFormat="1" applyFont="1" applyFill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3" fillId="0" borderId="0" xfId="9" applyFont="1"/>
    <xf numFmtId="0" fontId="14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77" fontId="5" fillId="0" borderId="0" xfId="8" applyNumberFormat="1" applyFont="1"/>
    <xf numFmtId="177" fontId="7" fillId="0" borderId="0" xfId="8" applyNumberFormat="1" applyFont="1"/>
    <xf numFmtId="177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1" fontId="5" fillId="0" borderId="0" xfId="8" applyNumberFormat="1" applyFont="1"/>
    <xf numFmtId="175" fontId="3" fillId="0" borderId="0" xfId="9" applyNumberFormat="1" applyFont="1"/>
    <xf numFmtId="176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68" fontId="3" fillId="0" borderId="1" xfId="11" applyNumberFormat="1" applyFont="1" applyBorder="1" applyAlignment="1">
      <alignment horizontal="center" vertical="center" wrapText="1"/>
    </xf>
    <xf numFmtId="177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4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2" fontId="3" fillId="0" borderId="1" xfId="11" applyNumberFormat="1" applyFont="1" applyBorder="1" applyAlignment="1">
      <alignment horizontal="center" vertical="center" wrapText="1"/>
    </xf>
    <xf numFmtId="2" fontId="3" fillId="0" borderId="1" xfId="11" applyNumberFormat="1" applyFont="1" applyFill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8" fontId="5" fillId="0" borderId="0" xfId="9" applyNumberFormat="1" applyFont="1"/>
    <xf numFmtId="0" fontId="16" fillId="3" borderId="0" xfId="0" applyFont="1" applyFill="1"/>
    <xf numFmtId="0" fontId="16" fillId="0" borderId="0" xfId="0" applyFont="1" applyFill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/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3" borderId="0" xfId="0" applyFont="1" applyFill="1"/>
    <xf numFmtId="0" fontId="18" fillId="3" borderId="0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3" borderId="1" xfId="10" applyFont="1" applyFill="1" applyBorder="1" applyAlignment="1">
      <alignment vertical="center" wrapText="1"/>
    </xf>
    <xf numFmtId="0" fontId="20" fillId="3" borderId="1" xfId="10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/>
    <xf numFmtId="167" fontId="18" fillId="3" borderId="1" xfId="0" applyNumberFormat="1" applyFont="1" applyFill="1" applyBorder="1" applyAlignment="1">
      <alignment vertical="center" wrapText="1"/>
    </xf>
    <xf numFmtId="167" fontId="16" fillId="3" borderId="1" xfId="0" applyNumberFormat="1" applyFont="1" applyFill="1" applyBorder="1"/>
    <xf numFmtId="167" fontId="18" fillId="3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 applyAlignment="1">
      <alignment horizontal="right" vertical="center" wrapText="1"/>
    </xf>
    <xf numFmtId="167" fontId="21" fillId="3" borderId="1" xfId="0" applyNumberFormat="1" applyFont="1" applyFill="1" applyBorder="1" applyAlignment="1" applyProtection="1">
      <alignment vertical="center" wrapText="1"/>
      <protection locked="0"/>
    </xf>
    <xf numFmtId="167" fontId="17" fillId="3" borderId="1" xfId="0" applyNumberFormat="1" applyFont="1" applyFill="1" applyBorder="1" applyAlignment="1">
      <alignment vertical="center" wrapText="1"/>
    </xf>
    <xf numFmtId="168" fontId="18" fillId="3" borderId="0" xfId="0" applyNumberFormat="1" applyFont="1" applyFill="1" applyBorder="1"/>
    <xf numFmtId="172" fontId="18" fillId="3" borderId="0" xfId="0" applyNumberFormat="1" applyFont="1" applyFill="1"/>
    <xf numFmtId="0" fontId="20" fillId="0" borderId="1" xfId="10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horizontal="right" vertical="center" wrapText="1"/>
    </xf>
    <xf numFmtId="167" fontId="21" fillId="0" borderId="1" xfId="0" applyNumberFormat="1" applyFont="1" applyFill="1" applyBorder="1" applyAlignment="1" applyProtection="1">
      <alignment vertical="center" wrapText="1"/>
      <protection locked="0"/>
    </xf>
    <xf numFmtId="167" fontId="16" fillId="0" borderId="1" xfId="0" applyNumberFormat="1" applyFont="1" applyFill="1" applyBorder="1"/>
    <xf numFmtId="0" fontId="18" fillId="4" borderId="0" xfId="0" applyFont="1" applyFill="1"/>
    <xf numFmtId="0" fontId="18" fillId="3" borderId="0" xfId="0" applyFont="1" applyFill="1" applyAlignment="1"/>
    <xf numFmtId="0" fontId="19" fillId="3" borderId="3" xfId="10" applyFont="1" applyFill="1" applyBorder="1" applyAlignment="1">
      <alignment vertical="center" wrapText="1"/>
    </xf>
    <xf numFmtId="0" fontId="20" fillId="3" borderId="5" xfId="10" applyFont="1" applyFill="1" applyBorder="1" applyAlignment="1" applyProtection="1">
      <alignment vertical="center" wrapText="1"/>
      <protection locked="0"/>
    </xf>
    <xf numFmtId="180" fontId="18" fillId="3" borderId="1" xfId="0" applyNumberFormat="1" applyFont="1" applyFill="1" applyBorder="1" applyAlignment="1" applyProtection="1">
      <alignment vertical="center" wrapText="1"/>
      <protection locked="0"/>
    </xf>
    <xf numFmtId="4" fontId="18" fillId="3" borderId="0" xfId="0" applyNumberFormat="1" applyFont="1" applyFill="1"/>
    <xf numFmtId="4" fontId="28" fillId="0" borderId="0" xfId="0" applyNumberFormat="1" applyFont="1" applyFill="1"/>
    <xf numFmtId="177" fontId="28" fillId="0" borderId="0" xfId="12" applyNumberFormat="1" applyFont="1" applyFill="1"/>
    <xf numFmtId="167" fontId="16" fillId="0" borderId="0" xfId="0" applyNumberFormat="1" applyFont="1" applyFill="1"/>
    <xf numFmtId="172" fontId="16" fillId="3" borderId="0" xfId="0" applyNumberFormat="1" applyFont="1" applyFill="1"/>
    <xf numFmtId="175" fontId="16" fillId="3" borderId="0" xfId="0" applyNumberFormat="1" applyFont="1" applyFill="1"/>
    <xf numFmtId="168" fontId="16" fillId="3" borderId="0" xfId="0" applyNumberFormat="1" applyFont="1" applyFill="1"/>
    <xf numFmtId="166" fontId="16" fillId="3" borderId="0" xfId="0" applyNumberFormat="1" applyFont="1" applyFill="1"/>
    <xf numFmtId="172" fontId="28" fillId="3" borderId="0" xfId="0" applyNumberFormat="1" applyFont="1" applyFill="1"/>
    <xf numFmtId="167" fontId="16" fillId="3" borderId="0" xfId="0" applyNumberFormat="1" applyFont="1" applyFill="1"/>
    <xf numFmtId="2" fontId="16" fillId="3" borderId="0" xfId="0" applyNumberFormat="1" applyFont="1" applyFill="1"/>
    <xf numFmtId="173" fontId="16" fillId="3" borderId="0" xfId="0" applyNumberFormat="1" applyFont="1" applyFill="1"/>
    <xf numFmtId="166" fontId="16" fillId="3" borderId="0" xfId="1" applyNumberFormat="1" applyFont="1" applyFill="1"/>
    <xf numFmtId="172" fontId="16" fillId="0" borderId="0" xfId="0" applyNumberFormat="1" applyFont="1" applyFill="1"/>
    <xf numFmtId="172" fontId="28" fillId="0" borderId="0" xfId="0" applyNumberFormat="1" applyFont="1" applyFill="1"/>
    <xf numFmtId="182" fontId="16" fillId="3" borderId="0" xfId="0" applyNumberFormat="1" applyFont="1" applyFill="1"/>
    <xf numFmtId="180" fontId="16" fillId="3" borderId="0" xfId="0" applyNumberFormat="1" applyFont="1" applyFill="1"/>
    <xf numFmtId="172" fontId="18" fillId="3" borderId="1" xfId="0" applyNumberFormat="1" applyFont="1" applyFill="1" applyBorder="1" applyAlignment="1">
      <alignment vertical="center" wrapText="1"/>
    </xf>
    <xf numFmtId="0" fontId="19" fillId="5" borderId="1" xfId="10" applyFont="1" applyFill="1" applyBorder="1" applyAlignment="1">
      <alignment vertical="center" wrapText="1"/>
    </xf>
    <xf numFmtId="0" fontId="20" fillId="5" borderId="1" xfId="10" applyFont="1" applyFill="1" applyBorder="1" applyAlignment="1" applyProtection="1">
      <alignment vertical="center" wrapText="1"/>
      <protection locked="0"/>
    </xf>
    <xf numFmtId="167" fontId="18" fillId="5" borderId="1" xfId="0" applyNumberFormat="1" applyFont="1" applyFill="1" applyBorder="1" applyAlignment="1">
      <alignment vertical="center" wrapText="1"/>
    </xf>
    <xf numFmtId="167" fontId="16" fillId="5" borderId="1" xfId="0" applyNumberFormat="1" applyFont="1" applyFill="1" applyBorder="1"/>
    <xf numFmtId="167" fontId="18" fillId="5" borderId="1" xfId="0" applyNumberFormat="1" applyFont="1" applyFill="1" applyBorder="1" applyAlignment="1">
      <alignment horizontal="right" vertical="center" wrapText="1"/>
    </xf>
    <xf numFmtId="167" fontId="21" fillId="5" borderId="1" xfId="0" applyNumberFormat="1" applyFont="1" applyFill="1" applyBorder="1" applyAlignment="1" applyProtection="1">
      <alignment vertical="center" wrapText="1"/>
      <protection locked="0"/>
    </xf>
    <xf numFmtId="167" fontId="17" fillId="5" borderId="1" xfId="0" applyNumberFormat="1" applyFont="1" applyFill="1" applyBorder="1" applyAlignment="1">
      <alignment vertical="center" wrapText="1"/>
    </xf>
    <xf numFmtId="168" fontId="18" fillId="5" borderId="0" xfId="0" applyNumberFormat="1" applyFont="1" applyFill="1" applyBorder="1"/>
    <xf numFmtId="172" fontId="18" fillId="5" borderId="0" xfId="0" applyNumberFormat="1" applyFont="1" applyFill="1"/>
    <xf numFmtId="0" fontId="18" fillId="5" borderId="0" xfId="0" applyFont="1" applyFill="1"/>
    <xf numFmtId="167" fontId="26" fillId="3" borderId="1" xfId="0" applyNumberFormat="1" applyFont="1" applyFill="1" applyBorder="1" applyAlignment="1">
      <alignment vertical="center" wrapText="1"/>
    </xf>
    <xf numFmtId="167" fontId="26" fillId="0" borderId="1" xfId="0" applyNumberFormat="1" applyFont="1" applyFill="1" applyBorder="1" applyAlignment="1">
      <alignment vertical="center" wrapText="1"/>
    </xf>
    <xf numFmtId="167" fontId="21" fillId="3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79" fontId="5" fillId="0" borderId="1" xfId="6" applyNumberFormat="1" applyFont="1" applyBorder="1" applyAlignment="1">
      <alignment horizontal="right" vertical="center"/>
    </xf>
    <xf numFmtId="179" fontId="5" fillId="0" borderId="1" xfId="9" applyNumberFormat="1" applyFont="1" applyBorder="1" applyAlignment="1">
      <alignment horizontal="right" vertical="center"/>
    </xf>
    <xf numFmtId="179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" fontId="3" fillId="0" borderId="1" xfId="11" applyNumberFormat="1" applyFont="1" applyFill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5" fontId="3" fillId="0" borderId="1" xfId="11" applyNumberFormat="1" applyFont="1" applyBorder="1" applyAlignment="1">
      <alignment horizontal="center" vertical="center" wrapText="1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7" fontId="25" fillId="0" borderId="1" xfId="0" applyNumberFormat="1" applyFont="1" applyFill="1" applyBorder="1" applyAlignment="1">
      <alignment vertical="center" wrapText="1"/>
    </xf>
    <xf numFmtId="166" fontId="5" fillId="0" borderId="0" xfId="9" applyNumberFormat="1" applyFont="1" applyFill="1"/>
    <xf numFmtId="0" fontId="11" fillId="0" borderId="1" xfId="11" applyFont="1" applyBorder="1"/>
    <xf numFmtId="0" fontId="12" fillId="0" borderId="1" xfId="11" applyFont="1" applyBorder="1" applyAlignment="1">
      <alignment wrapText="1"/>
    </xf>
    <xf numFmtId="0" fontId="11" fillId="0" borderId="1" xfId="11" applyFont="1" applyBorder="1" applyAlignment="1">
      <alignment wrapText="1"/>
    </xf>
    <xf numFmtId="0" fontId="12" fillId="0" borderId="1" xfId="11" applyFont="1" applyBorder="1"/>
    <xf numFmtId="0" fontId="12" fillId="0" borderId="1" xfId="11" applyFont="1" applyFill="1" applyBorder="1"/>
    <xf numFmtId="166" fontId="11" fillId="0" borderId="1" xfId="11" applyNumberFormat="1" applyFont="1" applyBorder="1" applyAlignment="1">
      <alignment wrapText="1"/>
    </xf>
    <xf numFmtId="0" fontId="11" fillId="0" borderId="1" xfId="11" applyFont="1" applyBorder="1" applyAlignment="1">
      <alignment vertical="top" wrapText="1"/>
    </xf>
    <xf numFmtId="0" fontId="12" fillId="0" borderId="1" xfId="11" applyFont="1" applyFill="1" applyBorder="1" applyAlignment="1">
      <alignment wrapText="1"/>
    </xf>
    <xf numFmtId="0" fontId="12" fillId="0" borderId="1" xfId="11" applyFont="1" applyBorder="1" applyAlignment="1">
      <alignment horizontal="left" wrapText="1"/>
    </xf>
    <xf numFmtId="0" fontId="11" fillId="0" borderId="1" xfId="11" applyFont="1" applyFill="1" applyBorder="1"/>
    <xf numFmtId="0" fontId="11" fillId="3" borderId="1" xfId="9" applyFont="1" applyFill="1" applyBorder="1" applyAlignment="1">
      <alignment wrapText="1"/>
    </xf>
    <xf numFmtId="0" fontId="12" fillId="3" borderId="1" xfId="9" applyFont="1" applyFill="1" applyBorder="1" applyAlignment="1">
      <alignment wrapText="1"/>
    </xf>
    <xf numFmtId="0" fontId="12" fillId="0" borderId="1" xfId="9" applyFont="1" applyBorder="1" applyAlignment="1">
      <alignment wrapText="1"/>
    </xf>
    <xf numFmtId="0" fontId="11" fillId="3" borderId="1" xfId="8" applyFont="1" applyFill="1" applyBorder="1" applyAlignment="1">
      <alignment wrapText="1"/>
    </xf>
    <xf numFmtId="0" fontId="12" fillId="0" borderId="1" xfId="8" applyFont="1" applyBorder="1" applyAlignment="1">
      <alignment wrapText="1"/>
    </xf>
    <xf numFmtId="0" fontId="31" fillId="0" borderId="1" xfId="7" applyFont="1" applyBorder="1" applyAlignment="1">
      <alignment wrapText="1"/>
    </xf>
    <xf numFmtId="0" fontId="12" fillId="0" borderId="1" xfId="9" applyFont="1" applyBorder="1" applyAlignment="1">
      <alignment horizontal="left" wrapText="1"/>
    </xf>
    <xf numFmtId="0" fontId="11" fillId="3" borderId="1" xfId="9" applyFont="1" applyFill="1" applyBorder="1" applyAlignment="1">
      <alignment horizontal="left" wrapText="1"/>
    </xf>
    <xf numFmtId="0" fontId="12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horizontal="center" wrapText="1"/>
    </xf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67" fontId="16" fillId="0" borderId="1" xfId="0" applyNumberFormat="1" applyFont="1" applyFill="1" applyBorder="1" applyAlignment="1">
      <alignment vertical="center" wrapText="1"/>
    </xf>
    <xf numFmtId="167" fontId="24" fillId="0" borderId="1" xfId="0" applyNumberFormat="1" applyFont="1" applyFill="1" applyBorder="1" applyAlignment="1">
      <alignment vertical="center" wrapText="1"/>
    </xf>
    <xf numFmtId="167" fontId="27" fillId="0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horizontal="right" vertical="center" wrapText="1"/>
    </xf>
    <xf numFmtId="167" fontId="18" fillId="3" borderId="1" xfId="0" applyNumberFormat="1" applyFont="1" applyFill="1" applyBorder="1" applyAlignment="1" applyProtection="1">
      <alignment vertical="center" wrapText="1"/>
    </xf>
    <xf numFmtId="167" fontId="18" fillId="0" borderId="1" xfId="0" applyNumberFormat="1" applyFont="1" applyFill="1" applyBorder="1" applyAlignment="1" applyProtection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</xf>
    <xf numFmtId="172" fontId="3" fillId="0" borderId="0" xfId="9" applyNumberFormat="1" applyFont="1"/>
    <xf numFmtId="166" fontId="32" fillId="0" borderId="1" xfId="11" applyNumberFormat="1" applyFont="1" applyBorder="1" applyAlignment="1">
      <alignment horizontal="right" vertical="center"/>
    </xf>
    <xf numFmtId="166" fontId="33" fillId="0" borderId="1" xfId="11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 vertical="center"/>
    </xf>
    <xf numFmtId="166" fontId="33" fillId="0" borderId="0" xfId="9" applyNumberFormat="1" applyFont="1" applyAlignment="1">
      <alignment horizontal="right" vertical="center"/>
    </xf>
    <xf numFmtId="166" fontId="32" fillId="0" borderId="1" xfId="11" applyNumberFormat="1" applyFont="1" applyBorder="1" applyAlignment="1">
      <alignment horizontal="center" vertical="center" wrapText="1"/>
    </xf>
    <xf numFmtId="166" fontId="32" fillId="0" borderId="1" xfId="11" applyNumberFormat="1" applyFont="1" applyBorder="1" applyAlignment="1">
      <alignment horizontal="center" vertical="center"/>
    </xf>
    <xf numFmtId="1" fontId="32" fillId="0" borderId="1" xfId="9" applyNumberFormat="1" applyFont="1" applyBorder="1" applyAlignment="1">
      <alignment horizontal="center" vertical="center" wrapText="1"/>
    </xf>
    <xf numFmtId="166" fontId="32" fillId="0" borderId="1" xfId="6" applyNumberFormat="1" applyFont="1" applyBorder="1" applyAlignment="1">
      <alignment horizontal="right"/>
    </xf>
    <xf numFmtId="166" fontId="33" fillId="0" borderId="1" xfId="6" applyNumberFormat="1" applyFont="1" applyBorder="1" applyAlignment="1">
      <alignment horizontal="right"/>
    </xf>
    <xf numFmtId="166" fontId="29" fillId="0" borderId="1" xfId="0" applyNumberFormat="1" applyFont="1" applyBorder="1" applyAlignment="1">
      <alignment horizontal="center" vertical="center" wrapText="1"/>
    </xf>
    <xf numFmtId="166" fontId="30" fillId="3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166" fontId="29" fillId="3" borderId="1" xfId="0" applyNumberFormat="1" applyFont="1" applyFill="1" applyBorder="1" applyAlignment="1">
      <alignment horizontal="center" vertical="center" wrapText="1"/>
    </xf>
    <xf numFmtId="166" fontId="29" fillId="6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9" fillId="5" borderId="1" xfId="0" applyNumberFormat="1" applyFont="1" applyFill="1" applyBorder="1" applyAlignment="1">
      <alignment horizontal="center" vertical="center" wrapText="1"/>
    </xf>
    <xf numFmtId="166" fontId="30" fillId="6" borderId="1" xfId="0" applyNumberFormat="1" applyFont="1" applyFill="1" applyBorder="1" applyAlignment="1">
      <alignment horizontal="center" vertical="center" wrapText="1"/>
    </xf>
    <xf numFmtId="167" fontId="30" fillId="3" borderId="1" xfId="0" applyNumberFormat="1" applyFont="1" applyFill="1" applyBorder="1" applyAlignment="1">
      <alignment horizontal="center"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2" fontId="30" fillId="3" borderId="1" xfId="0" applyNumberFormat="1" applyFont="1" applyFill="1" applyBorder="1" applyAlignment="1">
      <alignment horizontal="center" vertical="center" wrapText="1"/>
    </xf>
    <xf numFmtId="167" fontId="30" fillId="0" borderId="3" xfId="0" applyNumberFormat="1" applyFont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8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Border="1" applyAlignment="1">
      <alignment horizontal="right" vertical="center"/>
    </xf>
    <xf numFmtId="177" fontId="5" fillId="0" borderId="1" xfId="11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9" fontId="5" fillId="5" borderId="1" xfId="6" applyNumberFormat="1" applyFont="1" applyFill="1" applyBorder="1" applyAlignment="1">
      <alignment horizontal="right" vertical="center"/>
    </xf>
    <xf numFmtId="179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36" fillId="0" borderId="1" xfId="6" applyNumberFormat="1" applyFont="1" applyBorder="1" applyAlignment="1">
      <alignment horizontal="right"/>
    </xf>
    <xf numFmtId="0" fontId="37" fillId="0" borderId="1" xfId="11" applyFont="1" applyBorder="1" applyAlignment="1">
      <alignment horizontal="center"/>
    </xf>
    <xf numFmtId="0" fontId="37" fillId="0" borderId="1" xfId="11" applyFont="1" applyBorder="1" applyAlignment="1"/>
    <xf numFmtId="172" fontId="5" fillId="0" borderId="0" xfId="9" applyNumberFormat="1" applyFont="1"/>
    <xf numFmtId="172" fontId="18" fillId="0" borderId="1" xfId="0" applyNumberFormat="1" applyFont="1" applyFill="1" applyBorder="1" applyAlignment="1">
      <alignment vertical="center" wrapText="1"/>
    </xf>
    <xf numFmtId="172" fontId="18" fillId="5" borderId="1" xfId="0" applyNumberFormat="1" applyFont="1" applyFill="1" applyBorder="1" applyAlignment="1">
      <alignment vertical="center" wrapText="1"/>
    </xf>
    <xf numFmtId="166" fontId="33" fillId="0" borderId="1" xfId="11" applyNumberFormat="1" applyFont="1" applyFill="1" applyBorder="1" applyAlignment="1">
      <alignment horizontal="right" vertical="center"/>
    </xf>
    <xf numFmtId="166" fontId="33" fillId="0" borderId="1" xfId="0" applyNumberFormat="1" applyFont="1" applyBorder="1" applyAlignment="1">
      <alignment horizontal="right" vertical="center"/>
    </xf>
    <xf numFmtId="166" fontId="33" fillId="3" borderId="1" xfId="0" applyNumberFormat="1" applyFont="1" applyFill="1" applyBorder="1" applyAlignment="1">
      <alignment horizontal="right" vertical="center"/>
    </xf>
    <xf numFmtId="166" fontId="32" fillId="0" borderId="1" xfId="0" applyNumberFormat="1" applyFont="1" applyBorder="1" applyAlignment="1">
      <alignment horizontal="right" vertical="center"/>
    </xf>
    <xf numFmtId="166" fontId="32" fillId="0" borderId="2" xfId="11" applyNumberFormat="1" applyFont="1" applyBorder="1" applyAlignment="1">
      <alignment horizontal="right" vertical="center"/>
    </xf>
    <xf numFmtId="166" fontId="3" fillId="0" borderId="0" xfId="9" applyNumberFormat="1" applyFont="1" applyAlignment="1">
      <alignment horizontal="right"/>
    </xf>
    <xf numFmtId="172" fontId="7" fillId="0" borderId="0" xfId="8" applyNumberFormat="1" applyFont="1"/>
    <xf numFmtId="177" fontId="3" fillId="0" borderId="0" xfId="9" applyNumberFormat="1" applyFont="1"/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7" fontId="3" fillId="0" borderId="1" xfId="11" applyNumberFormat="1" applyFont="1" applyBorder="1" applyAlignment="1">
      <alignment horizontal="right" vertical="center"/>
    </xf>
    <xf numFmtId="177" fontId="3" fillId="3" borderId="1" xfId="12" applyNumberFormat="1" applyFont="1" applyFill="1" applyBorder="1" applyAlignment="1">
      <alignment horizontal="right" vertical="center"/>
    </xf>
    <xf numFmtId="177" fontId="3" fillId="0" borderId="1" xfId="12" applyNumberFormat="1" applyFont="1" applyBorder="1" applyAlignment="1">
      <alignment horizontal="right" vertical="center"/>
    </xf>
    <xf numFmtId="174" fontId="3" fillId="0" borderId="1" xfId="11" applyNumberFormat="1" applyFont="1" applyBorder="1" applyAlignment="1">
      <alignment horizontal="right" vertical="center"/>
    </xf>
    <xf numFmtId="180" fontId="3" fillId="0" borderId="1" xfId="11" applyNumberFormat="1" applyFont="1" applyBorder="1" applyAlignment="1">
      <alignment horizontal="right" vertical="center"/>
    </xf>
    <xf numFmtId="180" fontId="3" fillId="3" borderId="1" xfId="12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80" fontId="3" fillId="0" borderId="1" xfId="12" applyNumberFormat="1" applyFont="1" applyBorder="1" applyAlignment="1">
      <alignment horizontal="right" vertical="center"/>
    </xf>
    <xf numFmtId="186" fontId="3" fillId="0" borderId="1" xfId="11" applyNumberFormat="1" applyFont="1" applyBorder="1" applyAlignment="1">
      <alignment horizontal="right" vertical="center"/>
    </xf>
    <xf numFmtId="168" fontId="3" fillId="0" borderId="1" xfId="12" applyNumberFormat="1" applyFont="1" applyBorder="1" applyAlignment="1">
      <alignment horizontal="right" vertical="center"/>
    </xf>
    <xf numFmtId="185" fontId="3" fillId="0" borderId="1" xfId="11" applyNumberFormat="1" applyFont="1" applyBorder="1" applyAlignment="1">
      <alignment horizontal="right" vertical="center"/>
    </xf>
    <xf numFmtId="180" fontId="18" fillId="0" borderId="1" xfId="0" applyNumberFormat="1" applyFont="1" applyFill="1" applyBorder="1" applyAlignment="1" applyProtection="1">
      <alignment vertical="center" wrapText="1"/>
      <protection locked="0"/>
    </xf>
    <xf numFmtId="180" fontId="18" fillId="5" borderId="1" xfId="0" applyNumberFormat="1" applyFont="1" applyFill="1" applyBorder="1" applyAlignment="1" applyProtection="1">
      <alignment vertical="center" wrapText="1"/>
      <protection locked="0"/>
    </xf>
    <xf numFmtId="180" fontId="18" fillId="3" borderId="1" xfId="0" applyNumberFormat="1" applyFont="1" applyFill="1" applyBorder="1" applyAlignment="1">
      <alignment vertical="center" wrapText="1"/>
    </xf>
    <xf numFmtId="180" fontId="18" fillId="5" borderId="1" xfId="0" applyNumberFormat="1" applyFont="1" applyFill="1" applyBorder="1" applyAlignment="1">
      <alignment vertical="center" wrapText="1"/>
    </xf>
    <xf numFmtId="0" fontId="19" fillId="0" borderId="1" xfId="10" applyFont="1" applyFill="1" applyBorder="1" applyAlignment="1">
      <alignment vertical="center" wrapText="1"/>
    </xf>
    <xf numFmtId="180" fontId="18" fillId="0" borderId="1" xfId="0" applyNumberFormat="1" applyFont="1" applyFill="1" applyBorder="1" applyAlignment="1">
      <alignment vertical="center" wrapText="1"/>
    </xf>
    <xf numFmtId="167" fontId="17" fillId="0" borderId="1" xfId="0" applyNumberFormat="1" applyFont="1" applyFill="1" applyBorder="1" applyAlignment="1">
      <alignment vertical="center" wrapText="1"/>
    </xf>
    <xf numFmtId="168" fontId="18" fillId="0" borderId="0" xfId="0" applyNumberFormat="1" applyFont="1" applyFill="1" applyBorder="1"/>
    <xf numFmtId="172" fontId="18" fillId="0" borderId="0" xfId="0" applyNumberFormat="1" applyFont="1" applyFill="1"/>
    <xf numFmtId="0" fontId="18" fillId="0" borderId="0" xfId="0" applyFont="1" applyFill="1"/>
    <xf numFmtId="0" fontId="22" fillId="0" borderId="1" xfId="10" applyFont="1" applyFill="1" applyBorder="1" applyAlignment="1">
      <alignment vertical="center" wrapText="1"/>
    </xf>
    <xf numFmtId="176" fontId="5" fillId="0" borderId="1" xfId="9" applyNumberFormat="1" applyFont="1" applyBorder="1" applyAlignment="1">
      <alignment horizontal="right" vertical="center"/>
    </xf>
    <xf numFmtId="174" fontId="5" fillId="0" borderId="1" xfId="11" applyNumberFormat="1" applyFont="1" applyFill="1" applyBorder="1" applyAlignment="1">
      <alignment horizontal="right" vertical="center"/>
    </xf>
    <xf numFmtId="174" fontId="5" fillId="0" borderId="1" xfId="0" applyNumberFormat="1" applyFont="1" applyBorder="1" applyAlignment="1">
      <alignment horizontal="right" vertical="center"/>
    </xf>
    <xf numFmtId="166" fontId="33" fillId="5" borderId="1" xfId="11" applyNumberFormat="1" applyFont="1" applyFill="1" applyBorder="1" applyAlignment="1">
      <alignment horizontal="right" vertical="center"/>
    </xf>
    <xf numFmtId="174" fontId="3" fillId="0" borderId="1" xfId="0" applyNumberFormat="1" applyFont="1" applyBorder="1" applyAlignment="1">
      <alignment horizontal="right" vertical="center"/>
    </xf>
    <xf numFmtId="177" fontId="3" fillId="0" borderId="1" xfId="9" applyNumberFormat="1" applyFont="1" applyBorder="1" applyAlignment="1">
      <alignment horizontal="right" vertical="center"/>
    </xf>
    <xf numFmtId="187" fontId="5" fillId="0" borderId="1" xfId="9" applyNumberFormat="1" applyFont="1" applyBorder="1" applyAlignment="1">
      <alignment horizontal="right" vertical="center"/>
    </xf>
    <xf numFmtId="172" fontId="18" fillId="3" borderId="1" xfId="0" applyNumberFormat="1" applyFont="1" applyFill="1" applyBorder="1" applyAlignment="1" applyProtection="1">
      <alignment vertical="center" wrapText="1"/>
      <protection locked="0"/>
    </xf>
    <xf numFmtId="172" fontId="18" fillId="0" borderId="1" xfId="0" applyNumberFormat="1" applyFont="1" applyFill="1" applyBorder="1" applyAlignment="1" applyProtection="1">
      <alignment vertical="center" wrapText="1"/>
      <protection locked="0"/>
    </xf>
    <xf numFmtId="172" fontId="18" fillId="5" borderId="1" xfId="0" applyNumberFormat="1" applyFont="1" applyFill="1" applyBorder="1" applyAlignment="1" applyProtection="1">
      <alignment vertical="center" wrapText="1"/>
      <protection locked="0"/>
    </xf>
    <xf numFmtId="175" fontId="3" fillId="0" borderId="1" xfId="1" applyNumberFormat="1" applyFont="1" applyBorder="1" applyAlignment="1">
      <alignment horizontal="right" vertical="center"/>
    </xf>
    <xf numFmtId="168" fontId="3" fillId="0" borderId="1" xfId="9" applyNumberFormat="1" applyFont="1" applyBorder="1" applyAlignment="1">
      <alignment horizontal="right" vertical="center"/>
    </xf>
    <xf numFmtId="2" fontId="3" fillId="0" borderId="1" xfId="6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6" fontId="5" fillId="0" borderId="1" xfId="11" applyNumberFormat="1" applyFont="1" applyFill="1" applyBorder="1" applyAlignment="1">
      <alignment horizontal="right" vertical="center"/>
    </xf>
    <xf numFmtId="167" fontId="18" fillId="0" borderId="1" xfId="0" applyNumberFormat="1" applyFont="1" applyFill="1" applyBorder="1"/>
    <xf numFmtId="167" fontId="18" fillId="5" borderId="1" xfId="0" applyNumberFormat="1" applyFont="1" applyFill="1" applyBorder="1"/>
    <xf numFmtId="186" fontId="32" fillId="3" borderId="1" xfId="1" applyNumberFormat="1" applyFont="1" applyFill="1" applyBorder="1" applyAlignment="1">
      <alignment horizontal="right" vertical="center"/>
    </xf>
    <xf numFmtId="166" fontId="33" fillId="2" borderId="1" xfId="2" applyNumberFormat="1" applyFont="1" applyFill="1" applyBorder="1" applyAlignment="1">
      <alignment horizontal="right" vertical="center" shrinkToFit="1"/>
    </xf>
    <xf numFmtId="166" fontId="33" fillId="2" borderId="1" xfId="3" applyNumberFormat="1" applyFont="1" applyFill="1" applyBorder="1" applyAlignment="1">
      <alignment horizontal="right" vertical="center" shrinkToFit="1"/>
    </xf>
    <xf numFmtId="166" fontId="33" fillId="2" borderId="1" xfId="4" applyNumberFormat="1" applyFont="1" applyFill="1" applyBorder="1" applyAlignment="1">
      <alignment horizontal="right" vertical="center" shrinkToFit="1"/>
    </xf>
    <xf numFmtId="166" fontId="32" fillId="0" borderId="1" xfId="11" applyNumberFormat="1" applyFont="1" applyFill="1" applyBorder="1" applyAlignment="1">
      <alignment horizontal="right" vertical="center"/>
    </xf>
    <xf numFmtId="166" fontId="32" fillId="0" borderId="1" xfId="11" applyNumberFormat="1" applyFont="1" applyFill="1" applyBorder="1" applyAlignment="1">
      <alignment horizontal="center" vertical="center" wrapText="1"/>
    </xf>
    <xf numFmtId="166" fontId="32" fillId="0" borderId="1" xfId="9" applyNumberFormat="1" applyFont="1" applyBorder="1" applyAlignment="1">
      <alignment horizontal="center" vertical="center" wrapText="1"/>
    </xf>
    <xf numFmtId="166" fontId="3" fillId="0" borderId="0" xfId="9" applyNumberFormat="1" applyFont="1" applyAlignment="1">
      <alignment horizontal="right" vertical="center"/>
    </xf>
    <xf numFmtId="166" fontId="32" fillId="5" borderId="1" xfId="11" applyNumberFormat="1" applyFont="1" applyFill="1" applyBorder="1" applyAlignment="1">
      <alignment horizontal="right" vertical="center"/>
    </xf>
    <xf numFmtId="188" fontId="3" fillId="0" borderId="1" xfId="11" applyNumberFormat="1" applyFont="1" applyBorder="1" applyAlignment="1">
      <alignment horizontal="right" vertical="center"/>
    </xf>
    <xf numFmtId="183" fontId="18" fillId="3" borderId="1" xfId="0" applyNumberFormat="1" applyFont="1" applyFill="1" applyBorder="1"/>
    <xf numFmtId="183" fontId="18" fillId="0" borderId="1" xfId="0" applyNumberFormat="1" applyFont="1" applyFill="1" applyBorder="1"/>
    <xf numFmtId="183" fontId="18" fillId="5" borderId="1" xfId="0" applyNumberFormat="1" applyFont="1" applyFill="1" applyBorder="1"/>
    <xf numFmtId="166" fontId="30" fillId="5" borderId="1" xfId="0" applyNumberFormat="1" applyFont="1" applyFill="1" applyBorder="1" applyAlignment="1">
      <alignment horizontal="center" vertical="center" wrapText="1"/>
    </xf>
    <xf numFmtId="166" fontId="38" fillId="0" borderId="1" xfId="6" applyNumberFormat="1" applyFont="1" applyBorder="1" applyAlignment="1">
      <alignment horizontal="right"/>
    </xf>
    <xf numFmtId="49" fontId="38" fillId="0" borderId="1" xfId="9" applyNumberFormat="1" applyFont="1" applyFill="1" applyBorder="1" applyAlignment="1" applyProtection="1">
      <alignment horizontal="center"/>
    </xf>
    <xf numFmtId="173" fontId="18" fillId="5" borderId="1" xfId="0" applyNumberFormat="1" applyFont="1" applyFill="1" applyBorder="1" applyAlignment="1">
      <alignment vertical="center" wrapText="1"/>
    </xf>
    <xf numFmtId="174" fontId="32" fillId="5" borderId="1" xfId="12" applyNumberFormat="1" applyFont="1" applyFill="1" applyBorder="1" applyAlignment="1">
      <alignment horizontal="right" vertical="center"/>
    </xf>
    <xf numFmtId="167" fontId="3" fillId="3" borderId="1" xfId="12" applyNumberFormat="1" applyFont="1" applyFill="1" applyBorder="1" applyAlignment="1">
      <alignment horizontal="right" vertical="center"/>
    </xf>
    <xf numFmtId="167" fontId="3" fillId="0" borderId="0" xfId="9" applyNumberFormat="1" applyFont="1"/>
    <xf numFmtId="189" fontId="3" fillId="0" borderId="0" xfId="9" applyNumberFormat="1" applyFont="1"/>
    <xf numFmtId="167" fontId="3" fillId="0" borderId="1" xfId="12" applyNumberFormat="1" applyFont="1" applyBorder="1" applyAlignment="1">
      <alignment horizontal="right" vertical="center"/>
    </xf>
    <xf numFmtId="166" fontId="33" fillId="0" borderId="1" xfId="9" applyNumberFormat="1" applyFont="1" applyBorder="1" applyAlignment="1">
      <alignment horizontal="right" vertical="center"/>
    </xf>
    <xf numFmtId="166" fontId="33" fillId="0" borderId="1" xfId="9" applyNumberFormat="1" applyFont="1" applyBorder="1" applyAlignment="1">
      <alignment horizontal="right"/>
    </xf>
    <xf numFmtId="166" fontId="33" fillId="0" borderId="1" xfId="9" applyNumberFormat="1" applyFont="1" applyBorder="1" applyAlignment="1">
      <alignment horizontal="right" vertical="center" wrapText="1"/>
    </xf>
    <xf numFmtId="166" fontId="32" fillId="0" borderId="1" xfId="6" applyNumberFormat="1" applyFont="1" applyBorder="1" applyAlignment="1">
      <alignment horizontal="right" vertical="center"/>
    </xf>
    <xf numFmtId="166" fontId="33" fillId="0" borderId="1" xfId="6" applyNumberFormat="1" applyFont="1" applyBorder="1" applyAlignment="1">
      <alignment horizontal="right" vertical="center"/>
    </xf>
    <xf numFmtId="166" fontId="32" fillId="5" borderId="1" xfId="9" applyNumberFormat="1" applyFont="1" applyFill="1" applyBorder="1" applyAlignment="1">
      <alignment horizontal="right" vertical="center"/>
    </xf>
    <xf numFmtId="166" fontId="33" fillId="2" borderId="1" xfId="5" applyNumberFormat="1" applyFont="1" applyFill="1" applyBorder="1" applyAlignment="1">
      <alignment horizontal="right" vertical="top" shrinkToFit="1"/>
    </xf>
    <xf numFmtId="166" fontId="32" fillId="0" borderId="1" xfId="12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/>
    </xf>
    <xf numFmtId="166" fontId="32" fillId="5" borderId="1" xfId="12" applyNumberFormat="1" applyFont="1" applyFill="1" applyBorder="1" applyAlignment="1">
      <alignment horizontal="right" vertical="center"/>
    </xf>
    <xf numFmtId="166" fontId="33" fillId="3" borderId="1" xfId="12" applyNumberFormat="1" applyFont="1" applyFill="1" applyBorder="1" applyAlignment="1">
      <alignment horizontal="right" vertical="center"/>
    </xf>
    <xf numFmtId="166" fontId="33" fillId="3" borderId="1" xfId="11" applyNumberFormat="1" applyFont="1" applyFill="1" applyBorder="1" applyAlignment="1">
      <alignment horizontal="right" vertical="center"/>
    </xf>
    <xf numFmtId="166" fontId="32" fillId="3" borderId="1" xfId="1" applyNumberFormat="1" applyFont="1" applyFill="1" applyBorder="1" applyAlignment="1">
      <alignment horizontal="right" vertical="center"/>
    </xf>
    <xf numFmtId="2" fontId="5" fillId="0" borderId="1" xfId="9" applyNumberFormat="1" applyFont="1" applyBorder="1" applyAlignment="1">
      <alignment horizontal="right" vertical="center"/>
    </xf>
    <xf numFmtId="2" fontId="3" fillId="0" borderId="1" xfId="9" applyNumberFormat="1" applyFont="1" applyBorder="1" applyAlignment="1">
      <alignment horizontal="right" vertical="center"/>
    </xf>
    <xf numFmtId="2" fontId="5" fillId="0" borderId="1" xfId="9" applyNumberFormat="1" applyFont="1" applyBorder="1" applyAlignment="1">
      <alignment horizontal="right"/>
    </xf>
    <xf numFmtId="2" fontId="5" fillId="0" borderId="1" xfId="6" applyNumberFormat="1" applyFont="1" applyBorder="1" applyAlignment="1">
      <alignment horizontal="right" vertical="center"/>
    </xf>
    <xf numFmtId="2" fontId="5" fillId="2" borderId="1" xfId="5" applyNumberFormat="1" applyFont="1" applyFill="1" applyBorder="1" applyAlignment="1">
      <alignment horizontal="right" vertical="top" shrinkToFit="1"/>
    </xf>
    <xf numFmtId="2" fontId="3" fillId="0" borderId="1" xfId="12" applyNumberFormat="1" applyFont="1" applyBorder="1" applyAlignment="1">
      <alignment horizontal="right" vertical="center"/>
    </xf>
    <xf numFmtId="0" fontId="3" fillId="0" borderId="0" xfId="11" applyFont="1" applyAlignment="1">
      <alignment horizontal="center"/>
    </xf>
    <xf numFmtId="2" fontId="3" fillId="0" borderId="1" xfId="1" applyNumberFormat="1" applyFont="1" applyBorder="1" applyAlignment="1">
      <alignment horizontal="right" vertical="center"/>
    </xf>
    <xf numFmtId="1" fontId="3" fillId="0" borderId="1" xfId="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right" vertical="center"/>
    </xf>
    <xf numFmtId="167" fontId="3" fillId="5" borderId="1" xfId="11" applyNumberFormat="1" applyFont="1" applyFill="1" applyBorder="1" applyAlignment="1">
      <alignment horizontal="right" vertical="center"/>
    </xf>
    <xf numFmtId="167" fontId="3" fillId="5" borderId="1" xfId="12" applyNumberFormat="1" applyFont="1" applyFill="1" applyBorder="1" applyAlignment="1">
      <alignment horizontal="right" vertical="center"/>
    </xf>
    <xf numFmtId="2" fontId="5" fillId="0" borderId="1" xfId="11" applyNumberFormat="1" applyFont="1" applyFill="1" applyBorder="1" applyAlignment="1">
      <alignment horizontal="right" vertical="center"/>
    </xf>
    <xf numFmtId="2" fontId="3" fillId="0" borderId="1" xfId="11" applyNumberFormat="1" applyFont="1" applyFill="1" applyBorder="1" applyAlignment="1">
      <alignment horizontal="right" vertical="center"/>
    </xf>
    <xf numFmtId="2" fontId="5" fillId="0" borderId="1" xfId="11" applyNumberFormat="1" applyFont="1" applyBorder="1" applyAlignment="1">
      <alignment horizontal="right" vertical="center"/>
    </xf>
    <xf numFmtId="2" fontId="3" fillId="5" borderId="1" xfId="11" applyNumberFormat="1" applyFont="1" applyFill="1" applyBorder="1" applyAlignment="1">
      <alignment horizontal="right" vertical="center"/>
    </xf>
    <xf numFmtId="2" fontId="5" fillId="5" borderId="1" xfId="2" applyNumberFormat="1" applyFont="1" applyFill="1" applyBorder="1" applyAlignment="1">
      <alignment horizontal="right" vertical="center" shrinkToFit="1"/>
    </xf>
    <xf numFmtId="2" fontId="5" fillId="2" borderId="1" xfId="2" applyNumberFormat="1" applyFont="1" applyFill="1" applyBorder="1" applyAlignment="1">
      <alignment horizontal="right" vertical="center" shrinkToFit="1"/>
    </xf>
    <xf numFmtId="2" fontId="5" fillId="2" borderId="1" xfId="3" applyNumberFormat="1" applyFont="1" applyFill="1" applyBorder="1" applyAlignment="1">
      <alignment horizontal="right" vertical="center" shrinkToFit="1"/>
    </xf>
    <xf numFmtId="2" fontId="5" fillId="2" borderId="1" xfId="4" applyNumberFormat="1" applyFont="1" applyFill="1" applyBorder="1" applyAlignment="1">
      <alignment horizontal="right" vertical="center" shrinkToFit="1"/>
    </xf>
    <xf numFmtId="2" fontId="3" fillId="5" borderId="1" xfId="12" applyNumberFormat="1" applyFont="1" applyFill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2" fontId="5" fillId="5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67" fontId="35" fillId="0" borderId="1" xfId="11" applyNumberFormat="1" applyFont="1" applyBorder="1" applyAlignment="1">
      <alignment horizontal="right" vertical="center"/>
    </xf>
    <xf numFmtId="49" fontId="3" fillId="0" borderId="1" xfId="12" applyNumberFormat="1" applyFont="1" applyBorder="1" applyAlignment="1">
      <alignment horizontal="right" vertical="center"/>
    </xf>
    <xf numFmtId="0" fontId="3" fillId="0" borderId="8" xfId="11" applyFont="1" applyBorder="1" applyAlignment="1">
      <alignment horizontal="center"/>
    </xf>
    <xf numFmtId="0" fontId="3" fillId="0" borderId="8" xfId="11" applyFont="1" applyBorder="1"/>
    <xf numFmtId="184" fontId="3" fillId="0" borderId="8" xfId="11" applyNumberFormat="1" applyFont="1" applyBorder="1" applyAlignment="1">
      <alignment horizontal="right" vertical="center"/>
    </xf>
    <xf numFmtId="184" fontId="3" fillId="3" borderId="8" xfId="12" applyNumberFormat="1" applyFont="1" applyFill="1" applyBorder="1" applyAlignment="1">
      <alignment horizontal="right" vertical="center"/>
    </xf>
    <xf numFmtId="166" fontId="3" fillId="0" borderId="8" xfId="11" applyNumberFormat="1" applyFont="1" applyBorder="1" applyAlignment="1">
      <alignment horizontal="right" vertical="center"/>
    </xf>
    <xf numFmtId="0" fontId="3" fillId="0" borderId="6" xfId="9" applyFont="1" applyBorder="1"/>
    <xf numFmtId="165" fontId="5" fillId="0" borderId="1" xfId="12" applyFont="1" applyBorder="1" applyAlignment="1">
      <alignment horizontal="center"/>
    </xf>
    <xf numFmtId="165" fontId="5" fillId="0" borderId="1" xfId="12" applyFont="1" applyBorder="1"/>
    <xf numFmtId="165" fontId="5" fillId="0" borderId="1" xfId="12" applyFont="1" applyBorder="1" applyAlignment="1">
      <alignment horizontal="right" vertical="center"/>
    </xf>
    <xf numFmtId="165" fontId="5" fillId="0" borderId="1" xfId="12" applyFont="1" applyFill="1" applyBorder="1" applyAlignment="1">
      <alignment horizontal="right" vertical="center"/>
    </xf>
    <xf numFmtId="165" fontId="5" fillId="0" borderId="0" xfId="12" applyFont="1"/>
    <xf numFmtId="0" fontId="5" fillId="0" borderId="0" xfId="0" applyFont="1"/>
    <xf numFmtId="168" fontId="3" fillId="3" borderId="1" xfId="12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18" fillId="3" borderId="10" xfId="0" applyNumberFormat="1" applyFont="1" applyFill="1" applyBorder="1" applyAlignment="1">
      <alignment horizontal="center" vertical="center" wrapText="1"/>
    </xf>
    <xf numFmtId="49" fontId="18" fillId="3" borderId="11" xfId="0" applyNumberFormat="1" applyFont="1" applyFill="1" applyBorder="1" applyAlignment="1">
      <alignment horizontal="center" vertical="center" wrapText="1"/>
    </xf>
    <xf numFmtId="49" fontId="18" fillId="3" borderId="12" xfId="0" applyNumberFormat="1" applyFont="1" applyFill="1" applyBorder="1" applyAlignment="1">
      <alignment horizontal="center" vertical="center" wrapText="1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0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3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49" fontId="18" fillId="3" borderId="5" xfId="0" applyNumberFormat="1" applyFont="1" applyFill="1" applyBorder="1" applyAlignment="1">
      <alignment horizontal="center" vertical="center" wrapText="1"/>
    </xf>
    <xf numFmtId="4" fontId="23" fillId="3" borderId="3" xfId="10" applyNumberFormat="1" applyFont="1" applyFill="1" applyBorder="1" applyAlignment="1">
      <alignment horizontal="center" vertical="center" wrapText="1"/>
    </xf>
    <xf numFmtId="4" fontId="23" fillId="3" borderId="5" xfId="1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/>
    </xf>
    <xf numFmtId="0" fontId="18" fillId="3" borderId="9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10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8.bin"/><Relationship Id="rId3" Type="http://schemas.openxmlformats.org/officeDocument/2006/relationships/printerSettings" Target="../printerSettings/printerSettings103.bin"/><Relationship Id="rId7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6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05.bin"/><Relationship Id="rId10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4.bin"/><Relationship Id="rId9" Type="http://schemas.openxmlformats.org/officeDocument/2006/relationships/printerSettings" Target="../printerSettings/printerSettings10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8.bin"/><Relationship Id="rId3" Type="http://schemas.openxmlformats.org/officeDocument/2006/relationships/printerSettings" Target="../printerSettings/printerSettings133.bin"/><Relationship Id="rId7" Type="http://schemas.openxmlformats.org/officeDocument/2006/relationships/printerSettings" Target="../printerSettings/printerSettings137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6" Type="http://schemas.openxmlformats.org/officeDocument/2006/relationships/printerSettings" Target="../printerSettings/printerSettings136.bin"/><Relationship Id="rId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40.bin"/><Relationship Id="rId4" Type="http://schemas.openxmlformats.org/officeDocument/2006/relationships/printerSettings" Target="../printerSettings/printerSettings134.bin"/><Relationship Id="rId9" Type="http://schemas.openxmlformats.org/officeDocument/2006/relationships/printerSettings" Target="../printerSettings/printerSettings139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8.bin"/><Relationship Id="rId3" Type="http://schemas.openxmlformats.org/officeDocument/2006/relationships/printerSettings" Target="../printerSettings/printerSettings143.bin"/><Relationship Id="rId7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42.bin"/><Relationship Id="rId1" Type="http://schemas.openxmlformats.org/officeDocument/2006/relationships/printerSettings" Target="../printerSettings/printerSettings141.bin"/><Relationship Id="rId6" Type="http://schemas.openxmlformats.org/officeDocument/2006/relationships/printerSettings" Target="../printerSettings/printerSettings146.bin"/><Relationship Id="rId5" Type="http://schemas.openxmlformats.org/officeDocument/2006/relationships/printerSettings" Target="../printerSettings/printerSettings145.bin"/><Relationship Id="rId10" Type="http://schemas.openxmlformats.org/officeDocument/2006/relationships/printerSettings" Target="../printerSettings/printerSettings150.bin"/><Relationship Id="rId4" Type="http://schemas.openxmlformats.org/officeDocument/2006/relationships/printerSettings" Target="../printerSettings/printerSettings144.bin"/><Relationship Id="rId9" Type="http://schemas.openxmlformats.org/officeDocument/2006/relationships/printerSettings" Target="../printerSettings/printerSettings149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8.bin"/><Relationship Id="rId3" Type="http://schemas.openxmlformats.org/officeDocument/2006/relationships/printerSettings" Target="../printerSettings/printerSettings153.bin"/><Relationship Id="rId7" Type="http://schemas.openxmlformats.org/officeDocument/2006/relationships/printerSettings" Target="../printerSettings/printerSettings157.bin"/><Relationship Id="rId2" Type="http://schemas.openxmlformats.org/officeDocument/2006/relationships/printerSettings" Target="../printerSettings/printerSettings152.bin"/><Relationship Id="rId1" Type="http://schemas.openxmlformats.org/officeDocument/2006/relationships/printerSettings" Target="../printerSettings/printerSettings151.bin"/><Relationship Id="rId6" Type="http://schemas.openxmlformats.org/officeDocument/2006/relationships/printerSettings" Target="../printerSettings/printerSettings156.bin"/><Relationship Id="rId5" Type="http://schemas.openxmlformats.org/officeDocument/2006/relationships/printerSettings" Target="../printerSettings/printerSettings155.bin"/><Relationship Id="rId10" Type="http://schemas.openxmlformats.org/officeDocument/2006/relationships/printerSettings" Target="../printerSettings/printerSettings160.bin"/><Relationship Id="rId4" Type="http://schemas.openxmlformats.org/officeDocument/2006/relationships/printerSettings" Target="../printerSettings/printerSettings154.bin"/><Relationship Id="rId9" Type="http://schemas.openxmlformats.org/officeDocument/2006/relationships/printerSettings" Target="../printerSettings/printerSettings159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8.bin"/><Relationship Id="rId3" Type="http://schemas.openxmlformats.org/officeDocument/2006/relationships/printerSettings" Target="../printerSettings/printerSettings163.bin"/><Relationship Id="rId7" Type="http://schemas.openxmlformats.org/officeDocument/2006/relationships/printerSettings" Target="../printerSettings/printerSettings167.bin"/><Relationship Id="rId2" Type="http://schemas.openxmlformats.org/officeDocument/2006/relationships/printerSettings" Target="../printerSettings/printerSettings162.bin"/><Relationship Id="rId1" Type="http://schemas.openxmlformats.org/officeDocument/2006/relationships/printerSettings" Target="../printerSettings/printerSettings161.bin"/><Relationship Id="rId6" Type="http://schemas.openxmlformats.org/officeDocument/2006/relationships/printerSettings" Target="../printerSettings/printerSettings166.bin"/><Relationship Id="rId5" Type="http://schemas.openxmlformats.org/officeDocument/2006/relationships/printerSettings" Target="../printerSettings/printerSettings165.bin"/><Relationship Id="rId10" Type="http://schemas.openxmlformats.org/officeDocument/2006/relationships/printerSettings" Target="../printerSettings/printerSettings170.bin"/><Relationship Id="rId4" Type="http://schemas.openxmlformats.org/officeDocument/2006/relationships/printerSettings" Target="../printerSettings/printerSettings164.bin"/><Relationship Id="rId9" Type="http://schemas.openxmlformats.org/officeDocument/2006/relationships/printerSettings" Target="../printerSettings/printerSettings169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8.bin"/><Relationship Id="rId3" Type="http://schemas.openxmlformats.org/officeDocument/2006/relationships/printerSettings" Target="../printerSettings/printerSettings173.bin"/><Relationship Id="rId7" Type="http://schemas.openxmlformats.org/officeDocument/2006/relationships/printerSettings" Target="../printerSettings/printerSettings177.bin"/><Relationship Id="rId2" Type="http://schemas.openxmlformats.org/officeDocument/2006/relationships/printerSettings" Target="../printerSettings/printerSettings172.bin"/><Relationship Id="rId1" Type="http://schemas.openxmlformats.org/officeDocument/2006/relationships/printerSettings" Target="../printerSettings/printerSettings171.bin"/><Relationship Id="rId6" Type="http://schemas.openxmlformats.org/officeDocument/2006/relationships/printerSettings" Target="../printerSettings/printerSettings176.bin"/><Relationship Id="rId5" Type="http://schemas.openxmlformats.org/officeDocument/2006/relationships/printerSettings" Target="../printerSettings/printerSettings175.bin"/><Relationship Id="rId10" Type="http://schemas.openxmlformats.org/officeDocument/2006/relationships/printerSettings" Target="../printerSettings/printerSettings180.bin"/><Relationship Id="rId4" Type="http://schemas.openxmlformats.org/officeDocument/2006/relationships/printerSettings" Target="../printerSettings/printerSettings174.bin"/><Relationship Id="rId9" Type="http://schemas.openxmlformats.org/officeDocument/2006/relationships/printerSettings" Target="../printerSettings/printerSettings179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8.bin"/><Relationship Id="rId3" Type="http://schemas.openxmlformats.org/officeDocument/2006/relationships/printerSettings" Target="../printerSettings/printerSettings183.bin"/><Relationship Id="rId7" Type="http://schemas.openxmlformats.org/officeDocument/2006/relationships/printerSettings" Target="../printerSettings/printerSettings187.bin"/><Relationship Id="rId2" Type="http://schemas.openxmlformats.org/officeDocument/2006/relationships/printerSettings" Target="../printerSettings/printerSettings182.bin"/><Relationship Id="rId1" Type="http://schemas.openxmlformats.org/officeDocument/2006/relationships/printerSettings" Target="../printerSettings/printerSettings181.bin"/><Relationship Id="rId6" Type="http://schemas.openxmlformats.org/officeDocument/2006/relationships/printerSettings" Target="../printerSettings/printerSettings186.bin"/><Relationship Id="rId5" Type="http://schemas.openxmlformats.org/officeDocument/2006/relationships/printerSettings" Target="../printerSettings/printerSettings185.bin"/><Relationship Id="rId10" Type="http://schemas.openxmlformats.org/officeDocument/2006/relationships/printerSettings" Target="../printerSettings/printerSettings190.bin"/><Relationship Id="rId4" Type="http://schemas.openxmlformats.org/officeDocument/2006/relationships/printerSettings" Target="../printerSettings/printerSettings184.bin"/><Relationship Id="rId9" Type="http://schemas.openxmlformats.org/officeDocument/2006/relationships/printerSettings" Target="../printerSettings/printerSettings18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8.bin"/><Relationship Id="rId3" Type="http://schemas.openxmlformats.org/officeDocument/2006/relationships/printerSettings" Target="../printerSettings/printerSettings193.bin"/><Relationship Id="rId7" Type="http://schemas.openxmlformats.org/officeDocument/2006/relationships/printerSettings" Target="../printerSettings/printerSettings197.bin"/><Relationship Id="rId2" Type="http://schemas.openxmlformats.org/officeDocument/2006/relationships/printerSettings" Target="../printerSettings/printerSettings192.bin"/><Relationship Id="rId1" Type="http://schemas.openxmlformats.org/officeDocument/2006/relationships/printerSettings" Target="../printerSettings/printerSettings191.bin"/><Relationship Id="rId6" Type="http://schemas.openxmlformats.org/officeDocument/2006/relationships/printerSettings" Target="../printerSettings/printerSettings196.bin"/><Relationship Id="rId5" Type="http://schemas.openxmlformats.org/officeDocument/2006/relationships/printerSettings" Target="../printerSettings/printerSettings195.bin"/><Relationship Id="rId4" Type="http://schemas.openxmlformats.org/officeDocument/2006/relationships/printerSettings" Target="../printerSettings/printerSettings19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0.bin"/><Relationship Id="rId1" Type="http://schemas.openxmlformats.org/officeDocument/2006/relationships/printerSettings" Target="../printerSettings/printerSettings19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54"/>
  <sheetViews>
    <sheetView view="pageBreakPreview" zoomScale="80" zoomScaleSheetLayoutView="80" workbookViewId="0">
      <selection activeCell="F23" sqref="F23"/>
    </sheetView>
  </sheetViews>
  <sheetFormatPr defaultRowHeight="15.75"/>
  <cols>
    <col min="1" max="1" width="41.28515625" style="84" customWidth="1"/>
    <col min="2" max="2" width="10" style="85" customWidth="1"/>
    <col min="3" max="3" width="21.140625" style="75" customWidth="1"/>
    <col min="4" max="4" width="20.42578125" style="75" customWidth="1"/>
    <col min="5" max="5" width="13.5703125" style="75" customWidth="1"/>
    <col min="6" max="6" width="20.85546875" style="75" customWidth="1"/>
    <col min="7" max="7" width="21.42578125" style="75" customWidth="1"/>
    <col min="8" max="8" width="12.85546875" style="75" customWidth="1"/>
    <col min="9" max="9" width="21.140625" style="75" customWidth="1"/>
    <col min="10" max="10" width="18" style="75" customWidth="1"/>
    <col min="11" max="11" width="13" style="75" customWidth="1"/>
    <col min="12" max="12" width="23.5703125" style="75" customWidth="1"/>
    <col min="13" max="13" width="12" style="75" customWidth="1"/>
    <col min="14" max="16384" width="9.140625" style="75"/>
  </cols>
  <sheetData>
    <row r="1" spans="1:15" ht="26.25" customHeight="1">
      <c r="A1" s="486" t="s">
        <v>418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123"/>
      <c r="M1" s="123"/>
      <c r="N1" s="123"/>
      <c r="O1" s="123"/>
    </row>
    <row r="2" spans="1:15" ht="33.75" customHeight="1">
      <c r="A2" s="484" t="s">
        <v>180</v>
      </c>
      <c r="B2" s="485" t="s">
        <v>181</v>
      </c>
      <c r="C2" s="481" t="s">
        <v>182</v>
      </c>
      <c r="D2" s="482"/>
      <c r="E2" s="482"/>
      <c r="F2" s="481" t="s">
        <v>183</v>
      </c>
      <c r="G2" s="482"/>
      <c r="H2" s="482"/>
      <c r="I2" s="481" t="s">
        <v>184</v>
      </c>
      <c r="J2" s="482"/>
      <c r="K2" s="487"/>
    </row>
    <row r="3" spans="1:15" ht="53.25" customHeight="1">
      <c r="A3" s="484"/>
      <c r="B3" s="485"/>
      <c r="C3" s="78" t="s">
        <v>410</v>
      </c>
      <c r="D3" s="78" t="s">
        <v>419</v>
      </c>
      <c r="E3" s="138" t="s">
        <v>331</v>
      </c>
      <c r="F3" s="78" t="s">
        <v>410</v>
      </c>
      <c r="G3" s="78" t="s">
        <v>419</v>
      </c>
      <c r="H3" s="138" t="s">
        <v>331</v>
      </c>
      <c r="I3" s="78" t="s">
        <v>410</v>
      </c>
      <c r="J3" s="78" t="s">
        <v>419</v>
      </c>
      <c r="K3" s="78" t="s">
        <v>331</v>
      </c>
    </row>
    <row r="4" spans="1:15" s="80" customFormat="1" ht="30.75" customHeight="1">
      <c r="A4" s="79" t="s">
        <v>4</v>
      </c>
      <c r="B4" s="76"/>
      <c r="C4" s="300">
        <f>SUM(C5:C13)</f>
        <v>177888.33429</v>
      </c>
      <c r="D4" s="300">
        <f>SUM(D5:D13)</f>
        <v>63515.751330000006</v>
      </c>
      <c r="E4" s="300">
        <f>D4/C4*100</f>
        <v>35.705405631857978</v>
      </c>
      <c r="F4" s="300">
        <f>SUM(F5:F13)</f>
        <v>141450.342</v>
      </c>
      <c r="G4" s="300">
        <f>SUM(G5:G13)</f>
        <v>53762.494400000003</v>
      </c>
      <c r="H4" s="300">
        <f>G4/F4*100</f>
        <v>38.008034225891087</v>
      </c>
      <c r="I4" s="300">
        <f>I5+I7+I6+I8+I10+I11+I12+I13</f>
        <v>36437.992289999995</v>
      </c>
      <c r="J4" s="300">
        <f>J5+J6+J7+J8+J10+J11+J12+J13</f>
        <v>9753.2569299999996</v>
      </c>
      <c r="K4" s="300">
        <f>J4/I4*100</f>
        <v>26.766724281558929</v>
      </c>
    </row>
    <row r="5" spans="1:15" ht="27" customHeight="1">
      <c r="A5" s="81" t="s">
        <v>185</v>
      </c>
      <c r="B5" s="77">
        <v>10102</v>
      </c>
      <c r="C5" s="301">
        <f t="shared" ref="C5:D8" si="0">F5+I5</f>
        <v>124004</v>
      </c>
      <c r="D5" s="301">
        <f t="shared" si="0"/>
        <v>45906.826180000004</v>
      </c>
      <c r="E5" s="302">
        <f t="shared" ref="E5:E12" si="1">D5/C5*100</f>
        <v>37.020439808393277</v>
      </c>
      <c r="F5" s="301">
        <f>район!C5</f>
        <v>118707.3</v>
      </c>
      <c r="G5" s="301">
        <f>район!D5</f>
        <v>43785.690860000002</v>
      </c>
      <c r="H5" s="302">
        <f t="shared" ref="H5:H41" si="2">G5/F5*100</f>
        <v>36.885423946126309</v>
      </c>
      <c r="I5" s="301">
        <f>Справка!I31</f>
        <v>5296.6999999999989</v>
      </c>
      <c r="J5" s="301">
        <f>Справка!J31</f>
        <v>2121.1353199999999</v>
      </c>
      <c r="K5" s="302">
        <f t="shared" ref="K5:K12" si="3">J5/I5*100</f>
        <v>40.046355655408092</v>
      </c>
    </row>
    <row r="6" spans="1:15" ht="41.25" customHeight="1">
      <c r="A6" s="81" t="s">
        <v>283</v>
      </c>
      <c r="B6" s="77">
        <v>10300</v>
      </c>
      <c r="C6" s="301">
        <f t="shared" si="0"/>
        <v>13505.805</v>
      </c>
      <c r="D6" s="301">
        <f t="shared" si="0"/>
        <v>6088.4388399999998</v>
      </c>
      <c r="E6" s="302">
        <f t="shared" si="1"/>
        <v>45.080162493090931</v>
      </c>
      <c r="F6" s="301">
        <f>район!C7</f>
        <v>5331.89</v>
      </c>
      <c r="G6" s="301">
        <f>район!D7</f>
        <v>2127.9777899999999</v>
      </c>
      <c r="H6" s="302">
        <f t="shared" si="2"/>
        <v>39.91038431025396</v>
      </c>
      <c r="I6" s="301">
        <f>Справка!L31+Справка!R31+Справка!O31</f>
        <v>8173.915</v>
      </c>
      <c r="J6" s="301">
        <f>Справка!M31+Справка!S31+Справка!P31+Справка!V31</f>
        <v>3960.4610499999999</v>
      </c>
      <c r="K6" s="302">
        <f t="shared" si="3"/>
        <v>48.452437418299553</v>
      </c>
    </row>
    <row r="7" spans="1:15" ht="19.5" customHeight="1">
      <c r="A7" s="81" t="s">
        <v>186</v>
      </c>
      <c r="B7" s="77">
        <v>10500</v>
      </c>
      <c r="C7" s="301">
        <f t="shared" si="0"/>
        <v>12131.152</v>
      </c>
      <c r="D7" s="301">
        <f t="shared" si="0"/>
        <v>6660.5697600000003</v>
      </c>
      <c r="E7" s="302">
        <f t="shared" si="1"/>
        <v>54.904676489091884</v>
      </c>
      <c r="F7" s="301">
        <f>район!C12</f>
        <v>11661.152</v>
      </c>
      <c r="G7" s="301">
        <f>район!D12</f>
        <v>6138.3245200000001</v>
      </c>
      <c r="H7" s="302">
        <f t="shared" si="2"/>
        <v>52.639091918191269</v>
      </c>
      <c r="I7" s="301">
        <f>Справка!X31</f>
        <v>470</v>
      </c>
      <c r="J7" s="301">
        <f>Справка!Y31</f>
        <v>522.24524000000008</v>
      </c>
      <c r="K7" s="302">
        <f t="shared" si="3"/>
        <v>111.11600851063832</v>
      </c>
    </row>
    <row r="8" spans="1:15" ht="19.5" customHeight="1">
      <c r="A8" s="81" t="s">
        <v>187</v>
      </c>
      <c r="B8" s="77">
        <v>10601</v>
      </c>
      <c r="C8" s="301">
        <f t="shared" si="0"/>
        <v>4631</v>
      </c>
      <c r="D8" s="301">
        <f t="shared" si="0"/>
        <v>648.08966000000009</v>
      </c>
      <c r="E8" s="302">
        <f t="shared" si="1"/>
        <v>13.994594256100196</v>
      </c>
      <c r="F8" s="301"/>
      <c r="G8" s="301"/>
      <c r="H8" s="302"/>
      <c r="I8" s="301">
        <f>Справка!AA31</f>
        <v>4631</v>
      </c>
      <c r="J8" s="301">
        <f>Справка!AB31</f>
        <v>648.08966000000009</v>
      </c>
      <c r="K8" s="302">
        <f t="shared" si="3"/>
        <v>13.994594256100196</v>
      </c>
    </row>
    <row r="9" spans="1:15" ht="19.5" customHeight="1">
      <c r="A9" s="81" t="s">
        <v>284</v>
      </c>
      <c r="B9" s="77">
        <v>10604</v>
      </c>
      <c r="C9" s="301">
        <f>F9</f>
        <v>2050</v>
      </c>
      <c r="D9" s="301">
        <f>G9</f>
        <v>305.40431999999998</v>
      </c>
      <c r="E9" s="302">
        <f t="shared" si="1"/>
        <v>14.897771707317073</v>
      </c>
      <c r="F9" s="301">
        <f>район!C16</f>
        <v>2050</v>
      </c>
      <c r="G9" s="301">
        <f>район!D19</f>
        <v>305.40431999999998</v>
      </c>
      <c r="H9" s="302">
        <f t="shared" si="2"/>
        <v>14.897771707317073</v>
      </c>
      <c r="I9" s="301"/>
      <c r="J9" s="301"/>
      <c r="K9" s="302"/>
    </row>
    <row r="10" spans="1:15" ht="19.5" customHeight="1">
      <c r="A10" s="81" t="s">
        <v>188</v>
      </c>
      <c r="B10" s="77">
        <v>10606</v>
      </c>
      <c r="C10" s="301">
        <f t="shared" ref="C10:D13" si="4">F10+I10</f>
        <v>17719.37729</v>
      </c>
      <c r="D10" s="301">
        <f t="shared" si="4"/>
        <v>2450.7956600000002</v>
      </c>
      <c r="E10" s="302">
        <f t="shared" si="1"/>
        <v>13.831161331968007</v>
      </c>
      <c r="F10" s="301"/>
      <c r="G10" s="301"/>
      <c r="H10" s="302">
        <v>0</v>
      </c>
      <c r="I10" s="301">
        <f>Справка!AD31</f>
        <v>17719.37729</v>
      </c>
      <c r="J10" s="301">
        <f>Справка!AE31</f>
        <v>2450.7956600000002</v>
      </c>
      <c r="K10" s="302">
        <f t="shared" si="3"/>
        <v>13.831161331968007</v>
      </c>
    </row>
    <row r="11" spans="1:15" ht="33.75" customHeight="1">
      <c r="A11" s="81" t="s">
        <v>189</v>
      </c>
      <c r="B11" s="77">
        <v>10701</v>
      </c>
      <c r="C11" s="301">
        <f t="shared" si="4"/>
        <v>1000</v>
      </c>
      <c r="D11" s="301">
        <f t="shared" si="4"/>
        <v>412.68009999999998</v>
      </c>
      <c r="E11" s="302">
        <f t="shared" si="1"/>
        <v>41.268009999999997</v>
      </c>
      <c r="F11" s="301">
        <f>район!C21</f>
        <v>1000</v>
      </c>
      <c r="G11" s="301">
        <f>район!D21</f>
        <v>412.68009999999998</v>
      </c>
      <c r="H11" s="302">
        <f t="shared" si="2"/>
        <v>41.268009999999997</v>
      </c>
      <c r="I11" s="301"/>
      <c r="J11" s="301"/>
      <c r="K11" s="302">
        <v>0</v>
      </c>
    </row>
    <row r="12" spans="1:15" ht="19.5" customHeight="1">
      <c r="A12" s="81" t="s">
        <v>190</v>
      </c>
      <c r="B12" s="77">
        <v>10800</v>
      </c>
      <c r="C12" s="301">
        <f t="shared" si="4"/>
        <v>2847</v>
      </c>
      <c r="D12" s="301">
        <f t="shared" si="4"/>
        <v>1042.9468099999999</v>
      </c>
      <c r="E12" s="302">
        <f t="shared" si="1"/>
        <v>36.633186160871091</v>
      </c>
      <c r="F12" s="301">
        <f>район!C23</f>
        <v>2700</v>
      </c>
      <c r="G12" s="301">
        <f>район!D23</f>
        <v>992.41680999999994</v>
      </c>
      <c r="H12" s="302">
        <f t="shared" si="2"/>
        <v>36.756178148148145</v>
      </c>
      <c r="I12" s="301">
        <f>Справка!AG31</f>
        <v>147</v>
      </c>
      <c r="J12" s="301">
        <f>Справка!AH31</f>
        <v>50.53</v>
      </c>
      <c r="K12" s="302">
        <f t="shared" si="3"/>
        <v>34.374149659863946</v>
      </c>
    </row>
    <row r="13" spans="1:15" ht="19.5" customHeight="1">
      <c r="A13" s="81" t="s">
        <v>191</v>
      </c>
      <c r="B13" s="77">
        <v>10900</v>
      </c>
      <c r="C13" s="301">
        <f t="shared" si="4"/>
        <v>0</v>
      </c>
      <c r="D13" s="301">
        <f t="shared" si="4"/>
        <v>0</v>
      </c>
      <c r="E13" s="302"/>
      <c r="F13" s="301">
        <f>район!C27</f>
        <v>0</v>
      </c>
      <c r="G13" s="301">
        <f>район!D27</f>
        <v>0</v>
      </c>
      <c r="H13" s="302"/>
      <c r="I13" s="301">
        <f>Справка!AJ31</f>
        <v>0</v>
      </c>
      <c r="J13" s="301">
        <f>Справка!AK31</f>
        <v>0</v>
      </c>
      <c r="K13" s="302"/>
    </row>
    <row r="14" spans="1:15" s="80" customFormat="1" ht="27" customHeight="1">
      <c r="A14" s="79" t="s">
        <v>12</v>
      </c>
      <c r="B14" s="76"/>
      <c r="C14" s="300">
        <f>SUM(C15:C21)</f>
        <v>30844.87628</v>
      </c>
      <c r="D14" s="300">
        <f>SUM(D15:D21)</f>
        <v>8544.7973899999997</v>
      </c>
      <c r="E14" s="300">
        <f t="shared" ref="E14:E39" si="5">D14/C14*100</f>
        <v>27.702485535792203</v>
      </c>
      <c r="F14" s="300">
        <f>F15+F16+F17+F18+F20+F21+F19</f>
        <v>28011.599999999999</v>
      </c>
      <c r="G14" s="300">
        <f>G15+G16+G17+G18+G20+G21+G19</f>
        <v>7122.2991500000007</v>
      </c>
      <c r="H14" s="300">
        <f t="shared" si="2"/>
        <v>25.426248946864877</v>
      </c>
      <c r="I14" s="303">
        <f>I15+I16+I17+I18+I20+I21+I26</f>
        <v>2833.2762800000005</v>
      </c>
      <c r="J14" s="303">
        <f>J15+J16+J17+J18+J20+J21+J26</f>
        <v>1422.4982399999997</v>
      </c>
      <c r="K14" s="300">
        <f>J14/I14*100</f>
        <v>50.206831223674364</v>
      </c>
    </row>
    <row r="15" spans="1:15" ht="52.5" customHeight="1">
      <c r="A15" s="81" t="s">
        <v>192</v>
      </c>
      <c r="B15" s="77">
        <v>11100</v>
      </c>
      <c r="C15" s="301">
        <f t="shared" ref="C15:D22" si="6">F15+I15</f>
        <v>13366.7</v>
      </c>
      <c r="D15" s="301">
        <f t="shared" si="6"/>
        <v>5103.3037800000002</v>
      </c>
      <c r="E15" s="301">
        <f t="shared" si="5"/>
        <v>38.17923481487577</v>
      </c>
      <c r="F15" s="301">
        <f>район!C33</f>
        <v>11511.6</v>
      </c>
      <c r="G15" s="301">
        <f>район!D33</f>
        <v>4257.8384999999998</v>
      </c>
      <c r="H15" s="301">
        <f t="shared" si="2"/>
        <v>36.987373605754193</v>
      </c>
      <c r="I15" s="301">
        <f>Справка!AP31+Справка!AS31+Справка!AM31</f>
        <v>1855.1000000000001</v>
      </c>
      <c r="J15" s="301">
        <f>Справка!AQ31+Справка!AT31+Справка!AN31</f>
        <v>845.46527999999989</v>
      </c>
      <c r="K15" s="302">
        <f>J15/I15*100</f>
        <v>45.575186243329192</v>
      </c>
    </row>
    <row r="16" spans="1:15" ht="33" customHeight="1">
      <c r="A16" s="81" t="s">
        <v>193</v>
      </c>
      <c r="B16" s="77">
        <v>11200</v>
      </c>
      <c r="C16" s="301">
        <f t="shared" si="6"/>
        <v>600</v>
      </c>
      <c r="D16" s="301">
        <f t="shared" si="6"/>
        <v>350.63726000000003</v>
      </c>
      <c r="E16" s="301">
        <f t="shared" si="5"/>
        <v>58.439543333333333</v>
      </c>
      <c r="F16" s="301">
        <f>район!C42</f>
        <v>600</v>
      </c>
      <c r="G16" s="301">
        <f>район!D42</f>
        <v>350.63726000000003</v>
      </c>
      <c r="H16" s="301">
        <f t="shared" si="2"/>
        <v>58.439543333333333</v>
      </c>
      <c r="I16" s="301">
        <v>0</v>
      </c>
      <c r="J16" s="301">
        <v>0</v>
      </c>
      <c r="K16" s="302">
        <v>0</v>
      </c>
    </row>
    <row r="17" spans="1:13" ht="33" customHeight="1">
      <c r="A17" s="81" t="s">
        <v>194</v>
      </c>
      <c r="B17" s="77">
        <v>11300</v>
      </c>
      <c r="C17" s="301">
        <f t="shared" si="6"/>
        <v>530</v>
      </c>
      <c r="D17" s="301">
        <f t="shared" si="6"/>
        <v>510.09350999999998</v>
      </c>
      <c r="E17" s="301">
        <f>D17/C17*100</f>
        <v>96.244058490566033</v>
      </c>
      <c r="F17" s="301">
        <f>район!C44</f>
        <v>0</v>
      </c>
      <c r="G17" s="301">
        <f>район!D44</f>
        <v>1.2607900000000001</v>
      </c>
      <c r="H17" s="301" t="e">
        <f t="shared" si="2"/>
        <v>#DIV/0!</v>
      </c>
      <c r="I17" s="301">
        <f>Справка!AY31</f>
        <v>530</v>
      </c>
      <c r="J17" s="301">
        <f>Справка!AZ31</f>
        <v>508.83271999999999</v>
      </c>
      <c r="K17" s="302">
        <f>J17/I17*100</f>
        <v>96.006173584905667</v>
      </c>
    </row>
    <row r="18" spans="1:13" ht="33" customHeight="1">
      <c r="A18" s="81" t="s">
        <v>195</v>
      </c>
      <c r="B18" s="77">
        <v>11400</v>
      </c>
      <c r="C18" s="301">
        <f t="shared" si="6"/>
        <v>10748.17628</v>
      </c>
      <c r="D18" s="301">
        <f t="shared" si="6"/>
        <v>471.49044000000004</v>
      </c>
      <c r="E18" s="301">
        <f t="shared" si="5"/>
        <v>4.3867017782108801</v>
      </c>
      <c r="F18" s="301">
        <f>район!C47</f>
        <v>10300</v>
      </c>
      <c r="G18" s="301">
        <f>район!D47</f>
        <v>465.09144000000003</v>
      </c>
      <c r="H18" s="301">
        <f t="shared" si="2"/>
        <v>4.5154508737864081</v>
      </c>
      <c r="I18" s="301">
        <f>Справка!BE31</f>
        <v>448.17627999999996</v>
      </c>
      <c r="J18" s="301">
        <f>Справка!BF31</f>
        <v>6.399</v>
      </c>
      <c r="K18" s="302">
        <f>J18/I18*100</f>
        <v>1.4277864058312055</v>
      </c>
    </row>
    <row r="19" spans="1:13" ht="23.25" customHeight="1">
      <c r="A19" s="81" t="s">
        <v>250</v>
      </c>
      <c r="B19" s="77">
        <v>11500</v>
      </c>
      <c r="C19" s="301">
        <f t="shared" si="6"/>
        <v>0</v>
      </c>
      <c r="D19" s="301">
        <f t="shared" si="6"/>
        <v>0</v>
      </c>
      <c r="E19" s="301"/>
      <c r="F19" s="301">
        <f>район!C50</f>
        <v>0</v>
      </c>
      <c r="G19" s="301">
        <f>район!D50</f>
        <v>0</v>
      </c>
      <c r="H19" s="301"/>
      <c r="I19" s="301"/>
      <c r="J19" s="301"/>
      <c r="K19" s="302"/>
    </row>
    <row r="20" spans="1:13" ht="22.5" customHeight="1">
      <c r="A20" s="81" t="s">
        <v>196</v>
      </c>
      <c r="B20" s="77">
        <v>11600</v>
      </c>
      <c r="C20" s="301">
        <f t="shared" si="6"/>
        <v>5600</v>
      </c>
      <c r="D20" s="301">
        <f t="shared" si="6"/>
        <v>2103.8647099999998</v>
      </c>
      <c r="E20" s="301">
        <f t="shared" si="5"/>
        <v>37.569012678571426</v>
      </c>
      <c r="F20" s="301">
        <f>район!C52</f>
        <v>5600</v>
      </c>
      <c r="G20" s="301">
        <f>район!D52</f>
        <v>2047.4711600000001</v>
      </c>
      <c r="H20" s="301">
        <f t="shared" si="2"/>
        <v>36.561985</v>
      </c>
      <c r="I20" s="301">
        <f>Справка!BN31</f>
        <v>0</v>
      </c>
      <c r="J20" s="301">
        <f>Справка!BO31</f>
        <v>56.393550000000005</v>
      </c>
      <c r="K20" s="302">
        <v>0</v>
      </c>
    </row>
    <row r="21" spans="1:13" ht="31.5" customHeight="1">
      <c r="A21" s="81" t="s">
        <v>197</v>
      </c>
      <c r="B21" s="77">
        <v>11700</v>
      </c>
      <c r="C21" s="301">
        <f t="shared" si="6"/>
        <v>0</v>
      </c>
      <c r="D21" s="301">
        <f t="shared" si="6"/>
        <v>5.4076900000000006</v>
      </c>
      <c r="E21" s="301"/>
      <c r="F21" s="301">
        <f>район!C69</f>
        <v>0</v>
      </c>
      <c r="G21" s="301">
        <f>район!D69</f>
        <v>0</v>
      </c>
      <c r="H21" s="301"/>
      <c r="I21" s="301">
        <f>Справка!BQ31</f>
        <v>0</v>
      </c>
      <c r="J21" s="301">
        <f>Справка!BR31</f>
        <v>5.4076900000000006</v>
      </c>
      <c r="K21" s="302">
        <v>0</v>
      </c>
    </row>
    <row r="22" spans="1:13" ht="45.75" hidden="1" customHeight="1">
      <c r="A22" s="79" t="s">
        <v>198</v>
      </c>
      <c r="B22" s="76">
        <v>30000</v>
      </c>
      <c r="C22" s="300">
        <f t="shared" si="6"/>
        <v>0</v>
      </c>
      <c r="D22" s="300">
        <f t="shared" si="6"/>
        <v>0</v>
      </c>
      <c r="E22" s="300"/>
      <c r="F22" s="300">
        <v>0</v>
      </c>
      <c r="G22" s="300">
        <v>0</v>
      </c>
      <c r="H22" s="300"/>
      <c r="I22" s="300">
        <v>0</v>
      </c>
      <c r="J22" s="300">
        <v>0</v>
      </c>
      <c r="K22" s="300"/>
    </row>
    <row r="23" spans="1:13" ht="36.75" customHeight="1">
      <c r="A23" s="79" t="s">
        <v>18</v>
      </c>
      <c r="B23" s="76">
        <v>10000</v>
      </c>
      <c r="C23" s="303">
        <f>SUM(C4,C14,C22,)</f>
        <v>208733.21057</v>
      </c>
      <c r="D23" s="303">
        <f>SUM(D4,D14,)</f>
        <v>72060.548720000006</v>
      </c>
      <c r="E23" s="300">
        <f t="shared" si="5"/>
        <v>34.522799952733948</v>
      </c>
      <c r="F23" s="303">
        <f>SUM(F4,F14,)</f>
        <v>169461.94200000001</v>
      </c>
      <c r="G23" s="303">
        <f>SUM(G4,G14,G22)</f>
        <v>60884.793550000002</v>
      </c>
      <c r="H23" s="300">
        <f t="shared" si="2"/>
        <v>35.928299198884432</v>
      </c>
      <c r="I23" s="303">
        <f>I4+I14</f>
        <v>39271.268569999993</v>
      </c>
      <c r="J23" s="303">
        <f>J4+J14</f>
        <v>11175.755169999999</v>
      </c>
      <c r="K23" s="300">
        <f>J23/I23*100</f>
        <v>28.457841004243374</v>
      </c>
    </row>
    <row r="24" spans="1:13" ht="33" customHeight="1">
      <c r="A24" s="79" t="s">
        <v>199</v>
      </c>
      <c r="B24" s="76">
        <v>20200</v>
      </c>
      <c r="C24" s="304">
        <v>635807.23241000006</v>
      </c>
      <c r="D24" s="304">
        <v>198499.91166000001</v>
      </c>
      <c r="E24" s="303">
        <f t="shared" si="5"/>
        <v>31.220140561722552</v>
      </c>
      <c r="F24" s="303">
        <f>район!C73</f>
        <v>630757.43241000001</v>
      </c>
      <c r="G24" s="303">
        <f>район!D73</f>
        <v>178410.93766</v>
      </c>
      <c r="H24" s="300">
        <f t="shared" si="2"/>
        <v>28.285189914976812</v>
      </c>
      <c r="I24" s="303">
        <f>Справка!BZ31</f>
        <v>102250.41182000001</v>
      </c>
      <c r="J24" s="303">
        <f>Справка!CA31</f>
        <v>23409.539790000003</v>
      </c>
      <c r="K24" s="300">
        <f t="shared" ref="K24:K38" si="7">J24/I24*100</f>
        <v>22.894323233836733</v>
      </c>
    </row>
    <row r="25" spans="1:13" ht="33" customHeight="1">
      <c r="A25" s="79" t="s">
        <v>302</v>
      </c>
      <c r="B25" s="76">
        <v>20700</v>
      </c>
      <c r="C25" s="305">
        <f>F25+I25</f>
        <v>3518.3680800000002</v>
      </c>
      <c r="D25" s="305">
        <f>G25+J25</f>
        <v>2888.22379</v>
      </c>
      <c r="E25" s="303">
        <f t="shared" si="5"/>
        <v>82.089870199140719</v>
      </c>
      <c r="F25" s="303"/>
      <c r="G25" s="303"/>
      <c r="H25" s="300"/>
      <c r="I25" s="303">
        <f>Справка!CR31</f>
        <v>3518.3680800000002</v>
      </c>
      <c r="J25" s="303">
        <f>Справка!CS31</f>
        <v>2888.22379</v>
      </c>
      <c r="K25" s="300">
        <f t="shared" si="7"/>
        <v>82.089870199140719</v>
      </c>
    </row>
    <row r="26" spans="1:13" ht="33" customHeight="1">
      <c r="A26" s="79" t="s">
        <v>262</v>
      </c>
      <c r="B26" s="77">
        <v>21900</v>
      </c>
      <c r="C26" s="305">
        <f>F26+I26</f>
        <v>-29040.5</v>
      </c>
      <c r="D26" s="305">
        <f>G26+J26</f>
        <v>-29058.792000000001</v>
      </c>
      <c r="E26" s="303"/>
      <c r="F26" s="302">
        <f>район!C81</f>
        <v>-29040.5</v>
      </c>
      <c r="G26" s="302">
        <f>район!D81</f>
        <v>-29058.792000000001</v>
      </c>
      <c r="H26" s="300"/>
      <c r="I26" s="302">
        <v>0</v>
      </c>
      <c r="J26" s="302">
        <v>0</v>
      </c>
      <c r="K26" s="302">
        <v>0</v>
      </c>
      <c r="L26" s="83"/>
    </row>
    <row r="27" spans="1:13" ht="29.25" customHeight="1">
      <c r="A27" s="76" t="s">
        <v>200</v>
      </c>
      <c r="B27" s="76"/>
      <c r="C27" s="307">
        <f>C24+C23+C26+C25</f>
        <v>819018.31106000009</v>
      </c>
      <c r="D27" s="307">
        <f>D24+D23+D26+D25</f>
        <v>244389.89216999998</v>
      </c>
      <c r="E27" s="307">
        <f t="shared" si="5"/>
        <v>29.839368530564673</v>
      </c>
      <c r="F27" s="307">
        <f>F24+F23</f>
        <v>800219.37441000005</v>
      </c>
      <c r="G27" s="307">
        <f>G24+G23</f>
        <v>239295.73121</v>
      </c>
      <c r="H27" s="307">
        <f t="shared" si="2"/>
        <v>29.903766249902684</v>
      </c>
      <c r="I27" s="307">
        <f>I24+I23</f>
        <v>141521.68038999999</v>
      </c>
      <c r="J27" s="307">
        <f>J24+J23</f>
        <v>34585.294959999999</v>
      </c>
      <c r="K27" s="306">
        <f t="shared" si="7"/>
        <v>24.438160191916303</v>
      </c>
      <c r="L27" s="95"/>
      <c r="M27" s="83"/>
    </row>
    <row r="28" spans="1:13" ht="29.25" customHeight="1">
      <c r="A28" s="76" t="s">
        <v>201</v>
      </c>
      <c r="B28" s="76"/>
      <c r="C28" s="307">
        <f>C29+C30+C31+C32+C33+C34+C35+C36+C37+C41+C38+C39+C40</f>
        <v>860912.96038999991</v>
      </c>
      <c r="D28" s="307">
        <f>SUM(D29:D41)</f>
        <v>280615.58927</v>
      </c>
      <c r="E28" s="307">
        <f t="shared" si="5"/>
        <v>32.595117297674214</v>
      </c>
      <c r="F28" s="307">
        <f>SUM(F29+F30+F31+F32+F33+F34+F35+F36+F37+F38+F39+F40+F41)</f>
        <v>834517.72597999987</v>
      </c>
      <c r="G28" s="307">
        <f>SUM(G29:G41)</f>
        <v>276892.25904999999</v>
      </c>
      <c r="H28" s="307">
        <f t="shared" si="2"/>
        <v>33.179913431417759</v>
      </c>
      <c r="I28" s="307">
        <f>I29+I30+I31+I32+I33+I34+I35+I36+I37+I38+I39+I40+I41</f>
        <v>149117.97815000004</v>
      </c>
      <c r="J28" s="307">
        <f>J29+J30+J31+J32+J33+J34+J35+J36+J37+J38+J39+J40+J41</f>
        <v>33214.464220000009</v>
      </c>
      <c r="K28" s="306">
        <f t="shared" si="7"/>
        <v>22.273950218523666</v>
      </c>
      <c r="L28" s="95"/>
    </row>
    <row r="29" spans="1:13" ht="30.75" customHeight="1">
      <c r="A29" s="81" t="s">
        <v>202</v>
      </c>
      <c r="B29" s="82" t="s">
        <v>29</v>
      </c>
      <c r="C29" s="420">
        <f>F29+I29</f>
        <v>68057.022129999998</v>
      </c>
      <c r="D29" s="420">
        <f>G29+J29</f>
        <v>24836.68002</v>
      </c>
      <c r="E29" s="309">
        <f t="shared" si="5"/>
        <v>36.493927066861517</v>
      </c>
      <c r="F29" s="301">
        <f>район!C88</f>
        <v>45734.480129999996</v>
      </c>
      <c r="G29" s="309">
        <f>район!D88</f>
        <v>16956.6728</v>
      </c>
      <c r="H29" s="310">
        <f t="shared" si="2"/>
        <v>37.076343169968816</v>
      </c>
      <c r="I29" s="310">
        <f>Справка!DJ31</f>
        <v>22322.542000000001</v>
      </c>
      <c r="J29" s="310">
        <f>Справка!DK31</f>
        <v>7880.0072199999995</v>
      </c>
      <c r="K29" s="310">
        <f t="shared" si="7"/>
        <v>35.300671491624918</v>
      </c>
    </row>
    <row r="30" spans="1:13" ht="30.75" customHeight="1">
      <c r="A30" s="81" t="s">
        <v>203</v>
      </c>
      <c r="B30" s="82" t="s">
        <v>45</v>
      </c>
      <c r="C30" s="305">
        <f>I30</f>
        <v>2158.6999999999998</v>
      </c>
      <c r="D30" s="305">
        <f>J30</f>
        <v>748.44057000000009</v>
      </c>
      <c r="E30" s="309">
        <f t="shared" si="5"/>
        <v>34.670893130124618</v>
      </c>
      <c r="F30" s="301">
        <f>район!C96</f>
        <v>2158.6999999999998</v>
      </c>
      <c r="G30" s="309">
        <f>район!D96</f>
        <v>895.2</v>
      </c>
      <c r="H30" s="310">
        <f t="shared" si="2"/>
        <v>41.469402881363784</v>
      </c>
      <c r="I30" s="310">
        <f>Справка!DY31</f>
        <v>2158.6999999999998</v>
      </c>
      <c r="J30" s="310">
        <f>Справка!DZ31</f>
        <v>748.44057000000009</v>
      </c>
      <c r="K30" s="310">
        <f t="shared" si="7"/>
        <v>34.670893130124618</v>
      </c>
    </row>
    <row r="31" spans="1:13" ht="33" customHeight="1">
      <c r="A31" s="81" t="s">
        <v>204</v>
      </c>
      <c r="B31" s="82" t="s">
        <v>49</v>
      </c>
      <c r="C31" s="420">
        <f>F31+I31</f>
        <v>14821.480000000001</v>
      </c>
      <c r="D31" s="420">
        <f>G31+J31</f>
        <v>1551.2439400000003</v>
      </c>
      <c r="E31" s="309">
        <f t="shared" si="5"/>
        <v>10.466187857083099</v>
      </c>
      <c r="F31" s="301">
        <f>район!C98</f>
        <v>14584.7</v>
      </c>
      <c r="G31" s="309">
        <f>район!D98</f>
        <v>1492.0435100000002</v>
      </c>
      <c r="H31" s="310">
        <f t="shared" si="2"/>
        <v>10.230196781558758</v>
      </c>
      <c r="I31" s="310">
        <f>Справка!EB31</f>
        <v>236.78000000000003</v>
      </c>
      <c r="J31" s="310">
        <f>Справка!EC31</f>
        <v>59.200429999999997</v>
      </c>
      <c r="K31" s="310">
        <f t="shared" si="7"/>
        <v>25.002293268012497</v>
      </c>
    </row>
    <row r="32" spans="1:13" ht="30" customHeight="1">
      <c r="A32" s="81" t="s">
        <v>205</v>
      </c>
      <c r="B32" s="82" t="s">
        <v>57</v>
      </c>
      <c r="C32" s="308">
        <v>222216.79827</v>
      </c>
      <c r="D32" s="308">
        <v>21226.441009999999</v>
      </c>
      <c r="E32" s="309">
        <f t="shared" si="5"/>
        <v>9.5521316008744055</v>
      </c>
      <c r="F32" s="301">
        <f>район!C104</f>
        <v>196332.209</v>
      </c>
      <c r="G32" s="309">
        <f>район!D104</f>
        <v>16944.207260000003</v>
      </c>
      <c r="H32" s="310">
        <f t="shared" si="2"/>
        <v>8.6303757016251996</v>
      </c>
      <c r="I32" s="310">
        <f>Справка!EE31</f>
        <v>62085.689269999995</v>
      </c>
      <c r="J32" s="310">
        <f>Справка!EF31</f>
        <v>8886.9347500000003</v>
      </c>
      <c r="K32" s="310">
        <f t="shared" si="7"/>
        <v>14.313982585185208</v>
      </c>
    </row>
    <row r="33" spans="1:12" ht="30" customHeight="1">
      <c r="A33" s="81" t="s">
        <v>206</v>
      </c>
      <c r="B33" s="82" t="s">
        <v>67</v>
      </c>
      <c r="C33" s="308">
        <v>30219.227419999999</v>
      </c>
      <c r="D33" s="308">
        <v>4437.4557000000004</v>
      </c>
      <c r="E33" s="309">
        <f t="shared" si="5"/>
        <v>14.684212929491236</v>
      </c>
      <c r="F33" s="301">
        <f>район!C111</f>
        <v>16338.85828</v>
      </c>
      <c r="G33" s="309">
        <f>район!D111</f>
        <v>469.02343999999999</v>
      </c>
      <c r="H33" s="310">
        <f t="shared" si="2"/>
        <v>2.8706010662576111</v>
      </c>
      <c r="I33" s="310">
        <f>Справка!EH31</f>
        <v>22670.727420000003</v>
      </c>
      <c r="J33" s="310">
        <f>Справка!EI31</f>
        <v>3968.4322599999996</v>
      </c>
      <c r="K33" s="310">
        <f t="shared" si="7"/>
        <v>17.504653408249567</v>
      </c>
    </row>
    <row r="34" spans="1:12" ht="30" customHeight="1">
      <c r="A34" s="81" t="s">
        <v>207</v>
      </c>
      <c r="B34" s="82" t="s">
        <v>75</v>
      </c>
      <c r="C34" s="305">
        <f>F34</f>
        <v>32</v>
      </c>
      <c r="D34" s="305">
        <f>G34</f>
        <v>32</v>
      </c>
      <c r="E34" s="309">
        <f t="shared" si="5"/>
        <v>100</v>
      </c>
      <c r="F34" s="301">
        <f>район!C115</f>
        <v>32</v>
      </c>
      <c r="G34" s="309">
        <f>район!D115</f>
        <v>32</v>
      </c>
      <c r="H34" s="310">
        <f t="shared" si="2"/>
        <v>100</v>
      </c>
      <c r="I34" s="309"/>
      <c r="J34" s="309"/>
      <c r="K34" s="310">
        <v>0</v>
      </c>
    </row>
    <row r="35" spans="1:12" ht="30" customHeight="1">
      <c r="A35" s="81" t="s">
        <v>208</v>
      </c>
      <c r="B35" s="82" t="s">
        <v>79</v>
      </c>
      <c r="C35" s="305">
        <f>F35</f>
        <v>399260.02046999999</v>
      </c>
      <c r="D35" s="305">
        <f>G35</f>
        <v>180487.48122999998</v>
      </c>
      <c r="E35" s="309">
        <f t="shared" si="5"/>
        <v>45.205498165715206</v>
      </c>
      <c r="F35" s="301">
        <f>район!C117</f>
        <v>399260.02046999999</v>
      </c>
      <c r="G35" s="309">
        <f>район!D117</f>
        <v>180487.48122999998</v>
      </c>
      <c r="H35" s="310">
        <f t="shared" si="2"/>
        <v>45.205498165715206</v>
      </c>
      <c r="I35" s="309"/>
      <c r="J35" s="309"/>
      <c r="K35" s="310">
        <v>0</v>
      </c>
    </row>
    <row r="36" spans="1:12" ht="30" customHeight="1">
      <c r="A36" s="81" t="s">
        <v>209</v>
      </c>
      <c r="B36" s="82" t="s">
        <v>85</v>
      </c>
      <c r="C36" s="308">
        <v>64212.968730000001</v>
      </c>
      <c r="D36" s="308">
        <v>19836.828850000002</v>
      </c>
      <c r="E36" s="309">
        <f t="shared" si="5"/>
        <v>30.89224691262768</v>
      </c>
      <c r="F36" s="301">
        <f>район!C123</f>
        <v>53864.284160000003</v>
      </c>
      <c r="G36" s="309">
        <f>район!D123</f>
        <v>17199.14386</v>
      </c>
      <c r="H36" s="310">
        <f t="shared" si="2"/>
        <v>31.930515977732433</v>
      </c>
      <c r="I36" s="310">
        <f>Справка!EK31</f>
        <v>39324.143460000007</v>
      </c>
      <c r="J36" s="310">
        <f>Справка!EL31</f>
        <v>11607.502990000001</v>
      </c>
      <c r="K36" s="310">
        <f t="shared" si="7"/>
        <v>29.517497315121428</v>
      </c>
      <c r="L36" s="83"/>
    </row>
    <row r="37" spans="1:12" ht="30" customHeight="1">
      <c r="A37" s="81" t="s">
        <v>210</v>
      </c>
      <c r="B37" s="82" t="s">
        <v>211</v>
      </c>
      <c r="C37" s="308">
        <v>44287.707369999996</v>
      </c>
      <c r="D37" s="308">
        <v>24458.230200000002</v>
      </c>
      <c r="E37" s="309">
        <f t="shared" si="5"/>
        <v>55.225776298747263</v>
      </c>
      <c r="F37" s="301">
        <f>район!C126</f>
        <v>44287.707369999996</v>
      </c>
      <c r="G37" s="309">
        <f>район!D126</f>
        <v>24458.230199999998</v>
      </c>
      <c r="H37" s="310">
        <f t="shared" si="2"/>
        <v>55.225776298747256</v>
      </c>
      <c r="I37" s="310">
        <f>Справка!EN31</f>
        <v>0</v>
      </c>
      <c r="J37" s="310">
        <f>Справка!EO31</f>
        <v>0</v>
      </c>
      <c r="K37" s="310"/>
    </row>
    <row r="38" spans="1:12" ht="30" customHeight="1">
      <c r="A38" s="81" t="s">
        <v>212</v>
      </c>
      <c r="B38" s="82" t="s">
        <v>94</v>
      </c>
      <c r="C38" s="308">
        <v>15601.896000000001</v>
      </c>
      <c r="D38" s="308">
        <v>3000.78775</v>
      </c>
      <c r="E38" s="309">
        <f t="shared" si="5"/>
        <v>19.233481302528872</v>
      </c>
      <c r="F38" s="301">
        <f>район!C131</f>
        <v>15282.5</v>
      </c>
      <c r="G38" s="309">
        <f>район!D131</f>
        <v>2936.8417499999996</v>
      </c>
      <c r="H38" s="310">
        <f t="shared" si="2"/>
        <v>19.217024374284307</v>
      </c>
      <c r="I38" s="310">
        <f>Справка!EQ31</f>
        <v>319.39600000000002</v>
      </c>
      <c r="J38" s="310">
        <f>Справка!ER31</f>
        <v>63.945999999999998</v>
      </c>
      <c r="K38" s="310">
        <f t="shared" si="7"/>
        <v>20.020914476073585</v>
      </c>
    </row>
    <row r="39" spans="1:12" ht="30" customHeight="1">
      <c r="A39" s="81" t="s">
        <v>213</v>
      </c>
      <c r="B39" s="82" t="s">
        <v>106</v>
      </c>
      <c r="C39" s="301">
        <f>F39</f>
        <v>45.14</v>
      </c>
      <c r="D39" s="311">
        <f>G39</f>
        <v>0</v>
      </c>
      <c r="E39" s="309">
        <f t="shared" si="5"/>
        <v>0</v>
      </c>
      <c r="F39" s="301">
        <f>район!C137</f>
        <v>45.14</v>
      </c>
      <c r="G39" s="309">
        <f>район!D137</f>
        <v>0</v>
      </c>
      <c r="H39" s="310">
        <f t="shared" si="2"/>
        <v>0</v>
      </c>
      <c r="I39" s="310"/>
      <c r="J39" s="310"/>
      <c r="K39" s="310">
        <v>0</v>
      </c>
    </row>
    <row r="40" spans="1:12" ht="34.5" customHeight="1">
      <c r="A40" s="81" t="s">
        <v>214</v>
      </c>
      <c r="B40" s="82" t="s">
        <v>110</v>
      </c>
      <c r="C40" s="301">
        <f>F40</f>
        <v>0</v>
      </c>
      <c r="D40" s="311">
        <f>G40</f>
        <v>0</v>
      </c>
      <c r="E40" s="309"/>
      <c r="F40" s="301">
        <f>район!C139</f>
        <v>0</v>
      </c>
      <c r="G40" s="309">
        <f>район!D139</f>
        <v>0</v>
      </c>
      <c r="H40" s="310">
        <v>0</v>
      </c>
      <c r="I40" s="310"/>
      <c r="J40" s="312"/>
      <c r="K40" s="310">
        <v>0</v>
      </c>
    </row>
    <row r="41" spans="1:12" ht="30" customHeight="1">
      <c r="A41" s="81" t="s">
        <v>215</v>
      </c>
      <c r="B41" s="82" t="s">
        <v>216</v>
      </c>
      <c r="C41" s="301">
        <v>0</v>
      </c>
      <c r="D41" s="311"/>
      <c r="E41" s="309">
        <v>0</v>
      </c>
      <c r="F41" s="301">
        <f>район!C141</f>
        <v>46597.126569999993</v>
      </c>
      <c r="G41" s="309">
        <f>район!D141</f>
        <v>15021.415000000001</v>
      </c>
      <c r="H41" s="310">
        <f t="shared" si="2"/>
        <v>32.236783908626329</v>
      </c>
      <c r="I41" s="310">
        <f>Справка!ET31</f>
        <v>0</v>
      </c>
      <c r="J41" s="312">
        <f>Справка!EU31</f>
        <v>0</v>
      </c>
      <c r="K41" s="310"/>
    </row>
    <row r="42" spans="1:12">
      <c r="A42" s="140"/>
      <c r="B42" s="141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2" hidden="1">
      <c r="A43" s="140"/>
      <c r="B43" s="141"/>
      <c r="C43" s="139">
        <f>C27-C28</f>
        <v>-41894.649329999811</v>
      </c>
      <c r="D43" s="139">
        <f>D27-D28</f>
        <v>-36225.697100000019</v>
      </c>
      <c r="E43" s="139"/>
      <c r="F43" s="139">
        <f>F27-F28</f>
        <v>-34298.351569999824</v>
      </c>
      <c r="G43" s="139">
        <f>G27-G28</f>
        <v>-37596.527839999995</v>
      </c>
      <c r="H43" s="139"/>
      <c r="I43" s="139">
        <f>I27-I28</f>
        <v>-7596.2977600000449</v>
      </c>
      <c r="J43" s="139">
        <f>J27-J28</f>
        <v>1370.8307399999903</v>
      </c>
      <c r="K43" s="139"/>
    </row>
    <row r="44" spans="1:12" hidden="1">
      <c r="A44" s="140"/>
      <c r="B44" s="141"/>
      <c r="C44" s="139">
        <f>C43-F44</f>
        <v>5.8207660913467407E-11</v>
      </c>
      <c r="D44" s="139">
        <f>D43-G44</f>
        <v>0</v>
      </c>
      <c r="E44" s="139"/>
      <c r="F44" s="139">
        <f>F43+I43</f>
        <v>-41894.649329999869</v>
      </c>
      <c r="G44" s="139">
        <f>G43+J43</f>
        <v>-36225.697100000005</v>
      </c>
      <c r="H44" s="139"/>
      <c r="I44" s="139"/>
      <c r="J44" s="139"/>
      <c r="K44" s="139"/>
    </row>
    <row r="45" spans="1:12" ht="20.25" hidden="1" customHeight="1">
      <c r="A45" s="140"/>
      <c r="B45" s="141"/>
      <c r="C45" s="142"/>
      <c r="D45" s="142"/>
      <c r="E45" s="143"/>
      <c r="F45" s="143">
        <f>C28+F44-C23-C26</f>
        <v>639325.60048999998</v>
      </c>
      <c r="G45" s="143">
        <f>D28+G44-D23-D26</f>
        <v>201388.13545</v>
      </c>
      <c r="H45" s="137"/>
      <c r="I45" s="137"/>
      <c r="J45" s="137"/>
      <c r="K45" s="139"/>
    </row>
    <row r="46" spans="1:12">
      <c r="A46" s="140"/>
      <c r="B46" s="141"/>
      <c r="C46" s="320"/>
      <c r="D46" s="139"/>
      <c r="E46" s="139"/>
      <c r="F46" s="139"/>
      <c r="G46" s="139"/>
      <c r="H46" s="139"/>
      <c r="I46" s="139"/>
      <c r="J46" s="139"/>
      <c r="K46" s="139"/>
    </row>
    <row r="47" spans="1:12">
      <c r="A47" s="140"/>
      <c r="B47" s="141"/>
      <c r="C47" s="139"/>
      <c r="D47" s="139"/>
      <c r="E47" s="139"/>
      <c r="F47" s="139"/>
      <c r="G47" s="139"/>
      <c r="H47" s="139"/>
      <c r="I47" s="139"/>
      <c r="J47" s="139"/>
      <c r="K47" s="139"/>
    </row>
    <row r="48" spans="1:12">
      <c r="A48" s="140"/>
      <c r="B48" s="141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>
      <c r="A49" s="140" t="s">
        <v>119</v>
      </c>
      <c r="B49" s="141"/>
      <c r="C49" s="142"/>
      <c r="D49" s="142"/>
      <c r="E49" s="143"/>
      <c r="F49" s="143"/>
      <c r="G49" s="143"/>
      <c r="H49" s="137"/>
      <c r="I49" s="137"/>
      <c r="J49" s="137"/>
      <c r="K49" s="137"/>
    </row>
    <row r="50" spans="1:11">
      <c r="A50" s="140" t="s">
        <v>217</v>
      </c>
      <c r="B50" s="141"/>
      <c r="C50" s="144" t="s">
        <v>266</v>
      </c>
      <c r="D50" s="483"/>
      <c r="E50" s="483"/>
      <c r="F50" s="145"/>
      <c r="G50" s="143"/>
      <c r="H50" s="137"/>
      <c r="I50" s="137"/>
      <c r="J50" s="137"/>
      <c r="K50" s="137"/>
    </row>
    <row r="51" spans="1:11">
      <c r="C51" s="86"/>
      <c r="D51" s="86"/>
      <c r="F51" s="83"/>
      <c r="G51" s="83"/>
    </row>
    <row r="52" spans="1:11">
      <c r="C52" s="90"/>
      <c r="D52" s="90"/>
      <c r="F52" s="83"/>
      <c r="G52" s="83"/>
      <c r="I52" s="83"/>
      <c r="J52" s="83"/>
    </row>
    <row r="53" spans="1:11">
      <c r="C53" s="98"/>
      <c r="D53" s="83"/>
      <c r="F53" s="83"/>
      <c r="G53" s="83"/>
    </row>
    <row r="54" spans="1:11">
      <c r="C54" s="98"/>
      <c r="D54" s="83"/>
    </row>
  </sheetData>
  <customSheetViews>
    <customSheetView guid="{61528DAC-5C4C-48F4-ADE2-8A724B05A086}" scale="80" showPageBreaks="1" printArea="1" hiddenRows="1" view="pageBreakPreview" topLeftCell="A4">
      <selection activeCell="J27" sqref="J27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1"/>
    </customSheetView>
    <customSheetView guid="{5BFCA170-DEAE-4D2C-98A0-1E68B427AC01}" scale="80" showPageBreaks="1" printArea="1" hiddenRows="1" view="pageBreakPreview">
      <selection activeCell="C25" sqref="C25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2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3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4"/>
    </customSheetView>
    <customSheetView guid="{3DCB9AAA-F09C-4EA6-B992-F93E466D374A}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5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6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7"/>
    </customSheetView>
    <customSheetView guid="{B31C8DB7-3E78-4144-A6B5-8DE36DE63F0E}" scale="80" showPageBreaks="1" printArea="1" hiddenRows="1" view="pageBreakPreview" topLeftCell="A17">
      <selection activeCell="G27" sqref="G27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8"/>
    </customSheetView>
    <customSheetView guid="{B30CE22D-C12F-4E12-8BB9-3AAE0A6991CC}" scale="80" showPageBreaks="1" printArea="1" hiddenRows="1" view="pageBreakPreview">
      <selection activeCell="D28" sqref="D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9"/>
    </customSheetView>
  </customSheetViews>
  <mergeCells count="7">
    <mergeCell ref="C2:E2"/>
    <mergeCell ref="D50:E50"/>
    <mergeCell ref="A2:A3"/>
    <mergeCell ref="B2:B3"/>
    <mergeCell ref="A1:K1"/>
    <mergeCell ref="I2:K2"/>
    <mergeCell ref="F2:H2"/>
  </mergeCells>
  <phoneticPr fontId="15" type="noConversion"/>
  <pageMargins left="0.70866141732283472" right="0.70866141732283472" top="0.34" bottom="0.74803149606299213" header="0.31496062992125984" footer="0.31496062992125984"/>
  <pageSetup paperSize="9" scale="62" orientation="landscape" r:id="rId10"/>
  <rowBreaks count="1" manualBreakCount="1">
    <brk id="2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42"/>
  <sheetViews>
    <sheetView tabSelected="1" view="pageBreakPreview" topLeftCell="A42" zoomScale="70" zoomScaleSheetLayoutView="70" workbookViewId="0">
      <selection activeCell="E48" sqref="E48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5" t="s">
        <v>430</v>
      </c>
      <c r="B1" s="525"/>
      <c r="C1" s="525"/>
      <c r="D1" s="525"/>
      <c r="E1" s="525"/>
      <c r="F1" s="525"/>
    </row>
    <row r="2" spans="1:6">
      <c r="A2" s="525"/>
      <c r="B2" s="525"/>
      <c r="C2" s="525"/>
      <c r="D2" s="525"/>
      <c r="E2" s="525"/>
      <c r="F2" s="525"/>
    </row>
    <row r="3" spans="1:6" ht="66.75" customHeight="1">
      <c r="A3" s="2" t="s">
        <v>0</v>
      </c>
      <c r="B3" s="2" t="s">
        <v>1</v>
      </c>
      <c r="C3" s="72" t="s">
        <v>411</v>
      </c>
      <c r="D3" s="73" t="s">
        <v>422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2594.6179999999999</v>
      </c>
      <c r="D4" s="5">
        <f>D5+D12+D14+D17+D7</f>
        <v>447.49585999999999</v>
      </c>
      <c r="E4" s="5">
        <f>SUM(D4/C4*100)</f>
        <v>17.247080687792963</v>
      </c>
      <c r="F4" s="5">
        <f>SUM(D4-C4)</f>
        <v>-2147.1221399999999</v>
      </c>
    </row>
    <row r="5" spans="1:6" s="6" customFormat="1">
      <c r="A5" s="68">
        <v>1010000000</v>
      </c>
      <c r="B5" s="67" t="s">
        <v>5</v>
      </c>
      <c r="C5" s="5">
        <f>C6</f>
        <v>244.083</v>
      </c>
      <c r="D5" s="5">
        <f>D6</f>
        <v>81.425759999999997</v>
      </c>
      <c r="E5" s="5">
        <f t="shared" ref="E5:E51" si="0">SUM(D5/C5*100)</f>
        <v>33.359865291724532</v>
      </c>
      <c r="F5" s="5">
        <f t="shared" ref="F5:F51" si="1">SUM(D5-C5)</f>
        <v>-162.65724</v>
      </c>
    </row>
    <row r="6" spans="1:6">
      <c r="A6" s="7">
        <v>1010200001</v>
      </c>
      <c r="B6" s="8" t="s">
        <v>228</v>
      </c>
      <c r="C6" s="9">
        <v>244.083</v>
      </c>
      <c r="D6" s="10">
        <v>81.425759999999997</v>
      </c>
      <c r="E6" s="9">
        <f t="shared" ref="E6:E11" si="2">SUM(D6/C6*100)</f>
        <v>33.359865291724532</v>
      </c>
      <c r="F6" s="9">
        <f t="shared" si="1"/>
        <v>-162.65724</v>
      </c>
    </row>
    <row r="7" spans="1:6" ht="31.5">
      <c r="A7" s="3">
        <v>1030000000</v>
      </c>
      <c r="B7" s="13" t="s">
        <v>280</v>
      </c>
      <c r="C7" s="5">
        <f>C8+C10+C9</f>
        <v>424.53500000000003</v>
      </c>
      <c r="D7" s="5">
        <f>D8+D9+D10+D11</f>
        <v>205.69756000000001</v>
      </c>
      <c r="E7" s="9">
        <f t="shared" si="2"/>
        <v>48.452438550413987</v>
      </c>
      <c r="F7" s="9">
        <f t="shared" si="1"/>
        <v>-218.83744000000002</v>
      </c>
    </row>
    <row r="8" spans="1:6">
      <c r="A8" s="7">
        <v>1030223001</v>
      </c>
      <c r="B8" s="8" t="s">
        <v>282</v>
      </c>
      <c r="C8" s="9">
        <v>158.35</v>
      </c>
      <c r="D8" s="10">
        <v>92.925219999999996</v>
      </c>
      <c r="E8" s="9">
        <f t="shared" si="2"/>
        <v>58.683435427849695</v>
      </c>
      <c r="F8" s="9">
        <f t="shared" si="1"/>
        <v>-65.424779999999998</v>
      </c>
    </row>
    <row r="9" spans="1:6">
      <c r="A9" s="7">
        <v>1030224001</v>
      </c>
      <c r="B9" s="8" t="s">
        <v>288</v>
      </c>
      <c r="C9" s="9">
        <v>1.6950000000000001</v>
      </c>
      <c r="D9" s="10">
        <v>0.69808000000000003</v>
      </c>
      <c r="E9" s="9">
        <f t="shared" si="2"/>
        <v>41.184660766961649</v>
      </c>
      <c r="F9" s="9">
        <f t="shared" si="1"/>
        <v>-0.99692000000000003</v>
      </c>
    </row>
    <row r="10" spans="1:6">
      <c r="A10" s="7">
        <v>1030225001</v>
      </c>
      <c r="B10" s="8" t="s">
        <v>281</v>
      </c>
      <c r="C10" s="9">
        <v>264.49</v>
      </c>
      <c r="D10" s="10">
        <v>128.97353000000001</v>
      </c>
      <c r="E10" s="9">
        <f t="shared" si="2"/>
        <v>48.763102574766535</v>
      </c>
      <c r="F10" s="9">
        <f t="shared" si="1"/>
        <v>-135.51647</v>
      </c>
    </row>
    <row r="11" spans="1:6">
      <c r="A11" s="7">
        <v>1030265001</v>
      </c>
      <c r="B11" s="8" t="s">
        <v>290</v>
      </c>
      <c r="C11" s="9">
        <v>0</v>
      </c>
      <c r="D11" s="10">
        <v>-16.899270000000001</v>
      </c>
      <c r="E11" s="9" t="e">
        <f t="shared" si="2"/>
        <v>#DIV/0!</v>
      </c>
      <c r="F11" s="9">
        <f t="shared" si="1"/>
        <v>-16.899270000000001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9.3778500000000005</v>
      </c>
      <c r="E12" s="5">
        <f t="shared" si="0"/>
        <v>23.444625000000002</v>
      </c>
      <c r="F12" s="5">
        <f t="shared" si="1"/>
        <v>-30.622149999999998</v>
      </c>
    </row>
    <row r="13" spans="1:6" ht="15.75" customHeight="1">
      <c r="A13" s="7">
        <v>1050300000</v>
      </c>
      <c r="B13" s="11" t="s">
        <v>229</v>
      </c>
      <c r="C13" s="12">
        <v>40</v>
      </c>
      <c r="D13" s="10">
        <v>9.3778500000000005</v>
      </c>
      <c r="E13" s="9">
        <f t="shared" si="0"/>
        <v>23.444625000000002</v>
      </c>
      <c r="F13" s="9">
        <f t="shared" si="1"/>
        <v>-30.622149999999998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1876</v>
      </c>
      <c r="D14" s="5">
        <f>D15+D16</f>
        <v>148.85469000000001</v>
      </c>
      <c r="E14" s="5">
        <f t="shared" si="0"/>
        <v>7.9346849680170584</v>
      </c>
      <c r="F14" s="5">
        <f t="shared" si="1"/>
        <v>-1727.1453099999999</v>
      </c>
    </row>
    <row r="15" spans="1:6" s="6" customFormat="1" ht="15.75" customHeight="1">
      <c r="A15" s="7">
        <v>1060100000</v>
      </c>
      <c r="B15" s="11" t="s">
        <v>8</v>
      </c>
      <c r="C15" s="9">
        <v>326</v>
      </c>
      <c r="D15" s="10">
        <v>44.170169999999999</v>
      </c>
      <c r="E15" s="9">
        <f t="shared" si="0"/>
        <v>13.549131901840491</v>
      </c>
      <c r="F15" s="9">
        <f>SUM(D15-C15)</f>
        <v>-281.82983000000002</v>
      </c>
    </row>
    <row r="16" spans="1:6" ht="15.75" customHeight="1">
      <c r="A16" s="7">
        <v>1060600000</v>
      </c>
      <c r="B16" s="11" t="s">
        <v>7</v>
      </c>
      <c r="C16" s="9">
        <v>1550</v>
      </c>
      <c r="D16" s="10">
        <v>104.68452000000001</v>
      </c>
      <c r="E16" s="9">
        <f t="shared" si="0"/>
        <v>6.7538400000000003</v>
      </c>
      <c r="F16" s="9">
        <f t="shared" si="1"/>
        <v>-1445.31548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2.14</v>
      </c>
      <c r="E17" s="5">
        <f t="shared" si="0"/>
        <v>21.400000000000002</v>
      </c>
      <c r="F17" s="5">
        <f t="shared" si="1"/>
        <v>-7.8599999999999994</v>
      </c>
    </row>
    <row r="18" spans="1:6" ht="18" customHeight="1">
      <c r="A18" s="7">
        <v>1080400001</v>
      </c>
      <c r="B18" s="8" t="s">
        <v>227</v>
      </c>
      <c r="C18" s="9">
        <v>10</v>
      </c>
      <c r="D18" s="9">
        <v>2.14</v>
      </c>
      <c r="E18" s="9">
        <f t="shared" si="0"/>
        <v>21.400000000000002</v>
      </c>
      <c r="F18" s="9">
        <f t="shared" si="1"/>
        <v>-7.8599999999999994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80</v>
      </c>
      <c r="D25" s="5">
        <f>D26+D29+D31+D36+D34</f>
        <v>30.594050000000003</v>
      </c>
      <c r="E25" s="5">
        <f t="shared" si="0"/>
        <v>38.242562500000005</v>
      </c>
      <c r="F25" s="5">
        <f t="shared" si="1"/>
        <v>-49.405949999999997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80</v>
      </c>
      <c r="D26" s="5">
        <f>D27+D28</f>
        <v>22.65</v>
      </c>
      <c r="E26" s="5">
        <f t="shared" si="0"/>
        <v>28.312499999999996</v>
      </c>
      <c r="F26" s="5">
        <f t="shared" si="1"/>
        <v>-57.35</v>
      </c>
    </row>
    <row r="27" spans="1:6" ht="15.75" customHeight="1">
      <c r="A27" s="16">
        <v>1110502510</v>
      </c>
      <c r="B27" s="17" t="s">
        <v>225</v>
      </c>
      <c r="C27" s="12">
        <v>50</v>
      </c>
      <c r="D27" s="12">
        <v>4.6500000000000004</v>
      </c>
      <c r="E27" s="9">
        <f t="shared" si="0"/>
        <v>9.3000000000000007</v>
      </c>
      <c r="F27" s="9">
        <f t="shared" si="1"/>
        <v>-45.35</v>
      </c>
    </row>
    <row r="28" spans="1:6" ht="17.25" customHeight="1">
      <c r="A28" s="7">
        <v>1110503510</v>
      </c>
      <c r="B28" s="11" t="s">
        <v>224</v>
      </c>
      <c r="C28" s="12">
        <v>30</v>
      </c>
      <c r="D28" s="10">
        <v>18</v>
      </c>
      <c r="E28" s="9">
        <f t="shared" si="0"/>
        <v>60</v>
      </c>
      <c r="F28" s="9">
        <f t="shared" si="1"/>
        <v>-12</v>
      </c>
    </row>
    <row r="29" spans="1:6" s="15" customFormat="1" ht="15" customHeight="1">
      <c r="A29" s="68">
        <v>1130000000</v>
      </c>
      <c r="B29" s="69" t="s">
        <v>130</v>
      </c>
      <c r="C29" s="5">
        <f>C30</f>
        <v>0</v>
      </c>
      <c r="D29" s="5">
        <f>D30</f>
        <v>12.594049999999999</v>
      </c>
      <c r="E29" s="5" t="e">
        <f t="shared" si="0"/>
        <v>#DIV/0!</v>
      </c>
      <c r="F29" s="5">
        <f t="shared" si="1"/>
        <v>12.594049999999999</v>
      </c>
    </row>
    <row r="30" spans="1:6" ht="15.75" customHeight="1">
      <c r="A30" s="7">
        <v>1130206005</v>
      </c>
      <c r="B30" s="8" t="s">
        <v>223</v>
      </c>
      <c r="C30" s="9">
        <v>0</v>
      </c>
      <c r="D30" s="10">
        <v>12.594049999999999</v>
      </c>
      <c r="E30" s="9" t="e">
        <f t="shared" si="0"/>
        <v>#DIV/0!</v>
      </c>
      <c r="F30" s="9">
        <f t="shared" si="1"/>
        <v>12.594049999999999</v>
      </c>
    </row>
    <row r="31" spans="1:6" ht="15.75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132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7">
        <v>1169000000</v>
      </c>
      <c r="B34" s="13" t="s">
        <v>339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hidden="1" customHeight="1">
      <c r="A35" s="7">
        <v>1169005010</v>
      </c>
      <c r="B35" s="8" t="s">
        <v>340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134</v>
      </c>
      <c r="C36" s="5">
        <f>C37+C38</f>
        <v>0</v>
      </c>
      <c r="D36" s="5">
        <f>D37+D38</f>
        <v>-4.6500000000000004</v>
      </c>
      <c r="E36" s="5" t="e">
        <f t="shared" si="0"/>
        <v>#DIV/0!</v>
      </c>
      <c r="F36" s="5">
        <f t="shared" si="1"/>
        <v>-4.6500000000000004</v>
      </c>
    </row>
    <row r="37" spans="1:7" ht="15.75" customHeight="1">
      <c r="A37" s="7">
        <v>1170105005</v>
      </c>
      <c r="B37" s="8" t="s">
        <v>17</v>
      </c>
      <c r="C37" s="9">
        <v>0</v>
      </c>
      <c r="D37" s="9">
        <v>-4.6500000000000004</v>
      </c>
      <c r="E37" s="9" t="e">
        <f t="shared" si="0"/>
        <v>#DIV/0!</v>
      </c>
      <c r="F37" s="9">
        <f t="shared" si="1"/>
        <v>-4.6500000000000004</v>
      </c>
    </row>
    <row r="38" spans="1:7" ht="18.75" customHeight="1">
      <c r="A38" s="7">
        <v>1170505005</v>
      </c>
      <c r="B38" s="11" t="s">
        <v>220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18</v>
      </c>
      <c r="C39" s="399">
        <f>SUM(C4,C25)</f>
        <v>2674.6179999999999</v>
      </c>
      <c r="D39" s="399">
        <f>SUM(D4,D25)</f>
        <v>478.08990999999997</v>
      </c>
      <c r="E39" s="5">
        <f t="shared" si="0"/>
        <v>17.875072627193862</v>
      </c>
      <c r="F39" s="5">
        <f t="shared" si="1"/>
        <v>-2196.5280899999998</v>
      </c>
    </row>
    <row r="40" spans="1:7" s="6" customFormat="1">
      <c r="A40" s="3">
        <v>2000000000</v>
      </c>
      <c r="B40" s="4" t="s">
        <v>19</v>
      </c>
      <c r="C40" s="5">
        <f>C41+C43+C45+C46+C48+C49+C47+C42+C44</f>
        <v>3329.9829999999997</v>
      </c>
      <c r="D40" s="375">
        <f>D41+D43+D45+D46+D48+D49+D42+D47</f>
        <v>947.93100000000004</v>
      </c>
      <c r="E40" s="5">
        <f t="shared" si="0"/>
        <v>28.466541721083864</v>
      </c>
      <c r="F40" s="5">
        <f t="shared" si="1"/>
        <v>-2382.0519999999997</v>
      </c>
      <c r="G40" s="19"/>
    </row>
    <row r="41" spans="1:7">
      <c r="A41" s="16">
        <v>2021000000</v>
      </c>
      <c r="B41" s="17" t="s">
        <v>20</v>
      </c>
      <c r="C41" s="99">
        <v>1462.5</v>
      </c>
      <c r="D41" s="20">
        <v>609.375</v>
      </c>
      <c r="E41" s="9">
        <f t="shared" si="0"/>
        <v>41.666666666666671</v>
      </c>
      <c r="F41" s="9">
        <f t="shared" si="1"/>
        <v>-853.125</v>
      </c>
    </row>
    <row r="42" spans="1:7" ht="17.25" customHeight="1">
      <c r="A42" s="16">
        <v>2021500200</v>
      </c>
      <c r="B42" s="17" t="s">
        <v>231</v>
      </c>
      <c r="C42" s="12">
        <v>420</v>
      </c>
      <c r="D42" s="20">
        <v>0</v>
      </c>
      <c r="E42" s="9">
        <f>SUM(D42/C42*100)</f>
        <v>0</v>
      </c>
      <c r="F42" s="9">
        <f>SUM(D42-C42)</f>
        <v>-420</v>
      </c>
    </row>
    <row r="43" spans="1:7" ht="19.5" customHeight="1">
      <c r="A43" s="16">
        <v>2022000000</v>
      </c>
      <c r="B43" s="17" t="s">
        <v>21</v>
      </c>
      <c r="C43" s="12">
        <v>1165.08</v>
      </c>
      <c r="D43" s="10">
        <v>263.95699999999999</v>
      </c>
      <c r="E43" s="9">
        <f t="shared" si="0"/>
        <v>22.655697462835171</v>
      </c>
      <c r="F43" s="9">
        <f t="shared" si="1"/>
        <v>-901.12299999999993</v>
      </c>
    </row>
    <row r="44" spans="1:7" hidden="1">
      <c r="A44" s="16">
        <v>2022999910</v>
      </c>
      <c r="B44" s="18" t="s">
        <v>349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22</v>
      </c>
      <c r="C45" s="12">
        <v>182.40299999999999</v>
      </c>
      <c r="D45" s="248">
        <v>74.599000000000004</v>
      </c>
      <c r="E45" s="9">
        <f t="shared" si="0"/>
        <v>40.897901898543338</v>
      </c>
      <c r="F45" s="9">
        <f t="shared" si="1"/>
        <v>-107.80399999999999</v>
      </c>
    </row>
    <row r="46" spans="1:7" ht="19.5" customHeight="1">
      <c r="A46" s="16">
        <v>2020400000</v>
      </c>
      <c r="B46" s="17" t="s">
        <v>23</v>
      </c>
      <c r="C46" s="12">
        <v>100</v>
      </c>
      <c r="D46" s="249">
        <v>0</v>
      </c>
      <c r="E46" s="9">
        <f t="shared" si="0"/>
        <v>0</v>
      </c>
      <c r="F46" s="9">
        <f t="shared" si="1"/>
        <v>-100</v>
      </c>
    </row>
    <row r="47" spans="1:7" ht="20.25" customHeight="1">
      <c r="A47" s="7">
        <v>2070500010</v>
      </c>
      <c r="B47" s="18" t="s">
        <v>297</v>
      </c>
      <c r="C47" s="12">
        <v>0</v>
      </c>
      <c r="D47" s="249">
        <v>0</v>
      </c>
      <c r="E47" s="9" t="e">
        <f t="shared" si="0"/>
        <v>#DIV/0!</v>
      </c>
      <c r="F47" s="9">
        <f t="shared" si="1"/>
        <v>0</v>
      </c>
    </row>
    <row r="48" spans="1:7" ht="19.5" hidden="1" customHeight="1">
      <c r="A48" s="16">
        <v>2020900000</v>
      </c>
      <c r="B48" s="18" t="s">
        <v>24</v>
      </c>
      <c r="C48" s="12"/>
      <c r="D48" s="249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25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26</v>
      </c>
      <c r="C50" s="122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27</v>
      </c>
      <c r="C51" s="371">
        <f>C39+C40</f>
        <v>6004.6009999999997</v>
      </c>
      <c r="D51" s="372">
        <f>D39+D40</f>
        <v>1426.02091</v>
      </c>
      <c r="E51" s="5">
        <f t="shared" si="0"/>
        <v>23.748803792291945</v>
      </c>
      <c r="F51" s="5">
        <f t="shared" si="1"/>
        <v>-4578.5800899999995</v>
      </c>
      <c r="G51" s="290"/>
    </row>
    <row r="52" spans="1:7" s="6" customFormat="1">
      <c r="A52" s="3"/>
      <c r="B52" s="21" t="s">
        <v>320</v>
      </c>
      <c r="C52" s="93">
        <f>C51-C99</f>
        <v>-359.81648000000041</v>
      </c>
      <c r="D52" s="93">
        <f>D51-D99</f>
        <v>-302.84233999999992</v>
      </c>
      <c r="E52" s="22"/>
      <c r="F52" s="22"/>
    </row>
    <row r="53" spans="1:7" ht="23.25" customHeight="1">
      <c r="A53" s="23"/>
      <c r="B53" s="24"/>
      <c r="C53" s="239"/>
      <c r="D53" s="239"/>
      <c r="E53" s="132"/>
      <c r="F53" s="92"/>
    </row>
    <row r="54" spans="1:7" ht="65.25" customHeight="1">
      <c r="A54" s="28" t="s">
        <v>0</v>
      </c>
      <c r="B54" s="28" t="s">
        <v>28</v>
      </c>
      <c r="C54" s="72" t="s">
        <v>411</v>
      </c>
      <c r="D54" s="103" t="s">
        <v>419</v>
      </c>
      <c r="E54" s="72" t="s">
        <v>2</v>
      </c>
      <c r="F54" s="74" t="s">
        <v>3</v>
      </c>
    </row>
    <row r="55" spans="1:7" ht="19.5" customHeight="1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29</v>
      </c>
      <c r="B56" s="31" t="s">
        <v>30</v>
      </c>
      <c r="C56" s="32">
        <f>C57+C58+C59+C60+C61+C63+C62</f>
        <v>1224.2350000000001</v>
      </c>
      <c r="D56" s="33">
        <f>D57+D58+D59+D60+D61+D63+D62</f>
        <v>472.10902999999996</v>
      </c>
      <c r="E56" s="34">
        <f>SUM(D56/C56*100)</f>
        <v>38.56359522477301</v>
      </c>
      <c r="F56" s="34">
        <f>SUM(D56-C56)</f>
        <v>-752.12597000000017</v>
      </c>
    </row>
    <row r="57" spans="1:7" s="6" customFormat="1" ht="0.75" hidden="1" customHeight="1">
      <c r="A57" s="35" t="s">
        <v>31</v>
      </c>
      <c r="B57" s="36" t="s">
        <v>32</v>
      </c>
      <c r="C57" s="37"/>
      <c r="D57" s="37"/>
      <c r="E57" s="38"/>
      <c r="F57" s="38"/>
    </row>
    <row r="58" spans="1:7" ht="18" customHeight="1">
      <c r="A58" s="35" t="s">
        <v>33</v>
      </c>
      <c r="B58" s="39" t="s">
        <v>34</v>
      </c>
      <c r="C58" s="37">
        <v>1195.0350000000001</v>
      </c>
      <c r="D58" s="37">
        <v>468.07452999999998</v>
      </c>
      <c r="E58" s="38">
        <f t="shared" ref="E58:E99" si="3">SUM(D58/C58*100)</f>
        <v>39.168269548590622</v>
      </c>
      <c r="F58" s="38">
        <f t="shared" ref="F58:F99" si="4">SUM(D58-C58)</f>
        <v>-726.9604700000001</v>
      </c>
    </row>
    <row r="59" spans="1:7" ht="16.5" hidden="1" customHeight="1">
      <c r="A59" s="35" t="s">
        <v>35</v>
      </c>
      <c r="B59" s="39" t="s">
        <v>36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37</v>
      </c>
      <c r="B60" s="39" t="s">
        <v>38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customHeight="1">
      <c r="A61" s="35" t="s">
        <v>39</v>
      </c>
      <c r="B61" s="39" t="s">
        <v>40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41</v>
      </c>
      <c r="B62" s="39" t="s">
        <v>42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43</v>
      </c>
      <c r="B63" s="39" t="s">
        <v>44</v>
      </c>
      <c r="C63" s="37">
        <v>24.2</v>
      </c>
      <c r="D63" s="37">
        <v>4.0345000000000004</v>
      </c>
      <c r="E63" s="38">
        <f t="shared" si="3"/>
        <v>16.671487603305788</v>
      </c>
      <c r="F63" s="38">
        <f t="shared" si="4"/>
        <v>-20.165499999999998</v>
      </c>
    </row>
    <row r="64" spans="1:7" s="6" customFormat="1">
      <c r="A64" s="41" t="s">
        <v>45</v>
      </c>
      <c r="B64" s="42" t="s">
        <v>46</v>
      </c>
      <c r="C64" s="32">
        <f>C65</f>
        <v>179.892</v>
      </c>
      <c r="D64" s="32">
        <f>D65</f>
        <v>62.756</v>
      </c>
      <c r="E64" s="34">
        <f t="shared" si="3"/>
        <v>34.885375669846354</v>
      </c>
      <c r="F64" s="34">
        <f t="shared" si="4"/>
        <v>-117.136</v>
      </c>
    </row>
    <row r="65" spans="1:7">
      <c r="A65" s="43" t="s">
        <v>47</v>
      </c>
      <c r="B65" s="44" t="s">
        <v>48</v>
      </c>
      <c r="C65" s="37">
        <v>179.892</v>
      </c>
      <c r="D65" s="37">
        <v>62.756</v>
      </c>
      <c r="E65" s="38">
        <f t="shared" si="3"/>
        <v>34.885375669846354</v>
      </c>
      <c r="F65" s="38">
        <f t="shared" si="4"/>
        <v>-117.136</v>
      </c>
    </row>
    <row r="66" spans="1:7" s="6" customFormat="1" ht="18.75" customHeight="1">
      <c r="A66" s="30" t="s">
        <v>49</v>
      </c>
      <c r="B66" s="31" t="s">
        <v>50</v>
      </c>
      <c r="C66" s="32">
        <f>C70+C69+C68+C67+C71</f>
        <v>13.5</v>
      </c>
      <c r="D66" s="32">
        <f>D70+D69+D68+D67</f>
        <v>2.95</v>
      </c>
      <c r="E66" s="34">
        <f t="shared" si="3"/>
        <v>21.851851851851851</v>
      </c>
      <c r="F66" s="34">
        <f t="shared" si="4"/>
        <v>-10.55</v>
      </c>
    </row>
    <row r="67" spans="1:7" hidden="1">
      <c r="A67" s="35" t="s">
        <v>51</v>
      </c>
      <c r="B67" s="39" t="s">
        <v>52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53</v>
      </c>
      <c r="B68" s="39" t="s">
        <v>54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55</v>
      </c>
      <c r="B69" s="47" t="s">
        <v>56</v>
      </c>
      <c r="C69" s="37">
        <v>3</v>
      </c>
      <c r="D69" s="37">
        <v>0</v>
      </c>
      <c r="E69" s="38">
        <f t="shared" si="3"/>
        <v>0</v>
      </c>
      <c r="F69" s="38">
        <f t="shared" si="4"/>
        <v>-3</v>
      </c>
    </row>
    <row r="70" spans="1:7" ht="15.75" customHeight="1">
      <c r="A70" s="46" t="s">
        <v>218</v>
      </c>
      <c r="B70" s="47" t="s">
        <v>219</v>
      </c>
      <c r="C70" s="37">
        <v>8.5</v>
      </c>
      <c r="D70" s="37">
        <v>2.95</v>
      </c>
      <c r="E70" s="38">
        <f>SUM(D70/C70*100)</f>
        <v>34.705882352941181</v>
      </c>
      <c r="F70" s="38">
        <f>SUM(D70-C70)</f>
        <v>-5.55</v>
      </c>
    </row>
    <row r="71" spans="1:7" ht="15.75" customHeight="1">
      <c r="A71" s="46" t="s">
        <v>357</v>
      </c>
      <c r="B71" s="47" t="s">
        <v>414</v>
      </c>
      <c r="C71" s="37">
        <v>2</v>
      </c>
      <c r="D71" s="37"/>
      <c r="E71" s="38"/>
      <c r="F71" s="38"/>
    </row>
    <row r="72" spans="1:7" s="6" customFormat="1">
      <c r="A72" s="30" t="s">
        <v>57</v>
      </c>
      <c r="B72" s="31" t="s">
        <v>58</v>
      </c>
      <c r="C72" s="48">
        <f>SUM(C73:C76)</f>
        <v>1958.6814800000002</v>
      </c>
      <c r="D72" s="48">
        <f>SUM(D73:D76)</f>
        <v>346.86745000000002</v>
      </c>
      <c r="E72" s="34">
        <f t="shared" si="3"/>
        <v>17.709232130994572</v>
      </c>
      <c r="F72" s="34">
        <f t="shared" si="4"/>
        <v>-1611.8140300000002</v>
      </c>
    </row>
    <row r="73" spans="1:7" ht="17.25" customHeight="1">
      <c r="A73" s="35" t="s">
        <v>59</v>
      </c>
      <c r="B73" s="39" t="s">
        <v>60</v>
      </c>
      <c r="C73" s="49">
        <v>6.7024999999999997</v>
      </c>
      <c r="D73" s="37">
        <v>0</v>
      </c>
      <c r="E73" s="38">
        <f t="shared" si="3"/>
        <v>0</v>
      </c>
      <c r="F73" s="38">
        <f t="shared" si="4"/>
        <v>-6.7024999999999997</v>
      </c>
    </row>
    <row r="74" spans="1:7" s="6" customFormat="1" ht="17.25" customHeight="1">
      <c r="A74" s="35" t="s">
        <v>61</v>
      </c>
      <c r="B74" s="39" t="s">
        <v>62</v>
      </c>
      <c r="C74" s="49">
        <v>145</v>
      </c>
      <c r="D74" s="37">
        <v>15.69</v>
      </c>
      <c r="E74" s="38">
        <f t="shared" si="3"/>
        <v>10.820689655172414</v>
      </c>
      <c r="F74" s="38">
        <f t="shared" si="4"/>
        <v>-129.31</v>
      </c>
      <c r="G74" s="50"/>
    </row>
    <row r="75" spans="1:7">
      <c r="A75" s="35" t="s">
        <v>63</v>
      </c>
      <c r="B75" s="39" t="s">
        <v>64</v>
      </c>
      <c r="C75" s="49">
        <v>1716.9789800000001</v>
      </c>
      <c r="D75" s="37">
        <v>299.95245</v>
      </c>
      <c r="E75" s="38">
        <f t="shared" si="3"/>
        <v>17.469779973660479</v>
      </c>
      <c r="F75" s="38">
        <f t="shared" si="4"/>
        <v>-1417.0265300000001</v>
      </c>
    </row>
    <row r="76" spans="1:7">
      <c r="A76" s="35" t="s">
        <v>65</v>
      </c>
      <c r="B76" s="39" t="s">
        <v>66</v>
      </c>
      <c r="C76" s="49">
        <v>90</v>
      </c>
      <c r="D76" s="37">
        <v>31.225000000000001</v>
      </c>
      <c r="E76" s="38">
        <f t="shared" si="3"/>
        <v>34.694444444444443</v>
      </c>
      <c r="F76" s="38">
        <f t="shared" si="4"/>
        <v>-58.774999999999999</v>
      </c>
    </row>
    <row r="77" spans="1:7" s="6" customFormat="1" ht="18" customHeight="1">
      <c r="A77" s="30" t="s">
        <v>67</v>
      </c>
      <c r="B77" s="31" t="s">
        <v>68</v>
      </c>
      <c r="C77" s="32">
        <f>SUM(C78:C81)</f>
        <v>1337.009</v>
      </c>
      <c r="D77" s="32">
        <f>SUM(D78:D81)</f>
        <v>216.67876999999999</v>
      </c>
      <c r="E77" s="34">
        <f t="shared" si="3"/>
        <v>16.206231222078536</v>
      </c>
      <c r="F77" s="34">
        <f t="shared" si="4"/>
        <v>-1120.33023</v>
      </c>
    </row>
    <row r="78" spans="1:7" hidden="1">
      <c r="A78" s="35" t="s">
        <v>69</v>
      </c>
      <c r="B78" s="51" t="s">
        <v>70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5.75" hidden="1" customHeight="1">
      <c r="A79" s="35" t="s">
        <v>71</v>
      </c>
      <c r="B79" s="51" t="s">
        <v>72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6.5" customHeight="1">
      <c r="A80" s="35" t="s">
        <v>73</v>
      </c>
      <c r="B80" s="39" t="s">
        <v>74</v>
      </c>
      <c r="C80" s="37">
        <v>1337.009</v>
      </c>
      <c r="D80" s="37">
        <v>216.67876999999999</v>
      </c>
      <c r="E80" s="38">
        <f t="shared" si="3"/>
        <v>16.206231222078536</v>
      </c>
      <c r="F80" s="38">
        <f t="shared" si="4"/>
        <v>-1120.33023</v>
      </c>
    </row>
    <row r="81" spans="1:6" ht="31.5" hidden="1">
      <c r="A81" s="35" t="s">
        <v>263</v>
      </c>
      <c r="B81" s="39" t="s">
        <v>277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s="6" customFormat="1">
      <c r="A82" s="30" t="s">
        <v>85</v>
      </c>
      <c r="B82" s="31" t="s">
        <v>86</v>
      </c>
      <c r="C82" s="32">
        <f>C83</f>
        <v>1639.1</v>
      </c>
      <c r="D82" s="32">
        <f>SUM(D83)</f>
        <v>627.50199999999995</v>
      </c>
      <c r="E82" s="34">
        <f t="shared" si="3"/>
        <v>38.283326215606124</v>
      </c>
      <c r="F82" s="34">
        <f t="shared" si="4"/>
        <v>-1011.598</v>
      </c>
    </row>
    <row r="83" spans="1:6" ht="16.5" customHeight="1">
      <c r="A83" s="35" t="s">
        <v>87</v>
      </c>
      <c r="B83" s="39" t="s">
        <v>233</v>
      </c>
      <c r="C83" s="37">
        <v>1639.1</v>
      </c>
      <c r="D83" s="37">
        <v>627.50199999999995</v>
      </c>
      <c r="E83" s="38">
        <f t="shared" si="3"/>
        <v>38.283326215606124</v>
      </c>
      <c r="F83" s="38">
        <f t="shared" si="4"/>
        <v>-1011.598</v>
      </c>
    </row>
    <row r="84" spans="1:6" s="6" customFormat="1" ht="18" hidden="1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0.75" hidden="1" customHeight="1">
      <c r="A85" s="53">
        <v>1001</v>
      </c>
      <c r="B85" s="54" t="s">
        <v>89</v>
      </c>
      <c r="C85" s="37"/>
      <c r="D85" s="32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1003</v>
      </c>
      <c r="B86" s="54" t="s">
        <v>90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9.5" hidden="1" customHeight="1">
      <c r="A87" s="53">
        <v>1004</v>
      </c>
      <c r="B87" s="54" t="s">
        <v>91</v>
      </c>
      <c r="C87" s="37">
        <v>0</v>
      </c>
      <c r="D87" s="32">
        <v>0</v>
      </c>
      <c r="E87" s="38" t="e">
        <f t="shared" si="3"/>
        <v>#DIV/0!</v>
      </c>
      <c r="F87" s="38">
        <f t="shared" si="4"/>
        <v>0</v>
      </c>
    </row>
    <row r="88" spans="1:6" ht="18" hidden="1" customHeight="1">
      <c r="A88" s="35" t="s">
        <v>92</v>
      </c>
      <c r="B88" s="39" t="s">
        <v>93</v>
      </c>
      <c r="C88" s="37">
        <v>0</v>
      </c>
      <c r="D88" s="37">
        <v>0</v>
      </c>
      <c r="E88" s="38"/>
      <c r="F88" s="38">
        <f t="shared" si="4"/>
        <v>0</v>
      </c>
    </row>
    <row r="89" spans="1:6" ht="15.75" customHeight="1">
      <c r="A89" s="30" t="s">
        <v>94</v>
      </c>
      <c r="B89" s="31" t="s">
        <v>95</v>
      </c>
      <c r="C89" s="32">
        <f>C90+C91+C92+C93+C94</f>
        <v>12</v>
      </c>
      <c r="D89" s="32">
        <f>D90+D91+D92+D93+D94</f>
        <v>0</v>
      </c>
      <c r="E89" s="38">
        <f t="shared" si="3"/>
        <v>0</v>
      </c>
      <c r="F89" s="22">
        <f>F90+F91+F92+F93+F94</f>
        <v>-12</v>
      </c>
    </row>
    <row r="90" spans="1:6" ht="19.5" customHeight="1">
      <c r="A90" s="35" t="s">
        <v>96</v>
      </c>
      <c r="B90" s="39" t="s">
        <v>97</v>
      </c>
      <c r="C90" s="37">
        <v>12</v>
      </c>
      <c r="D90" s="37">
        <v>0</v>
      </c>
      <c r="E90" s="38">
        <f t="shared" si="3"/>
        <v>0</v>
      </c>
      <c r="F90" s="38">
        <f>SUM(D90-C90)</f>
        <v>-12</v>
      </c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13.5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0.75" hidden="1" customHeight="1">
      <c r="A95" s="52">
        <v>1400</v>
      </c>
      <c r="B95" s="56" t="s">
        <v>114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5" hidden="1" customHeight="1">
      <c r="A96" s="53">
        <v>1401</v>
      </c>
      <c r="B96" s="54" t="s">
        <v>115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57.75" hidden="1" customHeight="1">
      <c r="A97" s="53">
        <v>1402</v>
      </c>
      <c r="B97" s="54" t="s">
        <v>116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15" hidden="1" customHeight="1">
      <c r="A98" s="53">
        <v>1403</v>
      </c>
      <c r="B98" s="54" t="s">
        <v>117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6" s="6" customFormat="1" ht="16.5" customHeight="1">
      <c r="A99" s="52"/>
      <c r="B99" s="57" t="s">
        <v>118</v>
      </c>
      <c r="C99" s="366">
        <f>C56+C64+C66+C72+C77+C82+C84+C89+C95</f>
        <v>6364.4174800000001</v>
      </c>
      <c r="D99" s="366">
        <f>D56+D64+D66+D72+D77+D82+D84+D89+D95</f>
        <v>1728.8632499999999</v>
      </c>
      <c r="E99" s="34">
        <f t="shared" si="3"/>
        <v>27.164516712376319</v>
      </c>
      <c r="F99" s="34">
        <f t="shared" si="4"/>
        <v>-4635.5542299999997</v>
      </c>
    </row>
    <row r="100" spans="1:6" ht="20.25" customHeight="1">
      <c r="C100" s="340"/>
      <c r="D100" s="341"/>
    </row>
    <row r="101" spans="1:6" s="65" customFormat="1" ht="13.5" customHeight="1">
      <c r="A101" s="63" t="s">
        <v>119</v>
      </c>
      <c r="B101" s="63"/>
      <c r="C101" s="64"/>
      <c r="D101" s="64"/>
    </row>
    <row r="102" spans="1:6" s="65" customFormat="1" ht="12.75">
      <c r="A102" s="66" t="s">
        <v>120</v>
      </c>
      <c r="B102" s="66"/>
      <c r="C102" s="134" t="s">
        <v>121</v>
      </c>
      <c r="D102" s="134"/>
    </row>
    <row r="103" spans="1:6" ht="5.25" customHeight="1"/>
    <row r="142" hidden="1"/>
  </sheetData>
  <customSheetViews>
    <customSheetView guid="{61528DAC-5C4C-48F4-ADE2-8A724B05A086}" scale="70" showPageBreaks="1" hiddenRows="1" view="pageBreakPreview" topLeftCell="A25">
      <selection activeCell="D90" sqref="D90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2"/>
    </customSheetView>
    <customSheetView guid="{1A52382B-3765-4E8C-903F-6B8919B7242E}" scale="70" showPageBreaks="1" hiddenRows="1" view="pageBreakPreview" topLeftCell="A40">
      <selection activeCell="D90" sqref="D90"/>
      <pageMargins left="0.7" right="0.7" top="0.75" bottom="0.75" header="0.3" footer="0.3"/>
      <pageSetup paperSize="9" scale="57" orientation="portrait" r:id="rId3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4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5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6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B31C8DB7-3E78-4144-A6B5-8DE36DE63F0E}" hiddenRows="1" topLeftCell="A31">
      <selection activeCell="D46" sqref="D46"/>
      <pageMargins left="0.7" right="0.7" top="0.75" bottom="0.75" header="0.3" footer="0.3"/>
      <pageSetup paperSize="9" scale="57" orientation="portrait" r:id="rId8"/>
    </customSheetView>
    <customSheetView guid="{B30CE22D-C12F-4E12-8BB9-3AAE0A6991CC}" scale="70" showPageBreaks="1" hiddenRows="1" view="pageBreakPreview">
      <selection activeCell="C98" sqref="C98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43"/>
  <sheetViews>
    <sheetView tabSelected="1" view="pageBreakPreview" topLeftCell="A34" zoomScale="70" zoomScaleSheetLayoutView="70" workbookViewId="0">
      <selection activeCell="E48" sqref="E48"/>
    </sheetView>
  </sheetViews>
  <sheetFormatPr defaultRowHeight="15.75"/>
  <cols>
    <col min="1" max="1" width="17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5" t="s">
        <v>431</v>
      </c>
      <c r="B1" s="525"/>
      <c r="C1" s="525"/>
      <c r="D1" s="525"/>
      <c r="E1" s="525"/>
      <c r="F1" s="525"/>
    </row>
    <row r="2" spans="1:6">
      <c r="A2" s="525"/>
      <c r="B2" s="525"/>
      <c r="C2" s="525"/>
      <c r="D2" s="525"/>
      <c r="E2" s="525"/>
      <c r="F2" s="525"/>
    </row>
    <row r="3" spans="1:6" ht="63">
      <c r="A3" s="2" t="s">
        <v>0</v>
      </c>
      <c r="B3" s="2" t="s">
        <v>1</v>
      </c>
      <c r="C3" s="72" t="s">
        <v>411</v>
      </c>
      <c r="D3" s="73" t="s">
        <v>422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1828.2080000000001</v>
      </c>
      <c r="D4" s="5">
        <f>D5+D12+D14+D17+D7+D20</f>
        <v>584.17053999999996</v>
      </c>
      <c r="E4" s="5">
        <f>SUM(D4/C4*100)</f>
        <v>31.953177100198658</v>
      </c>
      <c r="F4" s="5">
        <f>SUM(D4-C4)</f>
        <v>-1244.03746</v>
      </c>
    </row>
    <row r="5" spans="1:6" s="6" customFormat="1">
      <c r="A5" s="68">
        <v>1010000000</v>
      </c>
      <c r="B5" s="67" t="s">
        <v>5</v>
      </c>
      <c r="C5" s="5">
        <f>C6</f>
        <v>111.54300000000001</v>
      </c>
      <c r="D5" s="5">
        <f>D6</f>
        <v>54.365090000000002</v>
      </c>
      <c r="E5" s="5">
        <f t="shared" ref="E5:E51" si="0">SUM(D5/C5*100)</f>
        <v>48.739131993939552</v>
      </c>
      <c r="F5" s="5">
        <f t="shared" ref="F5:F48" si="1">SUM(D5-C5)</f>
        <v>-57.177910000000004</v>
      </c>
    </row>
    <row r="6" spans="1:6">
      <c r="A6" s="7">
        <v>1010200001</v>
      </c>
      <c r="B6" s="8" t="s">
        <v>228</v>
      </c>
      <c r="C6" s="9">
        <v>111.54300000000001</v>
      </c>
      <c r="D6" s="10">
        <v>54.365090000000002</v>
      </c>
      <c r="E6" s="9">
        <f t="shared" ref="E6:E11" si="2">SUM(D6/C6*100)</f>
        <v>48.739131993939552</v>
      </c>
      <c r="F6" s="9">
        <f t="shared" si="1"/>
        <v>-57.177910000000004</v>
      </c>
    </row>
    <row r="7" spans="1:6" ht="31.5">
      <c r="A7" s="3">
        <v>1030000000</v>
      </c>
      <c r="B7" s="13" t="s">
        <v>280</v>
      </c>
      <c r="C7" s="5">
        <f>C8+C10+C9</f>
        <v>523.66500000000008</v>
      </c>
      <c r="D7" s="5">
        <f>D8+D10+D9+D11</f>
        <v>253.72844999999998</v>
      </c>
      <c r="E7" s="9">
        <f t="shared" si="2"/>
        <v>48.452436194895583</v>
      </c>
      <c r="F7" s="9">
        <f t="shared" si="1"/>
        <v>-269.93655000000012</v>
      </c>
    </row>
    <row r="8" spans="1:6">
      <c r="A8" s="7">
        <v>1030223001</v>
      </c>
      <c r="B8" s="8" t="s">
        <v>282</v>
      </c>
      <c r="C8" s="9">
        <v>195.33</v>
      </c>
      <c r="D8" s="10">
        <v>114.62348</v>
      </c>
      <c r="E8" s="9">
        <f t="shared" si="2"/>
        <v>58.6819638560385</v>
      </c>
      <c r="F8" s="9">
        <f t="shared" si="1"/>
        <v>-80.706520000000012</v>
      </c>
    </row>
    <row r="9" spans="1:6">
      <c r="A9" s="7">
        <v>1030224001</v>
      </c>
      <c r="B9" s="8" t="s">
        <v>288</v>
      </c>
      <c r="C9" s="9">
        <v>2.0950000000000002</v>
      </c>
      <c r="D9" s="10">
        <v>0.86111000000000004</v>
      </c>
      <c r="E9" s="9">
        <f t="shared" si="2"/>
        <v>41.103102625298327</v>
      </c>
      <c r="F9" s="9">
        <f t="shared" si="1"/>
        <v>-1.2338900000000002</v>
      </c>
    </row>
    <row r="10" spans="1:6">
      <c r="A10" s="7">
        <v>1030225001</v>
      </c>
      <c r="B10" s="8" t="s">
        <v>281</v>
      </c>
      <c r="C10" s="9">
        <v>326.24</v>
      </c>
      <c r="D10" s="10">
        <v>159.08917</v>
      </c>
      <c r="E10" s="9">
        <f t="shared" si="2"/>
        <v>48.764458680725845</v>
      </c>
      <c r="F10" s="9">
        <f t="shared" si="1"/>
        <v>-167.15083000000001</v>
      </c>
    </row>
    <row r="11" spans="1:6">
      <c r="A11" s="7">
        <v>1030226001</v>
      </c>
      <c r="B11" s="8" t="s">
        <v>290</v>
      </c>
      <c r="C11" s="9">
        <v>0</v>
      </c>
      <c r="D11" s="10">
        <v>-20.845310000000001</v>
      </c>
      <c r="E11" s="9" t="e">
        <f t="shared" si="2"/>
        <v>#DIV/0!</v>
      </c>
      <c r="F11" s="9">
        <f t="shared" si="1"/>
        <v>-20.845310000000001</v>
      </c>
    </row>
    <row r="12" spans="1:6" s="6" customFormat="1">
      <c r="A12" s="68">
        <v>1050000000</v>
      </c>
      <c r="B12" s="67" t="s">
        <v>6</v>
      </c>
      <c r="C12" s="5">
        <f>SUM(C13:C13)</f>
        <v>45</v>
      </c>
      <c r="D12" s="5">
        <f>D13</f>
        <v>98.753339999999994</v>
      </c>
      <c r="E12" s="5">
        <f t="shared" si="0"/>
        <v>219.45186666666666</v>
      </c>
      <c r="F12" s="5">
        <f t="shared" si="1"/>
        <v>53.753339999999994</v>
      </c>
    </row>
    <row r="13" spans="1:6" ht="15.75" customHeight="1">
      <c r="A13" s="7">
        <v>1050300000</v>
      </c>
      <c r="B13" s="11" t="s">
        <v>229</v>
      </c>
      <c r="C13" s="12">
        <v>45</v>
      </c>
      <c r="D13" s="10">
        <v>98.753339999999994</v>
      </c>
      <c r="E13" s="9">
        <f t="shared" si="0"/>
        <v>219.45186666666666</v>
      </c>
      <c r="F13" s="9">
        <f t="shared" si="1"/>
        <v>53.753339999999994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1138</v>
      </c>
      <c r="D14" s="5">
        <f>D15+D16</f>
        <v>174.17365999999998</v>
      </c>
      <c r="E14" s="5">
        <f t="shared" si="0"/>
        <v>15.305242530755711</v>
      </c>
      <c r="F14" s="5">
        <f t="shared" si="1"/>
        <v>-963.82634000000007</v>
      </c>
    </row>
    <row r="15" spans="1:6" s="6" customFormat="1" ht="15.75" customHeight="1">
      <c r="A15" s="7">
        <v>1060100000</v>
      </c>
      <c r="B15" s="11" t="s">
        <v>8</v>
      </c>
      <c r="C15" s="9">
        <v>138</v>
      </c>
      <c r="D15" s="10">
        <v>7.7496999999999998</v>
      </c>
      <c r="E15" s="9">
        <f t="shared" si="0"/>
        <v>5.6157246376811587</v>
      </c>
      <c r="F15" s="9">
        <f>SUM(D15-C15)</f>
        <v>-130.25030000000001</v>
      </c>
    </row>
    <row r="16" spans="1:6" ht="15.75" customHeight="1">
      <c r="A16" s="7">
        <v>1060600000</v>
      </c>
      <c r="B16" s="11" t="s">
        <v>7</v>
      </c>
      <c r="C16" s="9">
        <v>1000</v>
      </c>
      <c r="D16" s="10">
        <v>166.42395999999999</v>
      </c>
      <c r="E16" s="9">
        <f t="shared" si="0"/>
        <v>16.642395999999998</v>
      </c>
      <c r="F16" s="9">
        <f t="shared" si="1"/>
        <v>-833.57604000000003</v>
      </c>
    </row>
    <row r="17" spans="1:6" s="6" customFormat="1">
      <c r="A17" s="3">
        <v>1080000000</v>
      </c>
      <c r="B17" s="4" t="s">
        <v>10</v>
      </c>
      <c r="C17" s="5">
        <f>C18+C19</f>
        <v>10</v>
      </c>
      <c r="D17" s="5">
        <f>D18+D19</f>
        <v>3.15</v>
      </c>
      <c r="E17" s="5">
        <f t="shared" si="0"/>
        <v>31.5</v>
      </c>
      <c r="F17" s="5">
        <f t="shared" si="1"/>
        <v>-6.85</v>
      </c>
    </row>
    <row r="18" spans="1:6" ht="18" customHeight="1">
      <c r="A18" s="7">
        <v>1080400001</v>
      </c>
      <c r="B18" s="8" t="s">
        <v>227</v>
      </c>
      <c r="C18" s="9">
        <v>10</v>
      </c>
      <c r="D18" s="10">
        <v>3.15</v>
      </c>
      <c r="E18" s="9">
        <f t="shared" si="0"/>
        <v>31.5</v>
      </c>
      <c r="F18" s="9">
        <f t="shared" si="1"/>
        <v>-6.85</v>
      </c>
    </row>
    <row r="19" spans="1:6" ht="36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124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125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126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127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C26+C29+C31+C36+C34</f>
        <v>89</v>
      </c>
      <c r="D25" s="5">
        <f>D26+D29+D31+D36+D34</f>
        <v>23.8324</v>
      </c>
      <c r="E25" s="5">
        <f t="shared" si="0"/>
        <v>26.777977528089885</v>
      </c>
      <c r="F25" s="5">
        <f t="shared" si="1"/>
        <v>-65.167599999999993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89</v>
      </c>
      <c r="D26" s="365">
        <f>D27+D28</f>
        <v>23.8324</v>
      </c>
      <c r="E26" s="5">
        <f t="shared" si="0"/>
        <v>26.777977528089885</v>
      </c>
      <c r="F26" s="5">
        <f t="shared" si="1"/>
        <v>-65.167599999999993</v>
      </c>
    </row>
    <row r="27" spans="1:6">
      <c r="A27" s="16">
        <v>1110502510</v>
      </c>
      <c r="B27" s="17" t="s">
        <v>225</v>
      </c>
      <c r="C27" s="12">
        <v>83</v>
      </c>
      <c r="D27" s="10">
        <v>21.01</v>
      </c>
      <c r="E27" s="9">
        <f t="shared" si="0"/>
        <v>25.313253012048193</v>
      </c>
      <c r="F27" s="9">
        <f t="shared" si="1"/>
        <v>-61.989999999999995</v>
      </c>
    </row>
    <row r="28" spans="1:6" ht="18" customHeight="1">
      <c r="A28" s="7">
        <v>1110503510</v>
      </c>
      <c r="B28" s="11" t="s">
        <v>224</v>
      </c>
      <c r="C28" s="12">
        <v>6</v>
      </c>
      <c r="D28" s="10">
        <v>2.8224</v>
      </c>
      <c r="E28" s="9">
        <f t="shared" si="0"/>
        <v>47.04</v>
      </c>
      <c r="F28" s="9">
        <f t="shared" si="1"/>
        <v>-3.1776</v>
      </c>
    </row>
    <row r="29" spans="1:6" s="15" customFormat="1" ht="29.25">
      <c r="A29" s="68">
        <v>1130000000</v>
      </c>
      <c r="B29" s="69" t="s">
        <v>130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7.25" customHeight="1">
      <c r="A30" s="7">
        <v>1130206005</v>
      </c>
      <c r="B30" s="8" t="s">
        <v>223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8.5" hidden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222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251</v>
      </c>
      <c r="C34" s="5">
        <f>C35</f>
        <v>0</v>
      </c>
      <c r="D34" s="5">
        <f>D35</f>
        <v>0</v>
      </c>
      <c r="E34" s="9" t="e">
        <f>SUM(D34/C34*100)</f>
        <v>#DIV/0!</v>
      </c>
      <c r="F34" s="9">
        <f>SUM(D34-C34)</f>
        <v>0</v>
      </c>
    </row>
    <row r="35" spans="1:7" ht="29.25" customHeight="1">
      <c r="A35" s="7">
        <v>1163305010</v>
      </c>
      <c r="B35" s="8" t="s">
        <v>267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134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7.25" customHeight="1">
      <c r="A37" s="7">
        <v>1170105005</v>
      </c>
      <c r="B37" s="8" t="s">
        <v>17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9.5" hidden="1" customHeight="1">
      <c r="A38" s="7">
        <v>1170505005</v>
      </c>
      <c r="B38" s="11" t="s">
        <v>220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18</v>
      </c>
      <c r="C39" s="127">
        <f>SUM(C4,C25)</f>
        <v>1917.2080000000001</v>
      </c>
      <c r="D39" s="127">
        <f>SUM(D4,D25)</f>
        <v>608.00293999999997</v>
      </c>
      <c r="E39" s="5">
        <f t="shared" si="0"/>
        <v>31.712935685642869</v>
      </c>
      <c r="F39" s="5">
        <f t="shared" si="1"/>
        <v>-1309.2050600000002</v>
      </c>
    </row>
    <row r="40" spans="1:7" s="6" customFormat="1">
      <c r="A40" s="3">
        <v>2000000000</v>
      </c>
      <c r="B40" s="4" t="s">
        <v>19</v>
      </c>
      <c r="C40" s="339">
        <f>C41+C42+C43+C44+C48+C49</f>
        <v>5504.3069999999998</v>
      </c>
      <c r="D40" s="339">
        <f>D41+D42+D43+D44+D48+D49+D50</f>
        <v>1889.1844000000001</v>
      </c>
      <c r="E40" s="5">
        <f t="shared" si="0"/>
        <v>34.321930081298156</v>
      </c>
      <c r="F40" s="5">
        <f t="shared" si="1"/>
        <v>-3615.1225999999997</v>
      </c>
      <c r="G40" s="19"/>
    </row>
    <row r="41" spans="1:7">
      <c r="A41" s="16">
        <v>2021000000</v>
      </c>
      <c r="B41" s="17" t="s">
        <v>20</v>
      </c>
      <c r="C41" s="12">
        <v>2862</v>
      </c>
      <c r="D41" s="20">
        <v>1192.5</v>
      </c>
      <c r="E41" s="9">
        <f t="shared" si="0"/>
        <v>41.666666666666671</v>
      </c>
      <c r="F41" s="9">
        <f t="shared" si="1"/>
        <v>-1669.5</v>
      </c>
    </row>
    <row r="42" spans="1:7" ht="17.25" customHeight="1">
      <c r="A42" s="16">
        <v>2021500200</v>
      </c>
      <c r="B42" s="17" t="s">
        <v>231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21</v>
      </c>
      <c r="C43" s="12">
        <v>2060.44</v>
      </c>
      <c r="D43" s="10">
        <v>396.66399999999999</v>
      </c>
      <c r="E43" s="9">
        <f t="shared" si="0"/>
        <v>19.251422026363301</v>
      </c>
      <c r="F43" s="9">
        <f t="shared" si="1"/>
        <v>-1663.7760000000001</v>
      </c>
    </row>
    <row r="44" spans="1:7" ht="18" customHeight="1">
      <c r="A44" s="16">
        <v>2023000000</v>
      </c>
      <c r="B44" s="17" t="s">
        <v>22</v>
      </c>
      <c r="C44" s="12">
        <v>182.04300000000001</v>
      </c>
      <c r="D44" s="248">
        <v>75.196399999999997</v>
      </c>
      <c r="E44" s="9">
        <f t="shared" si="0"/>
        <v>41.306943963788775</v>
      </c>
      <c r="F44" s="9">
        <f t="shared" si="1"/>
        <v>-106.84660000000001</v>
      </c>
    </row>
    <row r="45" spans="1:7" ht="0.75" hidden="1" customHeight="1">
      <c r="A45" s="16">
        <v>2020400000</v>
      </c>
      <c r="B45" s="17" t="s">
        <v>23</v>
      </c>
      <c r="C45" s="12"/>
      <c r="D45" s="249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24</v>
      </c>
      <c r="C46" s="12"/>
      <c r="D46" s="249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25</v>
      </c>
      <c r="C47" s="14"/>
      <c r="D47" s="14"/>
      <c r="E47" s="5"/>
      <c r="F47" s="5">
        <f>SUM(D47-C47)</f>
        <v>0</v>
      </c>
    </row>
    <row r="48" spans="1:7" s="6" customFormat="1" ht="18" customHeight="1">
      <c r="A48" s="7">
        <v>2020400000</v>
      </c>
      <c r="B48" s="8" t="s">
        <v>23</v>
      </c>
      <c r="C48" s="12">
        <v>175</v>
      </c>
      <c r="D48" s="10">
        <v>0</v>
      </c>
      <c r="E48" s="9">
        <f t="shared" si="0"/>
        <v>0</v>
      </c>
      <c r="F48" s="9">
        <f t="shared" si="1"/>
        <v>-175</v>
      </c>
    </row>
    <row r="49" spans="1:7" s="6" customFormat="1" ht="18.75" customHeight="1">
      <c r="A49" s="7">
        <v>2070500010</v>
      </c>
      <c r="B49" s="8" t="s">
        <v>352</v>
      </c>
      <c r="C49" s="12">
        <v>224.82400000000001</v>
      </c>
      <c r="D49" s="10">
        <v>224.82400000000001</v>
      </c>
      <c r="E49" s="9">
        <f>SUM(D49/C49*100)</f>
        <v>100</v>
      </c>
      <c r="F49" s="9">
        <f>SUM(D49-C49)</f>
        <v>0</v>
      </c>
    </row>
    <row r="50" spans="1:7" s="6" customFormat="1" ht="18.75" customHeight="1">
      <c r="A50" s="7">
        <v>2190500005</v>
      </c>
      <c r="B50" s="11" t="s">
        <v>25</v>
      </c>
      <c r="C50" s="12">
        <v>0</v>
      </c>
      <c r="D50" s="10">
        <v>0</v>
      </c>
      <c r="E50" s="9"/>
      <c r="F50" s="9"/>
    </row>
    <row r="51" spans="1:7" s="6" customFormat="1" ht="19.5" customHeight="1">
      <c r="A51" s="3"/>
      <c r="B51" s="4" t="s">
        <v>27</v>
      </c>
      <c r="C51" s="363">
        <f>C39+C40</f>
        <v>7421.5149999999994</v>
      </c>
      <c r="D51" s="363">
        <f>SUM(D39,D40,)</f>
        <v>2497.1873399999999</v>
      </c>
      <c r="E51" s="5">
        <f t="shared" si="0"/>
        <v>33.647945736146866</v>
      </c>
      <c r="F51" s="5">
        <f>SUM(D51-C51)</f>
        <v>-4924.327659999999</v>
      </c>
      <c r="G51" s="290"/>
    </row>
    <row r="52" spans="1:7" s="6" customFormat="1">
      <c r="A52" s="3"/>
      <c r="B52" s="21" t="s">
        <v>320</v>
      </c>
      <c r="C52" s="363">
        <f>C51-C98</f>
        <v>-288.5238500000014</v>
      </c>
      <c r="D52" s="363">
        <f>D51-D98</f>
        <v>478.61626999999999</v>
      </c>
      <c r="E52" s="22"/>
      <c r="F52" s="22"/>
    </row>
    <row r="53" spans="1:7">
      <c r="A53" s="23"/>
      <c r="B53" s="24"/>
      <c r="C53" s="247"/>
      <c r="D53" s="247"/>
      <c r="E53" s="26"/>
      <c r="F53" s="92"/>
    </row>
    <row r="54" spans="1:7" ht="60" customHeight="1">
      <c r="A54" s="28" t="s">
        <v>0</v>
      </c>
      <c r="B54" s="28" t="s">
        <v>28</v>
      </c>
      <c r="C54" s="240" t="s">
        <v>411</v>
      </c>
      <c r="D54" s="241" t="s">
        <v>419</v>
      </c>
      <c r="E54" s="72" t="s">
        <v>2</v>
      </c>
      <c r="F54" s="74" t="s">
        <v>3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29</v>
      </c>
      <c r="B56" s="31" t="s">
        <v>30</v>
      </c>
      <c r="C56" s="32">
        <f>C57+C58+C59+C60+C61+C63+C62</f>
        <v>1377.5060000000001</v>
      </c>
      <c r="D56" s="243">
        <f>D57+D58+D59+D60+D61+D63+D62</f>
        <v>467.90504999999996</v>
      </c>
      <c r="E56" s="34">
        <f>SUM(D56/C56*100)</f>
        <v>33.967550776548336</v>
      </c>
      <c r="F56" s="34">
        <f>SUM(D56-C56)</f>
        <v>-909.60095000000013</v>
      </c>
    </row>
    <row r="57" spans="1:7" s="6" customFormat="1" ht="31.5" hidden="1">
      <c r="A57" s="35" t="s">
        <v>31</v>
      </c>
      <c r="B57" s="36" t="s">
        <v>32</v>
      </c>
      <c r="C57" s="37"/>
      <c r="D57" s="37"/>
      <c r="E57" s="38"/>
      <c r="F57" s="38"/>
    </row>
    <row r="58" spans="1:7">
      <c r="A58" s="35" t="s">
        <v>33</v>
      </c>
      <c r="B58" s="39" t="s">
        <v>34</v>
      </c>
      <c r="C58" s="37">
        <v>1348</v>
      </c>
      <c r="D58" s="37">
        <v>463.39954999999998</v>
      </c>
      <c r="E58" s="38">
        <f t="shared" ref="E58:E98" si="3">SUM(D58/C58*100)</f>
        <v>34.376821216617209</v>
      </c>
      <c r="F58" s="38">
        <f t="shared" ref="F58:F98" si="4">SUM(D58-C58)</f>
        <v>-884.60045000000002</v>
      </c>
    </row>
    <row r="59" spans="1:7" ht="0.75" hidden="1" customHeight="1">
      <c r="A59" s="35" t="s">
        <v>35</v>
      </c>
      <c r="B59" s="39" t="s">
        <v>36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37</v>
      </c>
      <c r="B60" s="39" t="s">
        <v>38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39</v>
      </c>
      <c r="B61" s="39" t="s">
        <v>40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41</v>
      </c>
      <c r="B62" s="39" t="s">
        <v>42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.75" customHeight="1">
      <c r="A63" s="35" t="s">
        <v>43</v>
      </c>
      <c r="B63" s="39" t="s">
        <v>44</v>
      </c>
      <c r="C63" s="37">
        <v>24.506</v>
      </c>
      <c r="D63" s="37">
        <v>4.5054999999999996</v>
      </c>
      <c r="E63" s="38">
        <f t="shared" si="3"/>
        <v>18.385293397535296</v>
      </c>
      <c r="F63" s="38">
        <f t="shared" si="4"/>
        <v>-20.000500000000002</v>
      </c>
    </row>
    <row r="64" spans="1:7" s="6" customFormat="1">
      <c r="A64" s="41" t="s">
        <v>45</v>
      </c>
      <c r="B64" s="42" t="s">
        <v>46</v>
      </c>
      <c r="C64" s="32">
        <f>C65</f>
        <v>179.892</v>
      </c>
      <c r="D64" s="32">
        <f>D65</f>
        <v>63.827770000000001</v>
      </c>
      <c r="E64" s="34">
        <f>SUM(D64/C64*100)</f>
        <v>35.481160918773483</v>
      </c>
      <c r="F64" s="34">
        <f t="shared" si="4"/>
        <v>-116.06422999999999</v>
      </c>
    </row>
    <row r="65" spans="1:7">
      <c r="A65" s="43" t="s">
        <v>47</v>
      </c>
      <c r="B65" s="44" t="s">
        <v>48</v>
      </c>
      <c r="C65" s="37">
        <v>179.892</v>
      </c>
      <c r="D65" s="37">
        <v>63.827770000000001</v>
      </c>
      <c r="E65" s="421">
        <f>SUM(D65/C65*100)</f>
        <v>35.481160918773483</v>
      </c>
      <c r="F65" s="38">
        <f t="shared" si="4"/>
        <v>-116.06422999999999</v>
      </c>
    </row>
    <row r="66" spans="1:7" s="6" customFormat="1" ht="18" customHeight="1">
      <c r="A66" s="30" t="s">
        <v>49</v>
      </c>
      <c r="B66" s="31" t="s">
        <v>50</v>
      </c>
      <c r="C66" s="32">
        <f>C69+C70+C71</f>
        <v>9.6999999999999993</v>
      </c>
      <c r="D66" s="32">
        <f>D69+D70</f>
        <v>0.65</v>
      </c>
      <c r="E66" s="34">
        <f t="shared" si="3"/>
        <v>6.7010309278350526</v>
      </c>
      <c r="F66" s="34">
        <f t="shared" si="4"/>
        <v>-9.0499999999999989</v>
      </c>
    </row>
    <row r="67" spans="1:7" hidden="1">
      <c r="A67" s="3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53</v>
      </c>
      <c r="B68" s="39" t="s">
        <v>54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55</v>
      </c>
      <c r="B69" s="47" t="s">
        <v>56</v>
      </c>
      <c r="C69" s="37">
        <v>5.7</v>
      </c>
      <c r="D69" s="37">
        <v>0</v>
      </c>
      <c r="E69" s="34">
        <f t="shared" si="3"/>
        <v>0</v>
      </c>
      <c r="F69" s="34">
        <f t="shared" si="4"/>
        <v>-5.7</v>
      </c>
    </row>
    <row r="70" spans="1:7" ht="15.75" customHeight="1">
      <c r="A70" s="46" t="s">
        <v>218</v>
      </c>
      <c r="B70" s="47" t="s">
        <v>219</v>
      </c>
      <c r="C70" s="37">
        <v>2</v>
      </c>
      <c r="D70" s="37">
        <v>0.65</v>
      </c>
      <c r="E70" s="34">
        <f t="shared" si="3"/>
        <v>32.5</v>
      </c>
      <c r="F70" s="34">
        <f t="shared" si="4"/>
        <v>-1.35</v>
      </c>
    </row>
    <row r="71" spans="1:7" ht="15.75" customHeight="1">
      <c r="A71" s="46" t="s">
        <v>357</v>
      </c>
      <c r="B71" s="47" t="s">
        <v>414</v>
      </c>
      <c r="C71" s="37">
        <v>2</v>
      </c>
      <c r="D71" s="37"/>
      <c r="E71" s="34"/>
      <c r="F71" s="34"/>
    </row>
    <row r="72" spans="1:7" s="6" customFormat="1" ht="16.5" customHeight="1">
      <c r="A72" s="30" t="s">
        <v>57</v>
      </c>
      <c r="B72" s="31" t="s">
        <v>58</v>
      </c>
      <c r="C72" s="48">
        <f>C73+C74+C75+C76</f>
        <v>3450.3148500000002</v>
      </c>
      <c r="D72" s="48">
        <f>SUM(D73:D76)</f>
        <v>509.34730999999999</v>
      </c>
      <c r="E72" s="34">
        <f t="shared" si="3"/>
        <v>14.762342920675774</v>
      </c>
      <c r="F72" s="34">
        <f t="shared" si="4"/>
        <v>-2940.9675400000001</v>
      </c>
    </row>
    <row r="73" spans="1:7" ht="15" customHeight="1">
      <c r="A73" s="35" t="s">
        <v>59</v>
      </c>
      <c r="B73" s="39" t="s">
        <v>60</v>
      </c>
      <c r="C73" s="49">
        <v>5.3620000000000001</v>
      </c>
      <c r="D73" s="37">
        <v>1.3405</v>
      </c>
      <c r="E73" s="38">
        <f t="shared" si="3"/>
        <v>25</v>
      </c>
      <c r="F73" s="38">
        <f t="shared" si="4"/>
        <v>-4.0214999999999996</v>
      </c>
    </row>
    <row r="74" spans="1:7" s="6" customFormat="1" ht="15" customHeight="1">
      <c r="A74" s="35" t="s">
        <v>61</v>
      </c>
      <c r="B74" s="39" t="s">
        <v>62</v>
      </c>
      <c r="C74" s="49">
        <v>256</v>
      </c>
      <c r="D74" s="37">
        <v>32.950000000000003</v>
      </c>
      <c r="E74" s="38">
        <f t="shared" si="3"/>
        <v>12.871093750000002</v>
      </c>
      <c r="F74" s="38">
        <f t="shared" si="4"/>
        <v>-223.05</v>
      </c>
      <c r="G74" s="50"/>
    </row>
    <row r="75" spans="1:7">
      <c r="A75" s="35" t="s">
        <v>63</v>
      </c>
      <c r="B75" s="39" t="s">
        <v>64</v>
      </c>
      <c r="C75" s="49">
        <v>2938.9528500000001</v>
      </c>
      <c r="D75" s="37">
        <v>450.75680999999997</v>
      </c>
      <c r="E75" s="38">
        <f t="shared" si="3"/>
        <v>15.337327034695367</v>
      </c>
      <c r="F75" s="38">
        <f t="shared" si="4"/>
        <v>-2488.1960400000003</v>
      </c>
    </row>
    <row r="76" spans="1:7">
      <c r="A76" s="35" t="s">
        <v>65</v>
      </c>
      <c r="B76" s="39" t="s">
        <v>66</v>
      </c>
      <c r="C76" s="49">
        <v>250</v>
      </c>
      <c r="D76" s="37">
        <v>24.3</v>
      </c>
      <c r="E76" s="38">
        <f t="shared" si="3"/>
        <v>9.7200000000000006</v>
      </c>
      <c r="F76" s="38">
        <f t="shared" si="4"/>
        <v>-225.7</v>
      </c>
    </row>
    <row r="77" spans="1:7" s="6" customFormat="1" ht="18" customHeight="1">
      <c r="A77" s="30" t="s">
        <v>67</v>
      </c>
      <c r="B77" s="31" t="s">
        <v>68</v>
      </c>
      <c r="C77" s="32">
        <f>SUM(C78:C80)</f>
        <v>639.46900000000005</v>
      </c>
      <c r="D77" s="32">
        <f>SUM(D78:D80)</f>
        <v>82.5</v>
      </c>
      <c r="E77" s="34">
        <f t="shared" si="3"/>
        <v>12.90132907146398</v>
      </c>
      <c r="F77" s="34">
        <f t="shared" si="4"/>
        <v>-556.96900000000005</v>
      </c>
    </row>
    <row r="78" spans="1:7" ht="14.25" hidden="1" customHeight="1">
      <c r="A78" s="35" t="s">
        <v>69</v>
      </c>
      <c r="B78" s="51" t="s">
        <v>70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 ht="18.75" hidden="1" customHeight="1">
      <c r="A79" s="35" t="s">
        <v>71</v>
      </c>
      <c r="B79" s="51" t="s">
        <v>72</v>
      </c>
      <c r="C79" s="37">
        <v>0</v>
      </c>
      <c r="D79" s="37">
        <v>0</v>
      </c>
      <c r="E79" s="34" t="e">
        <f t="shared" si="3"/>
        <v>#DIV/0!</v>
      </c>
      <c r="F79" s="34">
        <f t="shared" si="4"/>
        <v>0</v>
      </c>
    </row>
    <row r="80" spans="1:7">
      <c r="A80" s="35" t="s">
        <v>73</v>
      </c>
      <c r="B80" s="39" t="s">
        <v>74</v>
      </c>
      <c r="C80" s="37">
        <v>639.46900000000005</v>
      </c>
      <c r="D80" s="37">
        <v>82.5</v>
      </c>
      <c r="E80" s="38">
        <f t="shared" si="3"/>
        <v>12.90132907146398</v>
      </c>
      <c r="F80" s="38">
        <f t="shared" si="4"/>
        <v>-556.96900000000005</v>
      </c>
    </row>
    <row r="81" spans="1:6" s="6" customFormat="1">
      <c r="A81" s="30" t="s">
        <v>85</v>
      </c>
      <c r="B81" s="31" t="s">
        <v>86</v>
      </c>
      <c r="C81" s="32">
        <f>C82</f>
        <v>2028.6880000000001</v>
      </c>
      <c r="D81" s="32">
        <f>D82</f>
        <v>889.87194</v>
      </c>
      <c r="E81" s="34">
        <f>SUM(D81/C81*100)</f>
        <v>43.864405960896889</v>
      </c>
      <c r="F81" s="34">
        <f t="shared" si="4"/>
        <v>-1138.8160600000001</v>
      </c>
    </row>
    <row r="82" spans="1:6" ht="15.75" customHeight="1">
      <c r="A82" s="35" t="s">
        <v>87</v>
      </c>
      <c r="B82" s="39" t="s">
        <v>233</v>
      </c>
      <c r="C82" s="37">
        <v>2028.6880000000001</v>
      </c>
      <c r="D82" s="37">
        <v>889.87194</v>
      </c>
      <c r="E82" s="38">
        <f>SUM(D82/C82*100)</f>
        <v>43.864405960896889</v>
      </c>
      <c r="F82" s="38">
        <f t="shared" si="4"/>
        <v>-1138.8160600000001</v>
      </c>
    </row>
    <row r="83" spans="1:6" s="6" customFormat="1" ht="1.5" hidden="1" customHeight="1">
      <c r="A83" s="52">
        <v>1000</v>
      </c>
      <c r="B83" s="31" t="s">
        <v>88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7.25" hidden="1" customHeight="1">
      <c r="A84" s="53">
        <v>1001</v>
      </c>
      <c r="B84" s="54" t="s">
        <v>89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90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1004</v>
      </c>
      <c r="B86" s="54" t="s">
        <v>91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92</v>
      </c>
      <c r="B87" s="39" t="s">
        <v>93</v>
      </c>
      <c r="C87" s="37">
        <v>0</v>
      </c>
      <c r="D87" s="37">
        <v>0</v>
      </c>
      <c r="E87" s="38"/>
      <c r="F87" s="38">
        <f t="shared" si="4"/>
        <v>0</v>
      </c>
    </row>
    <row r="88" spans="1:6">
      <c r="A88" s="30" t="s">
        <v>94</v>
      </c>
      <c r="B88" s="31" t="s">
        <v>95</v>
      </c>
      <c r="C88" s="32">
        <f>C89+C90+C91+C92+C93</f>
        <v>24.469000000000001</v>
      </c>
      <c r="D88" s="32">
        <f>D89+D90+D91+D92+D93</f>
        <v>4.4690000000000003</v>
      </c>
      <c r="E88" s="38">
        <f t="shared" si="3"/>
        <v>18.263925783644609</v>
      </c>
      <c r="F88" s="22">
        <f>F89+F90+F91+F92+F93</f>
        <v>-20</v>
      </c>
    </row>
    <row r="89" spans="1:6" ht="18.75" customHeight="1">
      <c r="A89" s="35" t="s">
        <v>96</v>
      </c>
      <c r="B89" s="39" t="s">
        <v>97</v>
      </c>
      <c r="C89" s="37">
        <v>24.469000000000001</v>
      </c>
      <c r="D89" s="37">
        <v>4.4690000000000003</v>
      </c>
      <c r="E89" s="38">
        <f t="shared" si="3"/>
        <v>18.263925783644609</v>
      </c>
      <c r="F89" s="38">
        <f>SUM(D89-C89)</f>
        <v>-20</v>
      </c>
    </row>
    <row r="90" spans="1:6" ht="15.75" hidden="1" customHeight="1">
      <c r="A90" s="35" t="s">
        <v>98</v>
      </c>
      <c r="B90" s="39" t="s">
        <v>99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100</v>
      </c>
      <c r="B91" s="39" t="s">
        <v>101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102</v>
      </c>
      <c r="B92" s="39" t="s">
        <v>103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104</v>
      </c>
      <c r="B93" s="39" t="s">
        <v>105</v>
      </c>
      <c r="C93" s="37"/>
      <c r="D93" s="37"/>
      <c r="E93" s="38" t="e">
        <f t="shared" si="3"/>
        <v>#DIV/0!</v>
      </c>
      <c r="F93" s="38"/>
    </row>
    <row r="94" spans="1:6" s="6" customFormat="1" ht="16.5" hidden="1" customHeight="1">
      <c r="A94" s="52">
        <v>1400</v>
      </c>
      <c r="B94" s="56" t="s">
        <v>114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0.75" hidden="1" customHeight="1">
      <c r="A95" s="53">
        <v>1401</v>
      </c>
      <c r="B95" s="54" t="s">
        <v>115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9.5" hidden="1" customHeight="1">
      <c r="A96" s="53">
        <v>1402</v>
      </c>
      <c r="B96" s="54" t="s">
        <v>116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hidden="1" customHeight="1">
      <c r="A97" s="53">
        <v>1403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5.75" customHeight="1">
      <c r="A98" s="52"/>
      <c r="B98" s="57" t="s">
        <v>118</v>
      </c>
      <c r="C98" s="366">
        <f>C56+C64+C66+C72+C77+C81+C83+C88+C94</f>
        <v>7710.0388500000008</v>
      </c>
      <c r="D98" s="366">
        <f>D56+D64+D66+D72+D77+D81+D83+D88+D94</f>
        <v>2018.57107</v>
      </c>
      <c r="E98" s="34">
        <f t="shared" si="3"/>
        <v>26.181075209497806</v>
      </c>
      <c r="F98" s="34">
        <f t="shared" si="4"/>
        <v>-5691.4677800000009</v>
      </c>
      <c r="G98" s="290"/>
    </row>
    <row r="99" spans="1:7" ht="0.75" customHeight="1">
      <c r="C99" s="126"/>
      <c r="D99" s="101"/>
    </row>
    <row r="100" spans="1:7" s="65" customFormat="1" ht="16.5" customHeight="1">
      <c r="A100" s="63" t="s">
        <v>119</v>
      </c>
      <c r="B100" s="63"/>
      <c r="C100" s="246"/>
      <c r="D100" s="246"/>
    </row>
    <row r="101" spans="1:7" s="65" customFormat="1" ht="20.25" customHeight="1">
      <c r="A101" s="66" t="s">
        <v>120</v>
      </c>
      <c r="B101" s="66"/>
      <c r="C101" s="65" t="s">
        <v>121</v>
      </c>
    </row>
    <row r="102" spans="1:7" ht="13.5" customHeight="1">
      <c r="C102" s="120"/>
    </row>
    <row r="103" spans="1:7" ht="5.25" customHeight="1"/>
    <row r="143" hidden="1"/>
  </sheetData>
  <customSheetViews>
    <customSheetView guid="{61528DAC-5C4C-48F4-ADE2-8A724B05A086}" scale="70" showPageBreaks="1" hiddenRows="1" view="pageBreakPreview" topLeftCell="A28">
      <selection activeCell="D89" sqref="D89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2"/>
    </customSheetView>
    <customSheetView guid="{1A52382B-3765-4E8C-903F-6B8919B7242E}" scale="70" showPageBreaks="1" hiddenRows="1" view="pageBreakPreview" topLeftCell="A44">
      <selection activeCell="G99" sqref="G99"/>
      <pageMargins left="0.7" right="0.7" top="0.75" bottom="0.75" header="0.3" footer="0.3"/>
      <pageSetup paperSize="9" scale="49" orientation="portrait" r:id="rId3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4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5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6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B31C8DB7-3E78-4144-A6B5-8DE36DE63F0E}" hiddenRows="1" topLeftCell="A26">
      <selection activeCell="D49" sqref="D49"/>
      <pageMargins left="0.7" right="0.7" top="0.75" bottom="0.75" header="0.3" footer="0.3"/>
      <pageSetup paperSize="9" scale="49" orientation="portrait" r:id="rId8"/>
    </customSheetView>
    <customSheetView guid="{B30CE22D-C12F-4E12-8BB9-3AAE0A6991CC}" scale="70" showPageBreaks="1" hiddenRows="1" view="pageBreakPreview">
      <selection activeCell="D87" sqref="D87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43"/>
  <sheetViews>
    <sheetView tabSelected="1" view="pageBreakPreview" topLeftCell="A43" zoomScale="70" zoomScaleSheetLayoutView="70" workbookViewId="0">
      <selection activeCell="E48" sqref="E48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5" t="s">
        <v>432</v>
      </c>
      <c r="B1" s="525"/>
      <c r="C1" s="525"/>
      <c r="D1" s="525"/>
      <c r="E1" s="525"/>
      <c r="F1" s="525"/>
    </row>
    <row r="2" spans="1:6">
      <c r="A2" s="525"/>
      <c r="B2" s="525"/>
      <c r="C2" s="525"/>
      <c r="D2" s="525"/>
      <c r="E2" s="525"/>
      <c r="F2" s="525"/>
    </row>
    <row r="3" spans="1:6" ht="63">
      <c r="A3" s="2" t="s">
        <v>0</v>
      </c>
      <c r="B3" s="2" t="s">
        <v>1</v>
      </c>
      <c r="C3" s="72" t="s">
        <v>411</v>
      </c>
      <c r="D3" s="73" t="s">
        <v>422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C5+C12+C14+C17+C20+C7</f>
        <v>1489.3039999999999</v>
      </c>
      <c r="D4" s="5">
        <f>D5+D12+D14+D17+D20+D7</f>
        <v>311.93557000000004</v>
      </c>
      <c r="E4" s="5">
        <f>SUM(D4/C4*100)</f>
        <v>20.945056885632489</v>
      </c>
      <c r="F4" s="5">
        <f>SUM(D4-C4)</f>
        <v>-1177.3684299999998</v>
      </c>
    </row>
    <row r="5" spans="1:6" s="6" customFormat="1">
      <c r="A5" s="68">
        <v>1010000000</v>
      </c>
      <c r="B5" s="67" t="s">
        <v>5</v>
      </c>
      <c r="C5" s="5">
        <f>C6</f>
        <v>105.069</v>
      </c>
      <c r="D5" s="5">
        <f>D6</f>
        <v>42.433039999999998</v>
      </c>
      <c r="E5" s="5">
        <f t="shared" ref="E5:E51" si="0">SUM(D5/C5*100)</f>
        <v>40.385879755208478</v>
      </c>
      <c r="F5" s="5">
        <f t="shared" ref="F5:F51" si="1">SUM(D5-C5)</f>
        <v>-62.635960000000004</v>
      </c>
    </row>
    <row r="6" spans="1:6">
      <c r="A6" s="7">
        <v>1010200001</v>
      </c>
      <c r="B6" s="8" t="s">
        <v>228</v>
      </c>
      <c r="C6" s="9">
        <v>105.069</v>
      </c>
      <c r="D6" s="10">
        <v>42.433039999999998</v>
      </c>
      <c r="E6" s="9">
        <f t="shared" ref="E6:E11" si="2">SUM(D6/C6*100)</f>
        <v>40.385879755208478</v>
      </c>
      <c r="F6" s="9">
        <f t="shared" si="1"/>
        <v>-62.635960000000004</v>
      </c>
    </row>
    <row r="7" spans="1:6" ht="31.5">
      <c r="A7" s="3">
        <v>1030000000</v>
      </c>
      <c r="B7" s="13" t="s">
        <v>280</v>
      </c>
      <c r="C7" s="5">
        <f>C8+C10+C9</f>
        <v>726.2349999999999</v>
      </c>
      <c r="D7" s="5">
        <f>D8+D10+D9+D11</f>
        <v>351.87857000000002</v>
      </c>
      <c r="E7" s="5">
        <f t="shared" si="2"/>
        <v>48.452438948825119</v>
      </c>
      <c r="F7" s="5">
        <f t="shared" si="1"/>
        <v>-374.35642999999988</v>
      </c>
    </row>
    <row r="8" spans="1:6">
      <c r="A8" s="7">
        <v>1030223001</v>
      </c>
      <c r="B8" s="8" t="s">
        <v>282</v>
      </c>
      <c r="C8" s="9">
        <v>270.89</v>
      </c>
      <c r="D8" s="10">
        <v>158.96346</v>
      </c>
      <c r="E8" s="9">
        <f t="shared" si="2"/>
        <v>58.681922551589203</v>
      </c>
      <c r="F8" s="9">
        <f t="shared" si="1"/>
        <v>-111.92653999999999</v>
      </c>
    </row>
    <row r="9" spans="1:6">
      <c r="A9" s="7">
        <v>1030224001</v>
      </c>
      <c r="B9" s="8" t="s">
        <v>288</v>
      </c>
      <c r="C9" s="9">
        <v>2.9049999999999998</v>
      </c>
      <c r="D9" s="10">
        <v>1.1941999999999999</v>
      </c>
      <c r="E9" s="9">
        <f>SUM(D9/C9*100)</f>
        <v>41.108433734939759</v>
      </c>
      <c r="F9" s="9">
        <f t="shared" si="1"/>
        <v>-1.7107999999999999</v>
      </c>
    </row>
    <row r="10" spans="1:6">
      <c r="A10" s="7">
        <v>1030225001</v>
      </c>
      <c r="B10" s="8" t="s">
        <v>281</v>
      </c>
      <c r="C10" s="9">
        <v>452.44</v>
      </c>
      <c r="D10" s="10">
        <v>220.62984</v>
      </c>
      <c r="E10" s="9">
        <f t="shared" si="2"/>
        <v>48.764441693926273</v>
      </c>
      <c r="F10" s="9">
        <f t="shared" si="1"/>
        <v>-231.81016</v>
      </c>
    </row>
    <row r="11" spans="1:6">
      <c r="A11" s="7">
        <v>1030226001</v>
      </c>
      <c r="B11" s="8" t="s">
        <v>290</v>
      </c>
      <c r="C11" s="9">
        <v>0</v>
      </c>
      <c r="D11" s="10">
        <v>-28.908930000000002</v>
      </c>
      <c r="E11" s="9" t="e">
        <f t="shared" si="2"/>
        <v>#DIV/0!</v>
      </c>
      <c r="F11" s="9">
        <f t="shared" si="1"/>
        <v>-28.908930000000002</v>
      </c>
    </row>
    <row r="12" spans="1:6" s="6" customFormat="1">
      <c r="A12" s="68">
        <v>1050000000</v>
      </c>
      <c r="B12" s="67" t="s">
        <v>6</v>
      </c>
      <c r="C12" s="5">
        <f>SUM(C13:C13)</f>
        <v>25</v>
      </c>
      <c r="D12" s="5">
        <f>SUM(D13:D13)</f>
        <v>52.619700000000002</v>
      </c>
      <c r="E12" s="5">
        <f t="shared" si="0"/>
        <v>210.47880000000001</v>
      </c>
      <c r="F12" s="5">
        <f t="shared" si="1"/>
        <v>27.619700000000002</v>
      </c>
    </row>
    <row r="13" spans="1:6" ht="15.75" customHeight="1">
      <c r="A13" s="7">
        <v>1050300000</v>
      </c>
      <c r="B13" s="11" t="s">
        <v>229</v>
      </c>
      <c r="C13" s="12">
        <v>25</v>
      </c>
      <c r="D13" s="10">
        <v>52.619700000000002</v>
      </c>
      <c r="E13" s="9">
        <f t="shared" si="0"/>
        <v>210.47880000000001</v>
      </c>
      <c r="F13" s="9">
        <f t="shared" si="1"/>
        <v>27.619700000000002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623</v>
      </c>
      <c r="D14" s="5">
        <f>D15+D16</f>
        <v>-139.09573999999998</v>
      </c>
      <c r="E14" s="5">
        <f t="shared" si="0"/>
        <v>-22.326764044943818</v>
      </c>
      <c r="F14" s="5">
        <f t="shared" si="1"/>
        <v>-762.09573999999998</v>
      </c>
    </row>
    <row r="15" spans="1:6" s="6" customFormat="1" ht="15.75" customHeight="1">
      <c r="A15" s="7">
        <v>1060100000</v>
      </c>
      <c r="B15" s="11" t="s">
        <v>8</v>
      </c>
      <c r="C15" s="9">
        <v>153</v>
      </c>
      <c r="D15" s="10">
        <v>6.57463</v>
      </c>
      <c r="E15" s="9">
        <f t="shared" si="0"/>
        <v>4.297143790849673</v>
      </c>
      <c r="F15" s="9">
        <f>SUM(D15-C15)</f>
        <v>-146.42536999999999</v>
      </c>
    </row>
    <row r="16" spans="1:6" ht="15.75" customHeight="1">
      <c r="A16" s="7">
        <v>1060600000</v>
      </c>
      <c r="B16" s="11" t="s">
        <v>7</v>
      </c>
      <c r="C16" s="9">
        <v>470</v>
      </c>
      <c r="D16" s="10">
        <v>-145.67036999999999</v>
      </c>
      <c r="E16" s="9">
        <f t="shared" si="0"/>
        <v>-30.993695744680849</v>
      </c>
      <c r="F16" s="9">
        <f t="shared" si="1"/>
        <v>-615.67037000000005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4.0999999999999996</v>
      </c>
      <c r="E17" s="5">
        <f t="shared" si="0"/>
        <v>41</v>
      </c>
      <c r="F17" s="5">
        <f t="shared" si="1"/>
        <v>-5.9</v>
      </c>
    </row>
    <row r="18" spans="1:6" ht="17.25" customHeight="1">
      <c r="A18" s="7">
        <v>1080400001</v>
      </c>
      <c r="B18" s="8" t="s">
        <v>227</v>
      </c>
      <c r="C18" s="9">
        <v>10</v>
      </c>
      <c r="D18" s="10">
        <v>4.0999999999999996</v>
      </c>
      <c r="E18" s="9">
        <f t="shared" si="0"/>
        <v>41</v>
      </c>
      <c r="F18" s="9">
        <f t="shared" si="1"/>
        <v>-5.9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124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232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126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353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C26+C29+C32+C37</f>
        <v>350</v>
      </c>
      <c r="D25" s="5">
        <f>D26+D29+D32+D37+D35</f>
        <v>246.45294999999999</v>
      </c>
      <c r="E25" s="5">
        <f t="shared" si="0"/>
        <v>70.415128571428568</v>
      </c>
      <c r="F25" s="5">
        <f t="shared" si="1"/>
        <v>-103.54705000000001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350</v>
      </c>
      <c r="D26" s="5">
        <f>D27+D28</f>
        <v>224.11856</v>
      </c>
      <c r="E26" s="5">
        <f t="shared" si="0"/>
        <v>64.03387428571429</v>
      </c>
      <c r="F26" s="5">
        <f t="shared" si="1"/>
        <v>-125.88144</v>
      </c>
    </row>
    <row r="27" spans="1:6">
      <c r="A27" s="16">
        <v>1110502510</v>
      </c>
      <c r="B27" s="17" t="s">
        <v>225</v>
      </c>
      <c r="C27" s="12">
        <v>300</v>
      </c>
      <c r="D27" s="10">
        <v>203.77209999999999</v>
      </c>
      <c r="E27" s="9">
        <f t="shared" si="0"/>
        <v>67.924033333333327</v>
      </c>
      <c r="F27" s="9">
        <f t="shared" si="1"/>
        <v>-96.227900000000005</v>
      </c>
    </row>
    <row r="28" spans="1:6" ht="18" customHeight="1">
      <c r="A28" s="7">
        <v>1110503505</v>
      </c>
      <c r="B28" s="11" t="s">
        <v>224</v>
      </c>
      <c r="C28" s="12">
        <v>50</v>
      </c>
      <c r="D28" s="10">
        <v>20.34646</v>
      </c>
      <c r="E28" s="9">
        <f t="shared" si="0"/>
        <v>40.692920000000001</v>
      </c>
      <c r="F28" s="9">
        <f t="shared" si="1"/>
        <v>-29.65354</v>
      </c>
    </row>
    <row r="29" spans="1:6" s="15" customFormat="1" ht="18" customHeight="1">
      <c r="A29" s="68">
        <v>1130000000</v>
      </c>
      <c r="B29" s="69" t="s">
        <v>130</v>
      </c>
      <c r="C29" s="5">
        <f>C30+C31</f>
        <v>0</v>
      </c>
      <c r="D29" s="5">
        <f>D30+D31</f>
        <v>22.334389999999999</v>
      </c>
      <c r="E29" s="5" t="e">
        <f t="shared" si="0"/>
        <v>#DIV/0!</v>
      </c>
      <c r="F29" s="5">
        <f t="shared" si="1"/>
        <v>22.334389999999999</v>
      </c>
    </row>
    <row r="30" spans="1:6" ht="15.75" customHeight="1">
      <c r="A30" s="7">
        <v>1130206510</v>
      </c>
      <c r="B30" s="8" t="s">
        <v>337</v>
      </c>
      <c r="C30" s="9">
        <v>0</v>
      </c>
      <c r="D30" s="317">
        <v>22.334389999999999</v>
      </c>
      <c r="E30" s="9" t="e">
        <f t="shared" si="0"/>
        <v>#DIV/0!</v>
      </c>
      <c r="F30" s="9">
        <f t="shared" si="1"/>
        <v>22.334389999999999</v>
      </c>
    </row>
    <row r="31" spans="1:6" ht="17.25" customHeight="1">
      <c r="A31" s="7">
        <v>1130299510</v>
      </c>
      <c r="B31" s="8" t="s">
        <v>354</v>
      </c>
      <c r="C31" s="9">
        <v>0</v>
      </c>
      <c r="D31" s="317">
        <v>0</v>
      </c>
      <c r="E31" s="9" t="e">
        <f>SUM(D31/C31*100)</f>
        <v>#DIV/0!</v>
      </c>
      <c r="F31" s="9">
        <f>SUM(D31-C31)</f>
        <v>0</v>
      </c>
    </row>
    <row r="32" spans="1:6" ht="18" hidden="1" customHeight="1">
      <c r="A32" s="70">
        <v>1140000000</v>
      </c>
      <c r="B32" s="71" t="s">
        <v>131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hidden="1" customHeight="1">
      <c r="A33" s="16">
        <v>1140200000</v>
      </c>
      <c r="B33" s="18" t="s">
        <v>132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hidden="1" customHeight="1">
      <c r="A34" s="7">
        <v>1140600000</v>
      </c>
      <c r="B34" s="8" t="s">
        <v>222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idden="1">
      <c r="A35" s="3">
        <v>1160000000</v>
      </c>
      <c r="B35" s="13" t="s">
        <v>251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7.25" hidden="1">
      <c r="A36" s="7">
        <v>1163305010</v>
      </c>
      <c r="B36" s="8" t="s">
        <v>267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/>
      <c r="B37" s="13" t="s">
        <v>134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6.5" customHeight="1">
      <c r="A38" s="7">
        <v>1170105005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6.5" hidden="1" customHeight="1">
      <c r="A39" s="7">
        <v>1170505005</v>
      </c>
      <c r="B39" s="11" t="s">
        <v>220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18</v>
      </c>
      <c r="C40" s="127">
        <f>SUM(C4,C25)</f>
        <v>1839.3039999999999</v>
      </c>
      <c r="D40" s="127">
        <f>D4+D25</f>
        <v>558.38851999999997</v>
      </c>
      <c r="E40" s="5">
        <f t="shared" si="0"/>
        <v>30.358685676755993</v>
      </c>
      <c r="F40" s="5">
        <f t="shared" si="1"/>
        <v>-1280.9154799999999</v>
      </c>
    </row>
    <row r="41" spans="1:7" s="6" customFormat="1">
      <c r="A41" s="3">
        <v>2000000000</v>
      </c>
      <c r="B41" s="4" t="s">
        <v>19</v>
      </c>
      <c r="C41" s="339">
        <f>C42+C43+C44+C45+C46+C48</f>
        <v>7462.9954299999999</v>
      </c>
      <c r="D41" s="339">
        <f>D42+D43+D44+D45+D46+D48+D49</f>
        <v>1365.116</v>
      </c>
      <c r="E41" s="5">
        <f t="shared" si="0"/>
        <v>18.291797346042323</v>
      </c>
      <c r="F41" s="5">
        <f t="shared" si="1"/>
        <v>-6097.87943</v>
      </c>
      <c r="G41" s="19"/>
    </row>
    <row r="42" spans="1:7">
      <c r="A42" s="16">
        <v>2021000000</v>
      </c>
      <c r="B42" s="17" t="s">
        <v>20</v>
      </c>
      <c r="C42" s="99">
        <v>1424.6</v>
      </c>
      <c r="D42" s="99">
        <v>593.58500000000004</v>
      </c>
      <c r="E42" s="9">
        <f t="shared" si="0"/>
        <v>41.666783658570836</v>
      </c>
      <c r="F42" s="9">
        <f t="shared" si="1"/>
        <v>-831.01499999999987</v>
      </c>
    </row>
    <row r="43" spans="1:7" ht="15.75" customHeight="1">
      <c r="A43" s="16">
        <v>2021500200</v>
      </c>
      <c r="B43" s="17" t="s">
        <v>231</v>
      </c>
      <c r="C43" s="99">
        <v>280</v>
      </c>
      <c r="D43" s="20">
        <v>130</v>
      </c>
      <c r="E43" s="9">
        <f>SUM(D43/C43*100)</f>
        <v>46.428571428571431</v>
      </c>
      <c r="F43" s="9">
        <f>SUM(D43-C43)</f>
        <v>-150</v>
      </c>
    </row>
    <row r="44" spans="1:7">
      <c r="A44" s="16">
        <v>2022000000</v>
      </c>
      <c r="B44" s="17" t="s">
        <v>21</v>
      </c>
      <c r="C44" s="99">
        <v>4448.5478199999998</v>
      </c>
      <c r="D44" s="10">
        <v>377.03199999999998</v>
      </c>
      <c r="E44" s="9">
        <f t="shared" si="0"/>
        <v>8.4753950110398044</v>
      </c>
      <c r="F44" s="9">
        <f t="shared" si="1"/>
        <v>-4071.5158199999996</v>
      </c>
    </row>
    <row r="45" spans="1:7" ht="18" customHeight="1">
      <c r="A45" s="16">
        <v>2023000000</v>
      </c>
      <c r="B45" s="17" t="s">
        <v>22</v>
      </c>
      <c r="C45" s="12">
        <v>181.68199999999999</v>
      </c>
      <c r="D45" s="248">
        <v>74.599000000000004</v>
      </c>
      <c r="E45" s="9">
        <f t="shared" si="0"/>
        <v>41.060204092865561</v>
      </c>
      <c r="F45" s="9">
        <f t="shared" si="1"/>
        <v>-107.08299999999998</v>
      </c>
    </row>
    <row r="46" spans="1:7" ht="22.5" customHeight="1">
      <c r="A46" s="16">
        <v>2020400000</v>
      </c>
      <c r="B46" s="17" t="s">
        <v>23</v>
      </c>
      <c r="C46" s="12">
        <v>620</v>
      </c>
      <c r="D46" s="249">
        <v>0</v>
      </c>
      <c r="E46" s="9">
        <f t="shared" si="0"/>
        <v>0</v>
      </c>
      <c r="F46" s="9">
        <f t="shared" si="1"/>
        <v>-620</v>
      </c>
    </row>
    <row r="47" spans="1:7" ht="32.25" customHeight="1">
      <c r="A47" s="16">
        <v>2020900000</v>
      </c>
      <c r="B47" s="18" t="s">
        <v>24</v>
      </c>
      <c r="C47" s="12">
        <v>0</v>
      </c>
      <c r="D47" s="249">
        <v>0</v>
      </c>
      <c r="E47" s="9" t="e">
        <f t="shared" si="0"/>
        <v>#DIV/0!</v>
      </c>
      <c r="F47" s="9">
        <f t="shared" si="1"/>
        <v>0</v>
      </c>
    </row>
    <row r="48" spans="1:7" ht="19.5" customHeight="1">
      <c r="A48" s="16">
        <v>2070500010</v>
      </c>
      <c r="B48" s="8" t="s">
        <v>352</v>
      </c>
      <c r="C48" s="12">
        <v>508.16561000000002</v>
      </c>
      <c r="D48" s="249">
        <v>189.9</v>
      </c>
      <c r="E48" s="9">
        <f t="shared" si="0"/>
        <v>37.369707092142654</v>
      </c>
      <c r="F48" s="9">
        <f t="shared" si="1"/>
        <v>-318.26561000000004</v>
      </c>
    </row>
    <row r="49" spans="1:8" ht="19.5" customHeight="1">
      <c r="A49" s="7">
        <v>2190500005</v>
      </c>
      <c r="B49" s="11" t="s">
        <v>25</v>
      </c>
      <c r="C49" s="12">
        <v>0</v>
      </c>
      <c r="D49" s="249">
        <v>0</v>
      </c>
      <c r="E49" s="9" t="e">
        <f t="shared" si="0"/>
        <v>#DIV/0!</v>
      </c>
      <c r="F49" s="9">
        <f t="shared" si="1"/>
        <v>0</v>
      </c>
    </row>
    <row r="50" spans="1:8" s="6" customFormat="1" ht="0.75" hidden="1" customHeight="1">
      <c r="A50" s="3">
        <v>3000000000</v>
      </c>
      <c r="B50" s="13" t="s">
        <v>26</v>
      </c>
      <c r="C50" s="27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27</v>
      </c>
      <c r="C51" s="363">
        <f>C40+C41</f>
        <v>9302.2994299999991</v>
      </c>
      <c r="D51" s="363">
        <f>D40+D41</f>
        <v>1923.50452</v>
      </c>
      <c r="E51" s="93">
        <f t="shared" si="0"/>
        <v>20.677731720790245</v>
      </c>
      <c r="F51" s="93">
        <f t="shared" si="1"/>
        <v>-7378.7949099999987</v>
      </c>
      <c r="G51" s="290">
        <f>7662.29943-C51</f>
        <v>-1639.9999999999991</v>
      </c>
      <c r="H51" s="290">
        <f>1130.4405-D51</f>
        <v>-793.06402000000003</v>
      </c>
    </row>
    <row r="52" spans="1:8" s="6" customFormat="1">
      <c r="A52" s="3"/>
      <c r="B52" s="21" t="s">
        <v>320</v>
      </c>
      <c r="C52" s="93">
        <f>C51-C99</f>
        <v>-434.22364000000198</v>
      </c>
      <c r="D52" s="93">
        <f>D51-D99</f>
        <v>404.34224999999992</v>
      </c>
      <c r="E52" s="278"/>
      <c r="F52" s="278"/>
    </row>
    <row r="53" spans="1:8">
      <c r="A53" s="23"/>
      <c r="B53" s="24"/>
      <c r="C53" s="247"/>
      <c r="D53" s="247"/>
      <c r="E53" s="26"/>
      <c r="F53" s="27"/>
    </row>
    <row r="54" spans="1:8" ht="45" customHeight="1">
      <c r="A54" s="28" t="s">
        <v>0</v>
      </c>
      <c r="B54" s="28" t="s">
        <v>28</v>
      </c>
      <c r="C54" s="240" t="s">
        <v>411</v>
      </c>
      <c r="D54" s="241" t="s">
        <v>419</v>
      </c>
      <c r="E54" s="72" t="s">
        <v>2</v>
      </c>
      <c r="F54" s="74" t="s">
        <v>3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18" customHeight="1">
      <c r="A56" s="30" t="s">
        <v>29</v>
      </c>
      <c r="B56" s="31" t="s">
        <v>30</v>
      </c>
      <c r="C56" s="32">
        <f>C57+C58+C59+C60+C61+C63+C62</f>
        <v>1109.4089999999999</v>
      </c>
      <c r="D56" s="33">
        <f>D57+D58+D59+D60+D61+D63+D62</f>
        <v>377.45856000000003</v>
      </c>
      <c r="E56" s="34">
        <f>SUM(D56/C56*100)</f>
        <v>34.023390832416183</v>
      </c>
      <c r="F56" s="34">
        <f>SUM(D56-C56)</f>
        <v>-731.95043999999984</v>
      </c>
    </row>
    <row r="57" spans="1:8" s="6" customFormat="1" ht="31.5" hidden="1">
      <c r="A57" s="35" t="s">
        <v>31</v>
      </c>
      <c r="B57" s="36" t="s">
        <v>32</v>
      </c>
      <c r="C57" s="37"/>
      <c r="D57" s="37"/>
      <c r="E57" s="38"/>
      <c r="F57" s="38"/>
    </row>
    <row r="58" spans="1:8" ht="18.75" customHeight="1">
      <c r="A58" s="35" t="s">
        <v>33</v>
      </c>
      <c r="B58" s="39" t="s">
        <v>34</v>
      </c>
      <c r="C58" s="37">
        <v>1079.2149999999999</v>
      </c>
      <c r="D58" s="37">
        <v>372.26456000000002</v>
      </c>
      <c r="E58" s="38">
        <f t="shared" ref="E58:E99" si="3">SUM(D58/C58*100)</f>
        <v>34.494012777806091</v>
      </c>
      <c r="F58" s="38">
        <f t="shared" ref="F58:F99" si="4">SUM(D58-C58)</f>
        <v>-706.95043999999984</v>
      </c>
    </row>
    <row r="59" spans="1:8" ht="0.75" hidden="1" customHeight="1">
      <c r="A59" s="35" t="s">
        <v>35</v>
      </c>
      <c r="B59" s="39" t="s">
        <v>36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37</v>
      </c>
      <c r="B60" s="39" t="s">
        <v>38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>
      <c r="A61" s="35" t="s">
        <v>39</v>
      </c>
      <c r="B61" s="39" t="s">
        <v>40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41</v>
      </c>
      <c r="B62" s="39" t="s">
        <v>42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5.75" customHeight="1">
      <c r="A63" s="35" t="s">
        <v>43</v>
      </c>
      <c r="B63" s="39" t="s">
        <v>44</v>
      </c>
      <c r="C63" s="37">
        <v>25.193999999999999</v>
      </c>
      <c r="D63" s="37">
        <v>5.194</v>
      </c>
      <c r="E63" s="38">
        <f t="shared" si="3"/>
        <v>20.616019687227119</v>
      </c>
      <c r="F63" s="38">
        <f t="shared" si="4"/>
        <v>-20</v>
      </c>
    </row>
    <row r="64" spans="1:8" s="6" customFormat="1">
      <c r="A64" s="41" t="s">
        <v>45</v>
      </c>
      <c r="B64" s="42" t="s">
        <v>46</v>
      </c>
      <c r="C64" s="32">
        <f>C65</f>
        <v>179.892</v>
      </c>
      <c r="D64" s="32">
        <f>D65</f>
        <v>65.043120000000002</v>
      </c>
      <c r="E64" s="34">
        <f t="shared" si="3"/>
        <v>36.156760723100525</v>
      </c>
      <c r="F64" s="34">
        <f t="shared" si="4"/>
        <v>-114.84887999999999</v>
      </c>
    </row>
    <row r="65" spans="1:7">
      <c r="A65" s="43" t="s">
        <v>47</v>
      </c>
      <c r="B65" s="44" t="s">
        <v>48</v>
      </c>
      <c r="C65" s="37">
        <v>179.892</v>
      </c>
      <c r="D65" s="37">
        <v>65.043120000000002</v>
      </c>
      <c r="E65" s="38">
        <f t="shared" si="3"/>
        <v>36.156760723100525</v>
      </c>
      <c r="F65" s="38">
        <f t="shared" si="4"/>
        <v>-114.84887999999999</v>
      </c>
    </row>
    <row r="66" spans="1:7" s="6" customFormat="1" ht="15" customHeight="1">
      <c r="A66" s="30" t="s">
        <v>49</v>
      </c>
      <c r="B66" s="31" t="s">
        <v>50</v>
      </c>
      <c r="C66" s="32">
        <f>C69+C70+C71</f>
        <v>38.99</v>
      </c>
      <c r="D66" s="394">
        <f>D69+D70</f>
        <v>34.79</v>
      </c>
      <c r="E66" s="34">
        <f t="shared" si="3"/>
        <v>89.228007181328536</v>
      </c>
      <c r="F66" s="34">
        <f t="shared" si="4"/>
        <v>-4.2000000000000028</v>
      </c>
    </row>
    <row r="67" spans="1:7" hidden="1">
      <c r="A67" s="3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53</v>
      </c>
      <c r="B68" s="39" t="s">
        <v>54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55</v>
      </c>
      <c r="B69" s="47" t="s">
        <v>56</v>
      </c>
      <c r="C69" s="37">
        <v>0.2</v>
      </c>
      <c r="D69" s="37">
        <v>0</v>
      </c>
      <c r="E69" s="34">
        <f t="shared" si="3"/>
        <v>0</v>
      </c>
      <c r="F69" s="34">
        <f t="shared" si="4"/>
        <v>-0.2</v>
      </c>
    </row>
    <row r="70" spans="1:7" ht="15.75" customHeight="1">
      <c r="A70" s="46" t="s">
        <v>218</v>
      </c>
      <c r="B70" s="47" t="s">
        <v>219</v>
      </c>
      <c r="C70" s="37">
        <v>36.79</v>
      </c>
      <c r="D70" s="37">
        <v>34.79</v>
      </c>
      <c r="E70" s="34">
        <f t="shared" si="3"/>
        <v>94.563740146779026</v>
      </c>
      <c r="F70" s="34">
        <f t="shared" si="4"/>
        <v>-2</v>
      </c>
    </row>
    <row r="71" spans="1:7" ht="15.75" customHeight="1">
      <c r="A71" s="46" t="s">
        <v>357</v>
      </c>
      <c r="B71" s="47" t="s">
        <v>414</v>
      </c>
      <c r="C71" s="37">
        <v>2</v>
      </c>
      <c r="D71" s="37"/>
      <c r="E71" s="34">
        <f>SUM(D71/C71*100)</f>
        <v>0</v>
      </c>
      <c r="F71" s="34">
        <f>SUM(D71-C71)</f>
        <v>-2</v>
      </c>
    </row>
    <row r="72" spans="1:7" s="6" customFormat="1" ht="18.75" customHeight="1">
      <c r="A72" s="30" t="s">
        <v>57</v>
      </c>
      <c r="B72" s="31" t="s">
        <v>58</v>
      </c>
      <c r="C72" s="48">
        <f>SUM(C73:C77)</f>
        <v>6183.4035700000004</v>
      </c>
      <c r="D72" s="48">
        <f>SUM(D73:D77)</f>
        <v>460.93525</v>
      </c>
      <c r="E72" s="34">
        <f t="shared" si="3"/>
        <v>7.4543937619779195</v>
      </c>
      <c r="F72" s="34">
        <f t="shared" si="4"/>
        <v>-5722.4683199999999</v>
      </c>
    </row>
    <row r="73" spans="1:7" ht="15" customHeight="1">
      <c r="A73" s="35" t="s">
        <v>59</v>
      </c>
      <c r="B73" s="39" t="s">
        <v>60</v>
      </c>
      <c r="C73" s="49">
        <v>4.0214999999999996</v>
      </c>
      <c r="D73" s="37">
        <v>0</v>
      </c>
      <c r="E73" s="38">
        <f t="shared" si="3"/>
        <v>0</v>
      </c>
      <c r="F73" s="38">
        <f t="shared" si="4"/>
        <v>-4.0214999999999996</v>
      </c>
    </row>
    <row r="74" spans="1:7" s="6" customFormat="1" ht="17.25" customHeight="1">
      <c r="A74" s="35" t="s">
        <v>61</v>
      </c>
      <c r="B74" s="39" t="s">
        <v>62</v>
      </c>
      <c r="C74" s="49">
        <v>1115.00665</v>
      </c>
      <c r="D74" s="37">
        <v>26.020130000000002</v>
      </c>
      <c r="E74" s="38">
        <f t="shared" si="3"/>
        <v>2.3336300281258415</v>
      </c>
      <c r="F74" s="38">
        <f t="shared" si="4"/>
        <v>-1088.9865199999999</v>
      </c>
      <c r="G74" s="50"/>
    </row>
    <row r="75" spans="1:7" s="6" customFormat="1" ht="15" hidden="1" customHeight="1">
      <c r="A75" s="35" t="s">
        <v>61</v>
      </c>
      <c r="B75" s="39" t="s">
        <v>62</v>
      </c>
      <c r="C75" s="49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63</v>
      </c>
      <c r="B76" s="39" t="s">
        <v>64</v>
      </c>
      <c r="C76" s="49">
        <v>4904.3754200000003</v>
      </c>
      <c r="D76" s="37">
        <v>428.44511999999997</v>
      </c>
      <c r="E76" s="38">
        <f t="shared" si="3"/>
        <v>8.7359772307153438</v>
      </c>
      <c r="F76" s="38">
        <f t="shared" si="4"/>
        <v>-4475.9303</v>
      </c>
    </row>
    <row r="77" spans="1:7">
      <c r="A77" s="35" t="s">
        <v>65</v>
      </c>
      <c r="B77" s="39" t="s">
        <v>66</v>
      </c>
      <c r="C77" s="49">
        <v>160</v>
      </c>
      <c r="D77" s="37">
        <v>6.47</v>
      </c>
      <c r="E77" s="38">
        <f t="shared" si="3"/>
        <v>4.0437500000000002</v>
      </c>
      <c r="F77" s="38">
        <f t="shared" si="4"/>
        <v>-153.53</v>
      </c>
    </row>
    <row r="78" spans="1:7" s="6" customFormat="1" ht="17.25" customHeight="1">
      <c r="A78" s="30" t="s">
        <v>67</v>
      </c>
      <c r="B78" s="31" t="s">
        <v>68</v>
      </c>
      <c r="C78" s="32">
        <f>SUM(C79:C81)</f>
        <v>699.72850000000005</v>
      </c>
      <c r="D78" s="32">
        <f>SUM(D79:D81)</f>
        <v>67.713340000000002</v>
      </c>
      <c r="E78" s="34">
        <f t="shared" si="3"/>
        <v>9.6770876132671457</v>
      </c>
      <c r="F78" s="34">
        <f t="shared" si="4"/>
        <v>-632.01516000000004</v>
      </c>
    </row>
    <row r="79" spans="1:7" hidden="1">
      <c r="A79" s="35" t="s">
        <v>69</v>
      </c>
      <c r="B79" s="51" t="s">
        <v>70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idden="1">
      <c r="A80" s="35" t="s">
        <v>71</v>
      </c>
      <c r="B80" s="51" t="s">
        <v>72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>
      <c r="A81" s="35" t="s">
        <v>73</v>
      </c>
      <c r="B81" s="39" t="s">
        <v>74</v>
      </c>
      <c r="C81" s="37">
        <v>699.72850000000005</v>
      </c>
      <c r="D81" s="37">
        <v>67.713340000000002</v>
      </c>
      <c r="E81" s="38">
        <f t="shared" si="3"/>
        <v>9.6770876132671457</v>
      </c>
      <c r="F81" s="38">
        <f t="shared" si="4"/>
        <v>-632.01516000000004</v>
      </c>
    </row>
    <row r="82" spans="1:6" s="6" customFormat="1">
      <c r="A82" s="30" t="s">
        <v>85</v>
      </c>
      <c r="B82" s="31" t="s">
        <v>86</v>
      </c>
      <c r="C82" s="32">
        <f>C83</f>
        <v>1500.1</v>
      </c>
      <c r="D82" s="32">
        <f>D83</f>
        <v>513.22199999999998</v>
      </c>
      <c r="E82" s="34">
        <f t="shared" si="3"/>
        <v>34.212519165388976</v>
      </c>
      <c r="F82" s="34">
        <f t="shared" si="4"/>
        <v>-986.87799999999993</v>
      </c>
    </row>
    <row r="83" spans="1:6" ht="40.5" customHeight="1">
      <c r="A83" s="35" t="s">
        <v>87</v>
      </c>
      <c r="B83" s="39" t="s">
        <v>233</v>
      </c>
      <c r="C83" s="37">
        <v>1500.1</v>
      </c>
      <c r="D83" s="37">
        <v>513.22199999999998</v>
      </c>
      <c r="E83" s="38">
        <f t="shared" si="3"/>
        <v>34.212519165388976</v>
      </c>
      <c r="F83" s="38">
        <f t="shared" si="4"/>
        <v>-986.87799999999993</v>
      </c>
    </row>
    <row r="84" spans="1:6" s="6" customFormat="1" ht="21.75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0.75" customHeight="1">
      <c r="A85" s="53">
        <v>1001</v>
      </c>
      <c r="B85" s="54" t="s">
        <v>89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29.25" hidden="1" customHeight="1">
      <c r="A86" s="53">
        <v>1003</v>
      </c>
      <c r="B86" s="54" t="s">
        <v>90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24.75" hidden="1" customHeight="1">
      <c r="A87" s="53">
        <v>1004</v>
      </c>
      <c r="B87" s="54" t="s">
        <v>91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35.25" customHeight="1">
      <c r="A88" s="35" t="s">
        <v>92</v>
      </c>
      <c r="B88" s="39" t="s">
        <v>93</v>
      </c>
      <c r="C88" s="37">
        <v>0</v>
      </c>
      <c r="D88" s="37">
        <v>0</v>
      </c>
      <c r="E88" s="38"/>
      <c r="F88" s="38">
        <f t="shared" si="4"/>
        <v>0</v>
      </c>
    </row>
    <row r="89" spans="1:6" ht="1.5" customHeight="1">
      <c r="A89" s="30" t="s">
        <v>94</v>
      </c>
      <c r="B89" s="31" t="s">
        <v>95</v>
      </c>
      <c r="C89" s="32">
        <f>C90+C91+C92+C93+C94</f>
        <v>0</v>
      </c>
      <c r="D89" s="32">
        <f>D90+D91+D92+D93+D94</f>
        <v>0</v>
      </c>
      <c r="E89" s="38" t="e">
        <f t="shared" si="3"/>
        <v>#DIV/0!</v>
      </c>
      <c r="F89" s="22">
        <f>F90+F91+F92+F93+F94</f>
        <v>0</v>
      </c>
    </row>
    <row r="90" spans="1:6" ht="27.75" hidden="1" customHeight="1">
      <c r="A90" s="35" t="s">
        <v>96</v>
      </c>
      <c r="B90" s="39" t="s">
        <v>97</v>
      </c>
      <c r="C90" s="37">
        <v>0</v>
      </c>
      <c r="D90" s="37">
        <v>0</v>
      </c>
      <c r="E90" s="38" t="e">
        <f t="shared" si="3"/>
        <v>#DIV/0!</v>
      </c>
      <c r="F90" s="38">
        <f>SUM(D90-C90)</f>
        <v>0</v>
      </c>
    </row>
    <row r="91" spans="1:6" ht="27.7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24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24.7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27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22.5" hidden="1" customHeight="1">
      <c r="A95" s="52">
        <v>1400</v>
      </c>
      <c r="B95" s="56" t="s">
        <v>114</v>
      </c>
      <c r="C95" s="48"/>
      <c r="D95" s="48">
        <v>0</v>
      </c>
      <c r="E95" s="34" t="e">
        <f t="shared" si="3"/>
        <v>#DIV/0!</v>
      </c>
      <c r="F95" s="34">
        <f t="shared" si="4"/>
        <v>0</v>
      </c>
    </row>
    <row r="96" spans="1:6" ht="30" hidden="1" customHeight="1">
      <c r="A96" s="53">
        <v>1401</v>
      </c>
      <c r="B96" s="54" t="s">
        <v>115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8" customHeight="1">
      <c r="A97" s="30" t="s">
        <v>94</v>
      </c>
      <c r="B97" s="31" t="s">
        <v>95</v>
      </c>
      <c r="C97" s="48">
        <f>C98</f>
        <v>25</v>
      </c>
      <c r="D97" s="32">
        <f>D98</f>
        <v>0</v>
      </c>
      <c r="E97" s="34">
        <f t="shared" si="3"/>
        <v>0</v>
      </c>
      <c r="F97" s="34">
        <f t="shared" si="4"/>
        <v>-25</v>
      </c>
    </row>
    <row r="98" spans="1:8" ht="18" customHeight="1">
      <c r="A98" s="35" t="s">
        <v>96</v>
      </c>
      <c r="B98" s="39" t="s">
        <v>97</v>
      </c>
      <c r="C98" s="49">
        <v>25</v>
      </c>
      <c r="D98" s="37">
        <v>0</v>
      </c>
      <c r="E98" s="38">
        <f t="shared" si="3"/>
        <v>0</v>
      </c>
      <c r="F98" s="38">
        <f t="shared" si="4"/>
        <v>-25</v>
      </c>
    </row>
    <row r="99" spans="1:8" s="6" customFormat="1">
      <c r="A99" s="52"/>
      <c r="B99" s="57" t="s">
        <v>118</v>
      </c>
      <c r="C99" s="366">
        <f>C56+C64+C66+C72+C78+C82+C97+C84</f>
        <v>9736.5230700000011</v>
      </c>
      <c r="D99" s="366">
        <f>D56+D64+D66+D72+D78+D82+D97+D84</f>
        <v>1519.16227</v>
      </c>
      <c r="E99" s="34">
        <f t="shared" si="3"/>
        <v>15.602718332592621</v>
      </c>
      <c r="F99" s="34">
        <f t="shared" si="4"/>
        <v>-8217.3608000000004</v>
      </c>
      <c r="G99" s="290">
        <f>8096.52307-C99</f>
        <v>-1640.0000000000009</v>
      </c>
      <c r="H99" s="290">
        <f>899.25122-D99</f>
        <v>-619.91105000000005</v>
      </c>
    </row>
    <row r="100" spans="1:8" ht="16.5" customHeight="1">
      <c r="C100" s="126"/>
      <c r="D100" s="101"/>
    </row>
    <row r="101" spans="1:8" s="65" customFormat="1" ht="20.25" customHeight="1">
      <c r="A101" s="63" t="s">
        <v>119</v>
      </c>
      <c r="B101" s="63"/>
      <c r="C101" s="116"/>
      <c r="D101" s="64" t="s">
        <v>274</v>
      </c>
    </row>
    <row r="102" spans="1:8" s="65" customFormat="1" ht="13.5" customHeight="1">
      <c r="A102" s="66" t="s">
        <v>120</v>
      </c>
      <c r="B102" s="66"/>
      <c r="C102" s="65" t="s">
        <v>121</v>
      </c>
    </row>
    <row r="104" spans="1:8" ht="5.25" customHeight="1"/>
    <row r="143" hidden="1"/>
  </sheetData>
  <customSheetViews>
    <customSheetView guid="{61528DAC-5C4C-48F4-ADE2-8A724B05A086}" scale="70" showPageBreaks="1" printArea="1" hiddenRows="1" view="pageBreakPreview" topLeftCell="A37">
      <selection activeCell="C99" sqref="C99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2"/>
    </customSheetView>
    <customSheetView guid="{1A52382B-3765-4E8C-903F-6B8919B7242E}" scale="70" showPageBreaks="1" printArea="1" hiddenRows="1" view="pageBreakPreview" topLeftCell="A40">
      <selection activeCell="C72" sqref="C72"/>
      <pageMargins left="0.7" right="0.7" top="0.75" bottom="0.75" header="0.3" footer="0.3"/>
      <pageSetup paperSize="9" scale="48" orientation="portrait" r:id="rId3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4"/>
    </customSheetView>
    <customSheetView guid="{3DCB9AAA-F09C-4EA6-B992-F93E466D374A}" hiddenRows="1" topLeftCell="A20">
      <selection activeCell="C42" sqref="C42"/>
      <pageMargins left="0.7" right="0.7" top="0.75" bottom="0.75" header="0.3" footer="0.3"/>
      <pageSetup paperSize="9" scale="48" orientation="portrait" r:id="rId5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6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B31C8DB7-3E78-4144-A6B5-8DE36DE63F0E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8"/>
    </customSheetView>
    <customSheetView guid="{B30CE22D-C12F-4E12-8BB9-3AAE0A6991CC}" scale="70" showPageBreaks="1" printArea="1" hiddenRows="1" view="pageBreakPreview" topLeftCell="A3">
      <selection activeCell="D98" sqref="D98"/>
      <pageMargins left="0.70866141732283472" right="0.70866141732283472" top="0.74803149606299213" bottom="0.74803149606299213" header="0.31496062992125984" footer="0.31496062992125984"/>
      <pageSetup paperSize="9" scale="57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142"/>
  <sheetViews>
    <sheetView tabSelected="1" view="pageBreakPreview" topLeftCell="A13" zoomScale="70" zoomScaleSheetLayoutView="70" workbookViewId="0">
      <selection activeCell="E48" sqref="E48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6" style="62" customWidth="1"/>
    <col min="5" max="5" width="10.28515625" style="62" customWidth="1"/>
    <col min="6" max="6" width="9.42578125" style="62" customWidth="1"/>
    <col min="7" max="7" width="15.5703125" style="1" bestFit="1" customWidth="1"/>
    <col min="8" max="8" width="13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5" t="s">
        <v>433</v>
      </c>
      <c r="B1" s="525"/>
      <c r="C1" s="525"/>
      <c r="D1" s="525"/>
      <c r="E1" s="525"/>
      <c r="F1" s="525"/>
    </row>
    <row r="2" spans="1:6">
      <c r="A2" s="525"/>
      <c r="B2" s="525"/>
      <c r="C2" s="525"/>
      <c r="D2" s="525"/>
      <c r="E2" s="525"/>
      <c r="F2" s="525"/>
    </row>
    <row r="3" spans="1:6" ht="63">
      <c r="A3" s="2" t="s">
        <v>0</v>
      </c>
      <c r="B3" s="2" t="s">
        <v>1</v>
      </c>
      <c r="C3" s="72" t="s">
        <v>411</v>
      </c>
      <c r="D3" s="73" t="s">
        <v>422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997.29200000000003</v>
      </c>
      <c r="D4" s="5">
        <f>D5+D12+D14+D17+D7</f>
        <v>471.27291000000002</v>
      </c>
      <c r="E4" s="5">
        <f>SUM(D4/C4*100)</f>
        <v>47.255258239312056</v>
      </c>
      <c r="F4" s="5">
        <f>SUM(D4-C4)</f>
        <v>-526.01909000000001</v>
      </c>
    </row>
    <row r="5" spans="1:6" s="6" customFormat="1">
      <c r="A5" s="68">
        <v>1010000000</v>
      </c>
      <c r="B5" s="67" t="s">
        <v>5</v>
      </c>
      <c r="C5" s="5">
        <f>C6</f>
        <v>79.421999999999997</v>
      </c>
      <c r="D5" s="5">
        <f>D6</f>
        <v>17.823039999999999</v>
      </c>
      <c r="E5" s="5">
        <f t="shared" ref="E5:E49" si="0">SUM(D5/C5*100)</f>
        <v>22.440935760872303</v>
      </c>
      <c r="F5" s="5">
        <f t="shared" ref="F5:F49" si="1">SUM(D5-C5)</f>
        <v>-61.598959999999998</v>
      </c>
    </row>
    <row r="6" spans="1:6">
      <c r="A6" s="7">
        <v>1010200001</v>
      </c>
      <c r="B6" s="8" t="s">
        <v>228</v>
      </c>
      <c r="C6" s="9">
        <v>79.421999999999997</v>
      </c>
      <c r="D6" s="10">
        <v>17.823039999999999</v>
      </c>
      <c r="E6" s="9">
        <f t="shared" ref="E6:E11" si="2">SUM(D6/C6*100)</f>
        <v>22.440935760872303</v>
      </c>
      <c r="F6" s="9">
        <f t="shared" si="1"/>
        <v>-61.598959999999998</v>
      </c>
    </row>
    <row r="7" spans="1:6" ht="31.5">
      <c r="A7" s="3">
        <v>1030000000</v>
      </c>
      <c r="B7" s="13" t="s">
        <v>280</v>
      </c>
      <c r="C7" s="5">
        <f>C8+C10+C9</f>
        <v>331.87</v>
      </c>
      <c r="D7" s="5">
        <f>D8+D10+D9+D11</f>
        <v>160.79906000000003</v>
      </c>
      <c r="E7" s="5">
        <f t="shared" si="2"/>
        <v>48.452424141983315</v>
      </c>
      <c r="F7" s="5">
        <f t="shared" si="1"/>
        <v>-171.07093999999998</v>
      </c>
    </row>
    <row r="8" spans="1:6">
      <c r="A8" s="7">
        <v>1030223001</v>
      </c>
      <c r="B8" s="8" t="s">
        <v>282</v>
      </c>
      <c r="C8" s="9">
        <v>123.79</v>
      </c>
      <c r="D8" s="10">
        <v>72.642049999999998</v>
      </c>
      <c r="E8" s="9">
        <f t="shared" si="2"/>
        <v>58.681678649325463</v>
      </c>
      <c r="F8" s="9">
        <f t="shared" si="1"/>
        <v>-51.147950000000009</v>
      </c>
    </row>
    <row r="9" spans="1:6">
      <c r="A9" s="7">
        <v>1030224001</v>
      </c>
      <c r="B9" s="8" t="s">
        <v>288</v>
      </c>
      <c r="C9" s="9">
        <v>1.33</v>
      </c>
      <c r="D9" s="10">
        <v>0.54571000000000003</v>
      </c>
      <c r="E9" s="9">
        <f t="shared" si="2"/>
        <v>41.030827067669172</v>
      </c>
      <c r="F9" s="9">
        <f t="shared" si="1"/>
        <v>-0.78429000000000004</v>
      </c>
    </row>
    <row r="10" spans="1:6">
      <c r="A10" s="7">
        <v>1030225001</v>
      </c>
      <c r="B10" s="8" t="s">
        <v>281</v>
      </c>
      <c r="C10" s="9">
        <v>206.75</v>
      </c>
      <c r="D10" s="10">
        <v>100.82192000000001</v>
      </c>
      <c r="E10" s="9">
        <f t="shared" si="2"/>
        <v>48.76513663845224</v>
      </c>
      <c r="F10" s="9">
        <f t="shared" si="1"/>
        <v>-105.92807999999999</v>
      </c>
    </row>
    <row r="11" spans="1:6">
      <c r="A11" s="7">
        <v>1030226001</v>
      </c>
      <c r="B11" s="8" t="s">
        <v>290</v>
      </c>
      <c r="C11" s="9">
        <v>0</v>
      </c>
      <c r="D11" s="10">
        <v>-13.21062</v>
      </c>
      <c r="E11" s="9" t="e">
        <f t="shared" si="2"/>
        <v>#DIV/0!</v>
      </c>
      <c r="F11" s="9">
        <f t="shared" si="1"/>
        <v>-13.21062</v>
      </c>
    </row>
    <row r="12" spans="1:6" s="6" customFormat="1">
      <c r="A12" s="68">
        <v>1050000000</v>
      </c>
      <c r="B12" s="67" t="s">
        <v>6</v>
      </c>
      <c r="C12" s="5">
        <f>SUM(C13:C13)</f>
        <v>5</v>
      </c>
      <c r="D12" s="5">
        <f>SUM(D13:D13)</f>
        <v>1.67065</v>
      </c>
      <c r="E12" s="5">
        <f t="shared" si="0"/>
        <v>33.412999999999997</v>
      </c>
      <c r="F12" s="5">
        <f t="shared" si="1"/>
        <v>-3.3293499999999998</v>
      </c>
    </row>
    <row r="13" spans="1:6" ht="15.75" customHeight="1">
      <c r="A13" s="7">
        <v>1050300000</v>
      </c>
      <c r="B13" s="11" t="s">
        <v>229</v>
      </c>
      <c r="C13" s="12">
        <v>5</v>
      </c>
      <c r="D13" s="10">
        <v>1.67065</v>
      </c>
      <c r="E13" s="9">
        <f t="shared" si="0"/>
        <v>33.412999999999997</v>
      </c>
      <c r="F13" s="9">
        <f t="shared" si="1"/>
        <v>-3.3293499999999998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571</v>
      </c>
      <c r="D14" s="5">
        <f>D15+D16</f>
        <v>288.98016000000001</v>
      </c>
      <c r="E14" s="5">
        <f t="shared" si="0"/>
        <v>50.609485113835383</v>
      </c>
      <c r="F14" s="5">
        <f t="shared" si="1"/>
        <v>-282.01983999999999</v>
      </c>
    </row>
    <row r="15" spans="1:6" s="6" customFormat="1" ht="15.75" customHeight="1">
      <c r="A15" s="7">
        <v>1060100000</v>
      </c>
      <c r="B15" s="11" t="s">
        <v>8</v>
      </c>
      <c r="C15" s="9">
        <v>179</v>
      </c>
      <c r="D15" s="10">
        <v>244.00548000000001</v>
      </c>
      <c r="E15" s="9">
        <f t="shared" si="0"/>
        <v>136.31591061452514</v>
      </c>
      <c r="F15" s="9">
        <f>SUM(D15-C15)</f>
        <v>65.005480000000006</v>
      </c>
    </row>
    <row r="16" spans="1:6" ht="15.75" customHeight="1">
      <c r="A16" s="7">
        <v>1060600000</v>
      </c>
      <c r="B16" s="11" t="s">
        <v>7</v>
      </c>
      <c r="C16" s="9">
        <v>392</v>
      </c>
      <c r="D16" s="10">
        <v>44.974679999999999</v>
      </c>
      <c r="E16" s="9">
        <f t="shared" si="0"/>
        <v>11.473132653061224</v>
      </c>
      <c r="F16" s="9">
        <f t="shared" si="1"/>
        <v>-347.02532000000002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2</v>
      </c>
      <c r="E17" s="5">
        <f t="shared" si="0"/>
        <v>20</v>
      </c>
      <c r="F17" s="5">
        <f t="shared" si="1"/>
        <v>-8</v>
      </c>
    </row>
    <row r="18" spans="1:6" ht="18" customHeight="1">
      <c r="A18" s="7">
        <v>1080400001</v>
      </c>
      <c r="B18" s="8" t="s">
        <v>227</v>
      </c>
      <c r="C18" s="9">
        <v>10</v>
      </c>
      <c r="D18" s="10">
        <v>2</v>
      </c>
      <c r="E18" s="9">
        <f t="shared" si="0"/>
        <v>20</v>
      </c>
      <c r="F18" s="9">
        <f t="shared" si="1"/>
        <v>-8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7.7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3.5" hidden="1" customHeight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.2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32</v>
      </c>
      <c r="D25" s="5">
        <f>D27+D29+D34</f>
        <v>76.967389999999995</v>
      </c>
      <c r="E25" s="5">
        <f t="shared" si="0"/>
        <v>240.52309374999999</v>
      </c>
      <c r="F25" s="5">
        <f t="shared" si="1"/>
        <v>44.967389999999995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32</v>
      </c>
      <c r="D26" s="5">
        <f>D27</f>
        <v>76.967389999999995</v>
      </c>
      <c r="E26" s="5">
        <f t="shared" si="0"/>
        <v>240.52309374999999</v>
      </c>
      <c r="F26" s="5">
        <f t="shared" si="1"/>
        <v>44.967389999999995</v>
      </c>
    </row>
    <row r="27" spans="1:6" ht="17.25" customHeight="1">
      <c r="A27" s="16">
        <v>1110502510</v>
      </c>
      <c r="B27" s="17" t="s">
        <v>225</v>
      </c>
      <c r="C27" s="12">
        <v>32</v>
      </c>
      <c r="D27" s="10">
        <v>76.967389999999995</v>
      </c>
      <c r="E27" s="9">
        <f t="shared" si="0"/>
        <v>240.52309374999999</v>
      </c>
      <c r="F27" s="9">
        <f t="shared" si="1"/>
        <v>44.967389999999995</v>
      </c>
    </row>
    <row r="28" spans="1:6" ht="0.75" hidden="1" customHeight="1">
      <c r="A28" s="7">
        <v>1110503505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 hidden="1">
      <c r="A29" s="68">
        <v>1130000000</v>
      </c>
      <c r="B29" s="69" t="s">
        <v>130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idden="1">
      <c r="A30" s="7">
        <v>1130305005</v>
      </c>
      <c r="B30" s="8" t="s">
        <v>14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6.5" hidden="1" customHeight="1">
      <c r="A31" s="70">
        <v>1140000000</v>
      </c>
      <c r="B31" s="71" t="s">
        <v>131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hidden="1" customHeight="1">
      <c r="A32" s="16">
        <v>1140200000</v>
      </c>
      <c r="B32" s="18" t="s">
        <v>132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1170000000</v>
      </c>
      <c r="B34" s="13" t="s">
        <v>134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idden="1">
      <c r="A35" s="7">
        <v>1170105005</v>
      </c>
      <c r="B35" s="8" t="s">
        <v>17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idden="1">
      <c r="A36" s="7">
        <v>1170505005</v>
      </c>
      <c r="B36" s="11" t="s">
        <v>220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8.75" customHeight="1">
      <c r="A37" s="3">
        <v>1000000000</v>
      </c>
      <c r="B37" s="4" t="s">
        <v>18</v>
      </c>
      <c r="C37" s="127">
        <f>SUM(C4,C25)</f>
        <v>1029.2919999999999</v>
      </c>
      <c r="D37" s="127">
        <f>D4+D25</f>
        <v>548.24030000000005</v>
      </c>
      <c r="E37" s="5">
        <f t="shared" si="0"/>
        <v>53.263826008557345</v>
      </c>
      <c r="F37" s="5">
        <f t="shared" si="1"/>
        <v>-481.05169999999987</v>
      </c>
    </row>
    <row r="38" spans="1:7" s="6" customFormat="1">
      <c r="A38" s="3">
        <v>2000000000</v>
      </c>
      <c r="B38" s="4" t="s">
        <v>19</v>
      </c>
      <c r="C38" s="5">
        <f>C39+C41+C42+C43+C44+C45</f>
        <v>4031.9576300000003</v>
      </c>
      <c r="D38" s="5">
        <f>D39+D41+D42+D43+D45</f>
        <v>777.40719999999999</v>
      </c>
      <c r="E38" s="5">
        <f t="shared" si="0"/>
        <v>19.281135154190594</v>
      </c>
      <c r="F38" s="5">
        <f t="shared" si="1"/>
        <v>-3254.5504300000002</v>
      </c>
      <c r="G38" s="19"/>
    </row>
    <row r="39" spans="1:7" ht="14.25" customHeight="1">
      <c r="A39" s="16">
        <v>2021000000</v>
      </c>
      <c r="B39" s="17" t="s">
        <v>20</v>
      </c>
      <c r="C39" s="99">
        <v>1275.4000000000001</v>
      </c>
      <c r="D39" s="99">
        <v>531.41499999999996</v>
      </c>
      <c r="E39" s="9">
        <f t="shared" si="0"/>
        <v>41.66653598870942</v>
      </c>
      <c r="F39" s="9">
        <f t="shared" si="1"/>
        <v>-743.98500000000013</v>
      </c>
    </row>
    <row r="40" spans="1:7" ht="15.75" hidden="1" customHeight="1">
      <c r="A40" s="16">
        <v>2020100310</v>
      </c>
      <c r="B40" s="17" t="s">
        <v>231</v>
      </c>
      <c r="C40" s="99"/>
      <c r="D40" s="20">
        <v>0</v>
      </c>
      <c r="E40" s="9" t="e">
        <f t="shared" si="0"/>
        <v>#DIV/0!</v>
      </c>
      <c r="F40" s="9">
        <f t="shared" si="1"/>
        <v>0</v>
      </c>
    </row>
    <row r="41" spans="1:7" ht="15.75" customHeight="1">
      <c r="A41" s="16">
        <v>2021500200</v>
      </c>
      <c r="B41" s="17" t="s">
        <v>231</v>
      </c>
      <c r="C41" s="99">
        <v>90</v>
      </c>
      <c r="D41" s="20">
        <v>45</v>
      </c>
      <c r="E41" s="9">
        <f t="shared" si="0"/>
        <v>50</v>
      </c>
      <c r="F41" s="9">
        <f t="shared" si="1"/>
        <v>-45</v>
      </c>
    </row>
    <row r="42" spans="1:7">
      <c r="A42" s="16">
        <v>2022000000</v>
      </c>
      <c r="B42" s="17" t="s">
        <v>21</v>
      </c>
      <c r="C42" s="99">
        <v>1537.9304299999999</v>
      </c>
      <c r="D42" s="10">
        <v>157.52000000000001</v>
      </c>
      <c r="E42" s="9">
        <f t="shared" si="0"/>
        <v>10.242335864308245</v>
      </c>
      <c r="F42" s="9">
        <f t="shared" si="1"/>
        <v>-1380.4104299999999</v>
      </c>
    </row>
    <row r="43" spans="1:7" ht="17.25" customHeight="1">
      <c r="A43" s="16">
        <v>2023000000</v>
      </c>
      <c r="B43" s="17" t="s">
        <v>22</v>
      </c>
      <c r="C43" s="12">
        <v>92.456000000000003</v>
      </c>
      <c r="D43" s="248">
        <v>37.301000000000002</v>
      </c>
      <c r="E43" s="9">
        <f t="shared" si="0"/>
        <v>40.344596348533358</v>
      </c>
      <c r="F43" s="9">
        <f t="shared" si="1"/>
        <v>-55.155000000000001</v>
      </c>
    </row>
    <row r="44" spans="1:7" ht="15" customHeight="1">
      <c r="A44" s="16">
        <v>2020400000</v>
      </c>
      <c r="B44" s="17" t="s">
        <v>23</v>
      </c>
      <c r="C44" s="12">
        <v>1030</v>
      </c>
      <c r="D44" s="249">
        <v>0</v>
      </c>
      <c r="E44" s="9">
        <f t="shared" si="0"/>
        <v>0</v>
      </c>
      <c r="F44" s="9">
        <f t="shared" si="1"/>
        <v>-1030</v>
      </c>
    </row>
    <row r="45" spans="1:7" ht="14.25" customHeight="1">
      <c r="A45" s="16">
        <v>2070500010</v>
      </c>
      <c r="B45" s="8" t="s">
        <v>352</v>
      </c>
      <c r="C45" s="12">
        <v>6.1711999999999998</v>
      </c>
      <c r="D45" s="249">
        <v>6.1711999999999998</v>
      </c>
      <c r="E45" s="9">
        <f t="shared" si="0"/>
        <v>100</v>
      </c>
      <c r="F45" s="9">
        <f t="shared" si="1"/>
        <v>0</v>
      </c>
    </row>
    <row r="46" spans="1:7" ht="14.25" hidden="1" customHeight="1">
      <c r="A46" s="7">
        <v>2190500005</v>
      </c>
      <c r="B46" s="11" t="s">
        <v>25</v>
      </c>
      <c r="C46" s="14"/>
      <c r="D46" s="14"/>
      <c r="E46" s="5"/>
      <c r="F46" s="5">
        <f>SUM(D46-C46)</f>
        <v>0</v>
      </c>
    </row>
    <row r="47" spans="1:7" s="6" customFormat="1" ht="16.5" hidden="1" customHeight="1">
      <c r="A47" s="3">
        <v>3000000000</v>
      </c>
      <c r="B47" s="13" t="s">
        <v>26</v>
      </c>
      <c r="C47" s="274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7" s="6" customFormat="1" ht="21" hidden="1" customHeight="1">
      <c r="A48" s="3">
        <v>2190500010</v>
      </c>
      <c r="B48" s="13" t="s">
        <v>325</v>
      </c>
      <c r="C48" s="274">
        <v>0</v>
      </c>
      <c r="D48" s="14">
        <v>0</v>
      </c>
      <c r="E48" s="5"/>
      <c r="F48" s="5"/>
    </row>
    <row r="49" spans="1:8" s="6" customFormat="1" ht="16.5" customHeight="1">
      <c r="A49" s="3"/>
      <c r="B49" s="4" t="s">
        <v>27</v>
      </c>
      <c r="C49" s="277">
        <f>C37+C38</f>
        <v>5061.2496300000003</v>
      </c>
      <c r="D49" s="277">
        <f>D37+D38</f>
        <v>1325.6475</v>
      </c>
      <c r="E49" s="5">
        <f t="shared" si="0"/>
        <v>26.192098728787656</v>
      </c>
      <c r="F49" s="5">
        <f t="shared" si="1"/>
        <v>-3735.6021300000002</v>
      </c>
      <c r="G49" s="290"/>
      <c r="H49" s="362"/>
    </row>
    <row r="50" spans="1:8" s="6" customFormat="1" ht="15.75" customHeight="1">
      <c r="A50" s="3"/>
      <c r="B50" s="21" t="s">
        <v>320</v>
      </c>
      <c r="C50" s="277">
        <f>C49-C96</f>
        <v>-283.55249999999978</v>
      </c>
      <c r="D50" s="277">
        <f>D49-D96</f>
        <v>328.84882000000005</v>
      </c>
      <c r="E50" s="22"/>
      <c r="F50" s="22"/>
    </row>
    <row r="51" spans="1:8">
      <c r="A51" s="23"/>
      <c r="B51" s="24"/>
      <c r="C51" s="115"/>
      <c r="D51" s="25"/>
      <c r="E51" s="26"/>
      <c r="F51" s="27"/>
    </row>
    <row r="52" spans="1:8" ht="32.25" customHeight="1">
      <c r="A52" s="28" t="s">
        <v>0</v>
      </c>
      <c r="B52" s="28" t="s">
        <v>28</v>
      </c>
      <c r="C52" s="245" t="s">
        <v>411</v>
      </c>
      <c r="D52" s="73" t="s">
        <v>419</v>
      </c>
      <c r="E52" s="72" t="s">
        <v>2</v>
      </c>
      <c r="F52" s="74" t="s">
        <v>3</v>
      </c>
    </row>
    <row r="53" spans="1:8">
      <c r="A53" s="29">
        <v>1</v>
      </c>
      <c r="B53" s="28">
        <v>2</v>
      </c>
      <c r="C53" s="87">
        <v>3</v>
      </c>
      <c r="D53" s="87">
        <v>4</v>
      </c>
      <c r="E53" s="87">
        <v>5</v>
      </c>
      <c r="F53" s="87">
        <v>6</v>
      </c>
    </row>
    <row r="54" spans="1:8" s="6" customFormat="1" ht="16.5" customHeight="1">
      <c r="A54" s="30" t="s">
        <v>29</v>
      </c>
      <c r="B54" s="31" t="s">
        <v>30</v>
      </c>
      <c r="C54" s="32">
        <f>C55+C56+C57+C58+C59+C61+C60</f>
        <v>992.09100000000001</v>
      </c>
      <c r="D54" s="33">
        <f>D56+D61</f>
        <v>339.44866999999999</v>
      </c>
      <c r="E54" s="34">
        <f>SUM(D54/C54*100)</f>
        <v>34.215477209247943</v>
      </c>
      <c r="F54" s="34">
        <f>SUM(D54-C54)</f>
        <v>-652.64233000000002</v>
      </c>
    </row>
    <row r="55" spans="1:8" s="6" customFormat="1" ht="17.25" hidden="1" customHeight="1">
      <c r="A55" s="35" t="s">
        <v>31</v>
      </c>
      <c r="B55" s="36" t="s">
        <v>32</v>
      </c>
      <c r="C55" s="37"/>
      <c r="D55" s="37"/>
      <c r="E55" s="38"/>
      <c r="F55" s="38"/>
    </row>
    <row r="56" spans="1:8" ht="20.25" customHeight="1">
      <c r="A56" s="35" t="s">
        <v>33</v>
      </c>
      <c r="B56" s="39" t="s">
        <v>34</v>
      </c>
      <c r="C56" s="37">
        <v>984.4</v>
      </c>
      <c r="D56" s="37">
        <v>336.75817000000001</v>
      </c>
      <c r="E56" s="38">
        <f>SUM(D56/C56*100)</f>
        <v>34.209484965461193</v>
      </c>
      <c r="F56" s="38">
        <f t="shared" ref="F56:F96" si="3">SUM(D56-C56)</f>
        <v>-647.64183000000003</v>
      </c>
    </row>
    <row r="57" spans="1:8" ht="0.75" hidden="1" customHeight="1">
      <c r="A57" s="35" t="s">
        <v>35</v>
      </c>
      <c r="B57" s="39" t="s">
        <v>36</v>
      </c>
      <c r="C57" s="37"/>
      <c r="D57" s="37"/>
      <c r="E57" s="38"/>
      <c r="F57" s="38">
        <f t="shared" si="3"/>
        <v>0</v>
      </c>
    </row>
    <row r="58" spans="1:8" ht="17.25" hidden="1" customHeight="1">
      <c r="A58" s="35" t="s">
        <v>37</v>
      </c>
      <c r="B58" s="39" t="s">
        <v>38</v>
      </c>
      <c r="C58" s="37"/>
      <c r="D58" s="37"/>
      <c r="E58" s="38" t="e">
        <f t="shared" ref="E58:E96" si="4">SUM(D58/C58*100)</f>
        <v>#DIV/0!</v>
      </c>
      <c r="F58" s="38">
        <f t="shared" si="3"/>
        <v>0</v>
      </c>
    </row>
    <row r="59" spans="1:8" ht="0.75" hidden="1" customHeight="1">
      <c r="A59" s="35" t="s">
        <v>39</v>
      </c>
      <c r="B59" s="39" t="s">
        <v>40</v>
      </c>
      <c r="C59" s="37">
        <v>0</v>
      </c>
      <c r="D59" s="37">
        <v>0</v>
      </c>
      <c r="E59" s="38" t="e">
        <f t="shared" si="4"/>
        <v>#DIV/0!</v>
      </c>
      <c r="F59" s="38">
        <f t="shared" si="3"/>
        <v>0</v>
      </c>
    </row>
    <row r="60" spans="1:8" ht="15.75" customHeight="1">
      <c r="A60" s="35" t="s">
        <v>41</v>
      </c>
      <c r="B60" s="39" t="s">
        <v>42</v>
      </c>
      <c r="C60" s="40">
        <v>5</v>
      </c>
      <c r="D60" s="40">
        <v>0</v>
      </c>
      <c r="E60" s="38">
        <f t="shared" si="4"/>
        <v>0</v>
      </c>
      <c r="F60" s="38">
        <f t="shared" si="3"/>
        <v>-5</v>
      </c>
    </row>
    <row r="61" spans="1:8" ht="17.25" customHeight="1">
      <c r="A61" s="35" t="s">
        <v>43</v>
      </c>
      <c r="B61" s="39" t="s">
        <v>44</v>
      </c>
      <c r="C61" s="37">
        <v>2.6909999999999998</v>
      </c>
      <c r="D61" s="37">
        <v>2.6905000000000001</v>
      </c>
      <c r="E61" s="38">
        <f t="shared" si="4"/>
        <v>99.981419546636957</v>
      </c>
      <c r="F61" s="38">
        <f t="shared" si="3"/>
        <v>-4.9999999999972289E-4</v>
      </c>
    </row>
    <row r="62" spans="1:8" s="6" customFormat="1" ht="17.850000000000001" customHeight="1">
      <c r="A62" s="41" t="s">
        <v>45</v>
      </c>
      <c r="B62" s="42" t="s">
        <v>46</v>
      </c>
      <c r="C62" s="32">
        <f>C63</f>
        <v>89.944999999999993</v>
      </c>
      <c r="D62" s="32">
        <f>D63</f>
        <v>31.38</v>
      </c>
      <c r="E62" s="34">
        <f t="shared" si="4"/>
        <v>34.887987103229747</v>
      </c>
      <c r="F62" s="34">
        <f t="shared" si="3"/>
        <v>-58.564999999999998</v>
      </c>
    </row>
    <row r="63" spans="1:8" ht="17.850000000000001" customHeight="1">
      <c r="A63" s="43" t="s">
        <v>47</v>
      </c>
      <c r="B63" s="44" t="s">
        <v>48</v>
      </c>
      <c r="C63" s="37">
        <v>89.944999999999993</v>
      </c>
      <c r="D63" s="37">
        <v>31.38</v>
      </c>
      <c r="E63" s="38">
        <f t="shared" si="4"/>
        <v>34.887987103229747</v>
      </c>
      <c r="F63" s="38">
        <f t="shared" si="3"/>
        <v>-58.564999999999998</v>
      </c>
    </row>
    <row r="64" spans="1:8" s="6" customFormat="1" ht="17.25" customHeight="1">
      <c r="A64" s="30" t="s">
        <v>49</v>
      </c>
      <c r="B64" s="31" t="s">
        <v>50</v>
      </c>
      <c r="C64" s="32">
        <f>C67+C68+C69</f>
        <v>6.4</v>
      </c>
      <c r="D64" s="32">
        <f>SUM(D65:D67)</f>
        <v>0</v>
      </c>
      <c r="E64" s="34">
        <f t="shared" si="4"/>
        <v>0</v>
      </c>
      <c r="F64" s="34">
        <f t="shared" si="3"/>
        <v>-6.4</v>
      </c>
    </row>
    <row r="65" spans="1:7" ht="17.25" hidden="1" customHeight="1">
      <c r="A65" s="35" t="s">
        <v>51</v>
      </c>
      <c r="B65" s="39" t="s">
        <v>52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7.25" hidden="1" customHeight="1">
      <c r="A66" s="45" t="s">
        <v>53</v>
      </c>
      <c r="B66" s="39" t="s">
        <v>54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t="18" customHeight="1">
      <c r="A67" s="46" t="s">
        <v>55</v>
      </c>
      <c r="B67" s="47" t="s">
        <v>56</v>
      </c>
      <c r="C67" s="37">
        <v>2.4</v>
      </c>
      <c r="D67" s="37">
        <v>0</v>
      </c>
      <c r="E67" s="34">
        <f t="shared" si="4"/>
        <v>0</v>
      </c>
      <c r="F67" s="34">
        <f t="shared" si="3"/>
        <v>-2.4</v>
      </c>
    </row>
    <row r="68" spans="1:7" ht="18" customHeight="1">
      <c r="A68" s="46" t="s">
        <v>218</v>
      </c>
      <c r="B68" s="47" t="s">
        <v>219</v>
      </c>
      <c r="C68" s="37">
        <v>2</v>
      </c>
      <c r="D68" s="37">
        <v>0</v>
      </c>
      <c r="E68" s="38">
        <f t="shared" si="4"/>
        <v>0</v>
      </c>
      <c r="F68" s="38">
        <f t="shared" si="3"/>
        <v>-2</v>
      </c>
    </row>
    <row r="69" spans="1:7" ht="18" customHeight="1">
      <c r="A69" s="46" t="s">
        <v>357</v>
      </c>
      <c r="B69" s="47" t="s">
        <v>360</v>
      </c>
      <c r="C69" s="37">
        <v>2</v>
      </c>
      <c r="D69" s="37">
        <v>0</v>
      </c>
      <c r="E69" s="38"/>
      <c r="F69" s="38"/>
    </row>
    <row r="70" spans="1:7" s="6" customFormat="1" ht="15.75" customHeight="1">
      <c r="A70" s="30" t="s">
        <v>57</v>
      </c>
      <c r="B70" s="31" t="s">
        <v>58</v>
      </c>
      <c r="C70" s="48">
        <f>SUM(C71:C74)</f>
        <v>2148.5418299999997</v>
      </c>
      <c r="D70" s="48">
        <f>D71+D72+D73+D74</f>
        <v>192.83500000000001</v>
      </c>
      <c r="E70" s="34">
        <f t="shared" si="4"/>
        <v>8.9751568858214892</v>
      </c>
      <c r="F70" s="34">
        <f t="shared" si="3"/>
        <v>-1955.7068299999996</v>
      </c>
    </row>
    <row r="71" spans="1:7" ht="16.5" customHeight="1">
      <c r="A71" s="35" t="s">
        <v>59</v>
      </c>
      <c r="B71" s="39" t="s">
        <v>60</v>
      </c>
      <c r="C71" s="49">
        <v>6.7024999999999997</v>
      </c>
      <c r="D71" s="37">
        <v>0</v>
      </c>
      <c r="E71" s="38">
        <f t="shared" si="4"/>
        <v>0</v>
      </c>
      <c r="F71" s="38">
        <f t="shared" si="3"/>
        <v>-6.7024999999999997</v>
      </c>
    </row>
    <row r="72" spans="1:7" s="6" customFormat="1" ht="19.5" customHeight="1">
      <c r="A72" s="35" t="s">
        <v>61</v>
      </c>
      <c r="B72" s="39" t="s">
        <v>62</v>
      </c>
      <c r="C72" s="49">
        <v>0</v>
      </c>
      <c r="D72" s="37">
        <v>0</v>
      </c>
      <c r="E72" s="38" t="e">
        <f t="shared" si="4"/>
        <v>#DIV/0!</v>
      </c>
      <c r="F72" s="38">
        <f t="shared" si="3"/>
        <v>0</v>
      </c>
      <c r="G72" s="50"/>
    </row>
    <row r="73" spans="1:7" ht="17.25" customHeight="1">
      <c r="A73" s="35" t="s">
        <v>63</v>
      </c>
      <c r="B73" s="39" t="s">
        <v>64</v>
      </c>
      <c r="C73" s="49">
        <v>2101.8393299999998</v>
      </c>
      <c r="D73" s="37">
        <v>179</v>
      </c>
      <c r="E73" s="38">
        <f t="shared" si="4"/>
        <v>8.516350295909632</v>
      </c>
      <c r="F73" s="38">
        <f t="shared" si="3"/>
        <v>-1922.8393299999998</v>
      </c>
    </row>
    <row r="74" spans="1:7" ht="15.75" customHeight="1">
      <c r="A74" s="35" t="s">
        <v>65</v>
      </c>
      <c r="B74" s="39" t="s">
        <v>66</v>
      </c>
      <c r="C74" s="49">
        <v>40</v>
      </c>
      <c r="D74" s="37">
        <v>13.835000000000001</v>
      </c>
      <c r="E74" s="38">
        <f t="shared" si="4"/>
        <v>34.587500000000006</v>
      </c>
      <c r="F74" s="38">
        <f t="shared" si="3"/>
        <v>-26.164999999999999</v>
      </c>
    </row>
    <row r="75" spans="1:7" s="6" customFormat="1" ht="18" customHeight="1">
      <c r="A75" s="30" t="s">
        <v>67</v>
      </c>
      <c r="B75" s="31" t="s">
        <v>68</v>
      </c>
      <c r="C75" s="32">
        <f>SUM(C76:C78)</f>
        <v>238.12430000000001</v>
      </c>
      <c r="D75" s="32">
        <f>D78</f>
        <v>71.135009999999994</v>
      </c>
      <c r="E75" s="34">
        <f t="shared" si="4"/>
        <v>29.873057894553391</v>
      </c>
      <c r="F75" s="34">
        <f t="shared" si="3"/>
        <v>-166.98929000000001</v>
      </c>
    </row>
    <row r="76" spans="1:7" ht="15.75" hidden="1" customHeight="1">
      <c r="A76" s="35" t="s">
        <v>69</v>
      </c>
      <c r="B76" s="51" t="s">
        <v>70</v>
      </c>
      <c r="C76" s="37">
        <v>0</v>
      </c>
      <c r="D76" s="37">
        <v>0</v>
      </c>
      <c r="E76" s="38" t="e">
        <f t="shared" si="4"/>
        <v>#DIV/0!</v>
      </c>
      <c r="F76" s="38">
        <f t="shared" si="3"/>
        <v>0</v>
      </c>
    </row>
    <row r="77" spans="1:7" ht="15.75" hidden="1" customHeight="1">
      <c r="A77" s="35" t="s">
        <v>71</v>
      </c>
      <c r="B77" s="51" t="s">
        <v>72</v>
      </c>
      <c r="C77" s="37">
        <v>0</v>
      </c>
      <c r="D77" s="37"/>
      <c r="E77" s="38" t="e">
        <f t="shared" si="4"/>
        <v>#DIV/0!</v>
      </c>
      <c r="F77" s="38">
        <f t="shared" si="3"/>
        <v>0</v>
      </c>
    </row>
    <row r="78" spans="1:7" ht="17.850000000000001" customHeight="1">
      <c r="A78" s="35" t="s">
        <v>73</v>
      </c>
      <c r="B78" s="39" t="s">
        <v>74</v>
      </c>
      <c r="C78" s="37">
        <v>238.12430000000001</v>
      </c>
      <c r="D78" s="37">
        <v>71.135009999999994</v>
      </c>
      <c r="E78" s="38">
        <f t="shared" si="4"/>
        <v>29.873057894553391</v>
      </c>
      <c r="F78" s="38">
        <f t="shared" si="3"/>
        <v>-166.98929000000001</v>
      </c>
    </row>
    <row r="79" spans="1:7" s="6" customFormat="1" ht="17.850000000000001" customHeight="1">
      <c r="A79" s="30" t="s">
        <v>85</v>
      </c>
      <c r="B79" s="31" t="s">
        <v>86</v>
      </c>
      <c r="C79" s="32">
        <f>C80</f>
        <v>1863.7</v>
      </c>
      <c r="D79" s="32">
        <f>D80</f>
        <v>360</v>
      </c>
      <c r="E79" s="34">
        <f t="shared" si="4"/>
        <v>19.316413585877555</v>
      </c>
      <c r="F79" s="34">
        <f t="shared" si="3"/>
        <v>-1503.7</v>
      </c>
    </row>
    <row r="80" spans="1:7" ht="15" customHeight="1">
      <c r="A80" s="35" t="s">
        <v>87</v>
      </c>
      <c r="B80" s="39" t="s">
        <v>233</v>
      </c>
      <c r="C80" s="37">
        <v>1863.7</v>
      </c>
      <c r="D80" s="37">
        <v>360</v>
      </c>
      <c r="E80" s="38">
        <f t="shared" si="4"/>
        <v>19.316413585877555</v>
      </c>
      <c r="F80" s="38">
        <f t="shared" si="3"/>
        <v>-1503.7</v>
      </c>
    </row>
    <row r="81" spans="1:8" s="6" customFormat="1" ht="0.75" hidden="1" customHeight="1">
      <c r="A81" s="52">
        <v>1000</v>
      </c>
      <c r="B81" s="31" t="s">
        <v>88</v>
      </c>
      <c r="C81" s="32">
        <f>SUM(C82:C85)</f>
        <v>0</v>
      </c>
      <c r="D81" s="32">
        <f>SUM(D82:D85)</f>
        <v>0</v>
      </c>
      <c r="E81" s="34" t="e">
        <f t="shared" si="4"/>
        <v>#DIV/0!</v>
      </c>
      <c r="F81" s="34">
        <f t="shared" si="3"/>
        <v>0</v>
      </c>
    </row>
    <row r="82" spans="1:8" ht="0.75" hidden="1" customHeight="1">
      <c r="A82" s="53">
        <v>1001</v>
      </c>
      <c r="B82" s="54" t="s">
        <v>89</v>
      </c>
      <c r="C82" s="37"/>
      <c r="D82" s="37"/>
      <c r="E82" s="38" t="e">
        <f t="shared" si="4"/>
        <v>#DIV/0!</v>
      </c>
      <c r="F82" s="38">
        <f t="shared" si="3"/>
        <v>0</v>
      </c>
    </row>
    <row r="83" spans="1:8" ht="17.25" hidden="1" customHeight="1">
      <c r="A83" s="53">
        <v>1003</v>
      </c>
      <c r="B83" s="54" t="s">
        <v>90</v>
      </c>
      <c r="C83" s="37">
        <v>0</v>
      </c>
      <c r="D83" s="37">
        <v>0</v>
      </c>
      <c r="E83" s="38" t="e">
        <f t="shared" si="4"/>
        <v>#DIV/0!</v>
      </c>
      <c r="F83" s="38">
        <f t="shared" si="3"/>
        <v>0</v>
      </c>
    </row>
    <row r="84" spans="1:8" ht="17.25" hidden="1" customHeight="1">
      <c r="A84" s="53">
        <v>1004</v>
      </c>
      <c r="B84" s="54" t="s">
        <v>91</v>
      </c>
      <c r="C84" s="37"/>
      <c r="D84" s="55"/>
      <c r="E84" s="38" t="e">
        <f t="shared" si="4"/>
        <v>#DIV/0!</v>
      </c>
      <c r="F84" s="38">
        <f t="shared" si="3"/>
        <v>0</v>
      </c>
    </row>
    <row r="85" spans="1:8" ht="17.25" hidden="1" customHeight="1">
      <c r="A85" s="35" t="s">
        <v>92</v>
      </c>
      <c r="B85" s="39" t="s">
        <v>93</v>
      </c>
      <c r="C85" s="37">
        <v>0</v>
      </c>
      <c r="D85" s="37">
        <v>0</v>
      </c>
      <c r="E85" s="38"/>
      <c r="F85" s="38">
        <f t="shared" si="3"/>
        <v>0</v>
      </c>
    </row>
    <row r="86" spans="1:8" ht="17.850000000000001" customHeight="1">
      <c r="A86" s="30" t="s">
        <v>94</v>
      </c>
      <c r="B86" s="31" t="s">
        <v>95</v>
      </c>
      <c r="C86" s="32">
        <f>C87+C88+C89+C90+C91</f>
        <v>6</v>
      </c>
      <c r="D86" s="32">
        <f>D87+D88+D89+D90+D91</f>
        <v>2</v>
      </c>
      <c r="E86" s="38">
        <f t="shared" si="4"/>
        <v>33.333333333333329</v>
      </c>
      <c r="F86" s="22">
        <f>F87+F88+F89+F90+F91</f>
        <v>-4</v>
      </c>
    </row>
    <row r="87" spans="1:8" ht="17.25" customHeight="1">
      <c r="A87" s="35" t="s">
        <v>96</v>
      </c>
      <c r="B87" s="39" t="s">
        <v>97</v>
      </c>
      <c r="C87" s="37">
        <v>6</v>
      </c>
      <c r="D87" s="37">
        <v>2</v>
      </c>
      <c r="E87" s="38">
        <f t="shared" si="4"/>
        <v>33.333333333333329</v>
      </c>
      <c r="F87" s="38">
        <f>SUM(D87-C87)</f>
        <v>-4</v>
      </c>
    </row>
    <row r="88" spans="1:8" ht="15.75" hidden="1" customHeight="1">
      <c r="A88" s="35" t="s">
        <v>98</v>
      </c>
      <c r="B88" s="39" t="s">
        <v>99</v>
      </c>
      <c r="C88" s="37"/>
      <c r="D88" s="37"/>
      <c r="E88" s="38" t="e">
        <f t="shared" si="4"/>
        <v>#DIV/0!</v>
      </c>
      <c r="F88" s="38">
        <f>SUM(D88-C88)</f>
        <v>0</v>
      </c>
    </row>
    <row r="89" spans="1:8" ht="15.75" hidden="1" customHeight="1">
      <c r="A89" s="35" t="s">
        <v>100</v>
      </c>
      <c r="B89" s="39" t="s">
        <v>101</v>
      </c>
      <c r="C89" s="37"/>
      <c r="D89" s="37"/>
      <c r="E89" s="38" t="e">
        <f t="shared" si="4"/>
        <v>#DIV/0!</v>
      </c>
      <c r="F89" s="38"/>
    </row>
    <row r="90" spans="1:8" ht="15.75" hidden="1" customHeight="1">
      <c r="A90" s="35" t="s">
        <v>102</v>
      </c>
      <c r="B90" s="39" t="s">
        <v>103</v>
      </c>
      <c r="C90" s="37"/>
      <c r="D90" s="37"/>
      <c r="E90" s="38" t="e">
        <f t="shared" si="4"/>
        <v>#DIV/0!</v>
      </c>
      <c r="F90" s="38"/>
    </row>
    <row r="91" spans="1:8" ht="15.75" hidden="1" customHeight="1">
      <c r="A91" s="35" t="s">
        <v>104</v>
      </c>
      <c r="B91" s="39" t="s">
        <v>105</v>
      </c>
      <c r="C91" s="37"/>
      <c r="D91" s="37"/>
      <c r="E91" s="38" t="e">
        <f t="shared" si="4"/>
        <v>#DIV/0!</v>
      </c>
      <c r="F91" s="38"/>
    </row>
    <row r="92" spans="1:8" s="6" customFormat="1" ht="15.75" hidden="1" customHeight="1">
      <c r="A92" s="52">
        <v>1400</v>
      </c>
      <c r="B92" s="56" t="s">
        <v>114</v>
      </c>
      <c r="C92" s="48">
        <f>C93+C94+C95</f>
        <v>0</v>
      </c>
      <c r="D92" s="48">
        <f>SUM(D93:D95)</f>
        <v>0</v>
      </c>
      <c r="E92" s="34" t="e">
        <f t="shared" si="4"/>
        <v>#DIV/0!</v>
      </c>
      <c r="F92" s="34">
        <f t="shared" si="3"/>
        <v>0</v>
      </c>
    </row>
    <row r="93" spans="1:8" ht="15.75" hidden="1" customHeight="1">
      <c r="A93" s="53">
        <v>1401</v>
      </c>
      <c r="B93" s="54" t="s">
        <v>115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8" ht="18" hidden="1" customHeight="1">
      <c r="A94" s="53">
        <v>1402</v>
      </c>
      <c r="B94" s="54" t="s">
        <v>116</v>
      </c>
      <c r="C94" s="236"/>
      <c r="D94" s="237"/>
      <c r="E94" s="38" t="e">
        <f t="shared" si="4"/>
        <v>#DIV/0!</v>
      </c>
      <c r="F94" s="38">
        <f t="shared" si="3"/>
        <v>0</v>
      </c>
    </row>
    <row r="95" spans="1:8" ht="15.75" hidden="1" customHeight="1">
      <c r="A95" s="53">
        <v>1403</v>
      </c>
      <c r="B95" s="54" t="s">
        <v>117</v>
      </c>
      <c r="C95" s="49">
        <v>0</v>
      </c>
      <c r="D95" s="37">
        <v>0</v>
      </c>
      <c r="E95" s="38" t="e">
        <f t="shared" si="4"/>
        <v>#DIV/0!</v>
      </c>
      <c r="F95" s="38">
        <f t="shared" si="3"/>
        <v>0</v>
      </c>
    </row>
    <row r="96" spans="1:8" s="6" customFormat="1" ht="16.5" customHeight="1">
      <c r="A96" s="52"/>
      <c r="B96" s="57" t="s">
        <v>118</v>
      </c>
      <c r="C96" s="467">
        <f>C54+C62+C64+C70+C75+C79+C81+C86+C92</f>
        <v>5344.80213</v>
      </c>
      <c r="D96" s="33">
        <f>D54+D62+D64+D70+D75+D79+D86</f>
        <v>996.79867999999999</v>
      </c>
      <c r="E96" s="34">
        <f t="shared" si="4"/>
        <v>18.649870579961021</v>
      </c>
      <c r="F96" s="34">
        <f t="shared" si="3"/>
        <v>-4348.0034500000002</v>
      </c>
      <c r="G96" s="362"/>
      <c r="H96" s="362"/>
    </row>
    <row r="97" spans="1:4" ht="20.25" customHeight="1">
      <c r="C97" s="126"/>
      <c r="D97" s="101"/>
    </row>
    <row r="98" spans="1:4" s="65" customFormat="1" ht="13.5" customHeight="1">
      <c r="A98" s="63" t="s">
        <v>119</v>
      </c>
      <c r="B98" s="63"/>
      <c r="C98" s="116"/>
      <c r="D98" s="64"/>
    </row>
    <row r="99" spans="1:4" s="65" customFormat="1" ht="12.75">
      <c r="A99" s="66" t="s">
        <v>120</v>
      </c>
      <c r="B99" s="66"/>
      <c r="C99" s="134" t="s">
        <v>121</v>
      </c>
      <c r="D99" s="134"/>
    </row>
    <row r="100" spans="1:4" ht="5.25" customHeight="1">
      <c r="C100" s="120"/>
    </row>
    <row r="142" hidden="1"/>
  </sheetData>
  <customSheetViews>
    <customSheetView guid="{61528DAC-5C4C-48F4-ADE2-8A724B05A086}" scale="70" showPageBreaks="1" hiddenRows="1" view="pageBreakPreview" topLeftCell="A37">
      <selection activeCell="C96" sqref="C96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2"/>
    </customSheetView>
    <customSheetView guid="{1A52382B-3765-4E8C-903F-6B8919B7242E}" scale="70" showPageBreaks="1" printArea="1" hiddenRows="1" view="pageBreakPreview" topLeftCell="A18">
      <selection activeCell="D86" sqref="D86"/>
      <pageMargins left="0.7" right="0.7" top="0.75" bottom="0.75" header="0.3" footer="0.3"/>
      <pageSetup paperSize="9" scale="60" orientation="portrait" r:id="rId3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5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6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B31C8DB7-3E78-4144-A6B5-8DE36DE63F0E}" hiddenRows="1" topLeftCell="A18">
      <selection activeCell="D45" sqref="D45"/>
      <pageMargins left="0.7" right="0.7" top="0.75" bottom="0.75" header="0.3" footer="0.3"/>
      <pageSetup paperSize="9" scale="60" orientation="portrait" r:id="rId8"/>
    </customSheetView>
    <customSheetView guid="{B30CE22D-C12F-4E12-8BB9-3AAE0A6991CC}" scale="70" showPageBreaks="1" printArea="1" hiddenRows="1" view="pageBreakPreview">
      <selection activeCell="D96" sqref="C96:D96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H142"/>
  <sheetViews>
    <sheetView tabSelected="1" view="pageBreakPreview" topLeftCell="A25" zoomScale="70" zoomScaleSheetLayoutView="70" workbookViewId="0">
      <selection activeCell="E48" sqref="E48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28515625" style="1" bestFit="1" customWidth="1"/>
    <col min="8" max="8" width="9.285156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5" t="s">
        <v>434</v>
      </c>
      <c r="B1" s="525"/>
      <c r="C1" s="525"/>
      <c r="D1" s="525"/>
      <c r="E1" s="525"/>
      <c r="F1" s="525"/>
    </row>
    <row r="2" spans="1:6">
      <c r="A2" s="525"/>
      <c r="B2" s="525"/>
      <c r="C2" s="525"/>
      <c r="D2" s="525"/>
      <c r="E2" s="525"/>
      <c r="F2" s="525"/>
    </row>
    <row r="3" spans="1:6" ht="63">
      <c r="A3" s="2" t="s">
        <v>0</v>
      </c>
      <c r="B3" s="2" t="s">
        <v>1</v>
      </c>
      <c r="C3" s="72" t="s">
        <v>411</v>
      </c>
      <c r="D3" s="73" t="s">
        <v>422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C5+C12+C17+C7+C14</f>
        <v>1026.2959999999998</v>
      </c>
      <c r="D4" s="5">
        <f>D5+D12+D14+D17+D20+D7</f>
        <v>328.48811000000001</v>
      </c>
      <c r="E4" s="5">
        <f>SUM(D4/C4*100)</f>
        <v>32.007150958397972</v>
      </c>
      <c r="F4" s="5">
        <f>SUM(D4-C4)</f>
        <v>-697.80788999999982</v>
      </c>
    </row>
    <row r="5" spans="1:6" s="6" customFormat="1">
      <c r="A5" s="68">
        <v>1010000000</v>
      </c>
      <c r="B5" s="67" t="s">
        <v>5</v>
      </c>
      <c r="C5" s="5">
        <f>C6</f>
        <v>86.510999999999996</v>
      </c>
      <c r="D5" s="5">
        <f>D6</f>
        <v>43.972560000000001</v>
      </c>
      <c r="E5" s="5">
        <f t="shared" ref="E5:E51" si="0">SUM(D5/C5*100)</f>
        <v>50.828865693380031</v>
      </c>
      <c r="F5" s="5">
        <f t="shared" ref="F5:F51" si="1">SUM(D5-C5)</f>
        <v>-42.538439999999994</v>
      </c>
    </row>
    <row r="6" spans="1:6">
      <c r="A6" s="7">
        <v>1010200001</v>
      </c>
      <c r="B6" s="8" t="s">
        <v>228</v>
      </c>
      <c r="C6" s="9">
        <v>86.510999999999996</v>
      </c>
      <c r="D6" s="10">
        <v>43.972560000000001</v>
      </c>
      <c r="E6" s="9">
        <f t="shared" ref="E6:E11" si="2">SUM(D6/C6*100)</f>
        <v>50.828865693380031</v>
      </c>
      <c r="F6" s="9">
        <f t="shared" si="1"/>
        <v>-42.538439999999994</v>
      </c>
    </row>
    <row r="7" spans="1:6" ht="31.5">
      <c r="A7" s="3">
        <v>1030000000</v>
      </c>
      <c r="B7" s="13" t="s">
        <v>280</v>
      </c>
      <c r="C7" s="5">
        <f>C8+C10+C9</f>
        <v>316.78499999999997</v>
      </c>
      <c r="D7" s="5">
        <f>D8+D10+D9+D11</f>
        <v>153.49005</v>
      </c>
      <c r="E7" s="9">
        <f t="shared" si="2"/>
        <v>48.45243619489559</v>
      </c>
      <c r="F7" s="9">
        <f t="shared" si="1"/>
        <v>-163.29494999999997</v>
      </c>
    </row>
    <row r="8" spans="1:6">
      <c r="A8" s="7">
        <v>1030223001</v>
      </c>
      <c r="B8" s="8" t="s">
        <v>282</v>
      </c>
      <c r="C8" s="9">
        <v>118.16</v>
      </c>
      <c r="D8" s="10">
        <v>69.340130000000002</v>
      </c>
      <c r="E8" s="9">
        <f t="shared" si="2"/>
        <v>58.683251523358159</v>
      </c>
      <c r="F8" s="9">
        <f t="shared" si="1"/>
        <v>-48.819869999999995</v>
      </c>
    </row>
    <row r="9" spans="1:6">
      <c r="A9" s="7">
        <v>1030224001</v>
      </c>
      <c r="B9" s="8" t="s">
        <v>288</v>
      </c>
      <c r="C9" s="9">
        <v>1.2649999999999999</v>
      </c>
      <c r="D9" s="10">
        <v>0.52092000000000005</v>
      </c>
      <c r="E9" s="9">
        <f t="shared" si="2"/>
        <v>41.179446640316215</v>
      </c>
      <c r="F9" s="9">
        <f t="shared" si="1"/>
        <v>-0.74407999999999985</v>
      </c>
    </row>
    <row r="10" spans="1:6">
      <c r="A10" s="7">
        <v>1030225001</v>
      </c>
      <c r="B10" s="8" t="s">
        <v>281</v>
      </c>
      <c r="C10" s="9">
        <v>197.36</v>
      </c>
      <c r="D10" s="10">
        <v>96.239140000000006</v>
      </c>
      <c r="E10" s="9">
        <f t="shared" si="2"/>
        <v>48.763244831779488</v>
      </c>
      <c r="F10" s="9">
        <f t="shared" si="1"/>
        <v>-101.12086000000001</v>
      </c>
    </row>
    <row r="11" spans="1:6">
      <c r="A11" s="7">
        <v>1030226001</v>
      </c>
      <c r="B11" s="8" t="s">
        <v>290</v>
      </c>
      <c r="C11" s="9">
        <v>0</v>
      </c>
      <c r="D11" s="10">
        <v>-12.610139999999999</v>
      </c>
      <c r="E11" s="9" t="e">
        <f t="shared" si="2"/>
        <v>#DIV/0!</v>
      </c>
      <c r="F11" s="9">
        <f t="shared" si="1"/>
        <v>-12.610139999999999</v>
      </c>
    </row>
    <row r="12" spans="1:6" s="6" customFormat="1">
      <c r="A12" s="68">
        <v>1050000000</v>
      </c>
      <c r="B12" s="67" t="s">
        <v>6</v>
      </c>
      <c r="C12" s="5">
        <f>SUM(C13:C13)</f>
        <v>65</v>
      </c>
      <c r="D12" s="5">
        <f>SUM(D13:D13)</f>
        <v>69.128699999999995</v>
      </c>
      <c r="E12" s="5">
        <f t="shared" si="0"/>
        <v>106.35184615384614</v>
      </c>
      <c r="F12" s="5">
        <f t="shared" si="1"/>
        <v>4.1286999999999949</v>
      </c>
    </row>
    <row r="13" spans="1:6" ht="15.75" customHeight="1">
      <c r="A13" s="7">
        <v>1050300000</v>
      </c>
      <c r="B13" s="11" t="s">
        <v>229</v>
      </c>
      <c r="C13" s="12">
        <v>65</v>
      </c>
      <c r="D13" s="10">
        <v>69.128699999999995</v>
      </c>
      <c r="E13" s="9">
        <f t="shared" si="0"/>
        <v>106.35184615384614</v>
      </c>
      <c r="F13" s="9">
        <f t="shared" si="1"/>
        <v>4.1286999999999949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548</v>
      </c>
      <c r="D14" s="5">
        <f>D15+D16</f>
        <v>59.946799999999996</v>
      </c>
      <c r="E14" s="9">
        <f t="shared" si="0"/>
        <v>10.939197080291969</v>
      </c>
      <c r="F14" s="9">
        <f t="shared" si="1"/>
        <v>-488.0532</v>
      </c>
    </row>
    <row r="15" spans="1:6" s="6" customFormat="1" ht="15.75" customHeight="1">
      <c r="A15" s="7">
        <v>1060100000</v>
      </c>
      <c r="B15" s="11" t="s">
        <v>8</v>
      </c>
      <c r="C15" s="275">
        <v>88</v>
      </c>
      <c r="D15" s="10">
        <v>4.0890199999999997</v>
      </c>
      <c r="E15" s="9">
        <f>SUM(D15/C15*100)</f>
        <v>4.6466136363636359</v>
      </c>
      <c r="F15" s="9">
        <f>SUM(D15-C14)</f>
        <v>-543.91098</v>
      </c>
    </row>
    <row r="16" spans="1:6" ht="15.75" customHeight="1">
      <c r="A16" s="7">
        <v>1060600000</v>
      </c>
      <c r="B16" s="11" t="s">
        <v>7</v>
      </c>
      <c r="C16" s="9">
        <v>460</v>
      </c>
      <c r="D16" s="10">
        <v>55.857779999999998</v>
      </c>
      <c r="E16" s="9">
        <f t="shared" si="0"/>
        <v>12.142995652173912</v>
      </c>
      <c r="F16" s="9">
        <f t="shared" si="1"/>
        <v>-404.14222000000001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1.95</v>
      </c>
      <c r="E17" s="5">
        <f t="shared" si="0"/>
        <v>19.5</v>
      </c>
      <c r="F17" s="5">
        <f t="shared" si="1"/>
        <v>-8.0500000000000007</v>
      </c>
    </row>
    <row r="18" spans="1:6" ht="18.75" customHeight="1">
      <c r="A18" s="7">
        <v>1080400001</v>
      </c>
      <c r="B18" s="8" t="s">
        <v>227</v>
      </c>
      <c r="C18" s="9">
        <v>10</v>
      </c>
      <c r="D18" s="10">
        <v>1.95</v>
      </c>
      <c r="E18" s="9">
        <f t="shared" si="0"/>
        <v>19.5</v>
      </c>
      <c r="F18" s="9">
        <f t="shared" si="1"/>
        <v>-8.0500000000000007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0.75" hidden="1" customHeight="1">
      <c r="A20" s="68">
        <v>1090000000</v>
      </c>
      <c r="B20" s="69" t="s">
        <v>230</v>
      </c>
      <c r="C20" s="5">
        <f>C21+C22+C23+C24</f>
        <v>0</v>
      </c>
      <c r="D20" s="5">
        <f>D22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6.5" hidden="1" customHeight="1">
      <c r="A22" s="7">
        <v>1090400000</v>
      </c>
      <c r="B22" s="8" t="s">
        <v>232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0.7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C26+C29+C31+C37+C34</f>
        <v>55</v>
      </c>
      <c r="D25" s="5">
        <f>D26+D29+D31+D37-D34</f>
        <v>62.545400000000001</v>
      </c>
      <c r="E25" s="5">
        <f t="shared" si="0"/>
        <v>113.71890909090909</v>
      </c>
      <c r="F25" s="5">
        <f t="shared" si="1"/>
        <v>7.5454000000000008</v>
      </c>
    </row>
    <row r="26" spans="1:6" s="6" customFormat="1" ht="15.75" customHeight="1">
      <c r="A26" s="68">
        <v>1110000000</v>
      </c>
      <c r="B26" s="69" t="s">
        <v>128</v>
      </c>
      <c r="C26" s="5">
        <f>C27+C28</f>
        <v>55</v>
      </c>
      <c r="D26" s="5">
        <f>D27+D28</f>
        <v>43.258000000000003</v>
      </c>
      <c r="E26" s="5">
        <f t="shared" si="0"/>
        <v>78.650909090909096</v>
      </c>
      <c r="F26" s="5">
        <f t="shared" si="1"/>
        <v>-11.741999999999997</v>
      </c>
    </row>
    <row r="27" spans="1:6" ht="15.75" customHeight="1">
      <c r="A27" s="16">
        <v>1110502510</v>
      </c>
      <c r="B27" s="17" t="s">
        <v>225</v>
      </c>
      <c r="C27" s="12">
        <v>55</v>
      </c>
      <c r="D27" s="10">
        <v>43.258000000000003</v>
      </c>
      <c r="E27" s="9">
        <f t="shared" si="0"/>
        <v>78.650909090909096</v>
      </c>
      <c r="F27" s="9">
        <f t="shared" si="1"/>
        <v>-11.741999999999997</v>
      </c>
    </row>
    <row r="28" spans="1:6" ht="17.25" customHeight="1">
      <c r="A28" s="7">
        <v>1110503505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>
      <c r="A29" s="68">
        <v>1130000000</v>
      </c>
      <c r="B29" s="69" t="s">
        <v>130</v>
      </c>
      <c r="C29" s="5">
        <f>C30</f>
        <v>0</v>
      </c>
      <c r="D29" s="5">
        <f>D30</f>
        <v>19.287400000000002</v>
      </c>
      <c r="E29" s="5" t="e">
        <f t="shared" si="0"/>
        <v>#DIV/0!</v>
      </c>
      <c r="F29" s="5">
        <f t="shared" si="1"/>
        <v>19.287400000000002</v>
      </c>
    </row>
    <row r="30" spans="1:6" ht="17.25" customHeight="1">
      <c r="A30" s="7">
        <v>1130206005</v>
      </c>
      <c r="B30" s="8" t="s">
        <v>223</v>
      </c>
      <c r="C30" s="9">
        <v>0</v>
      </c>
      <c r="D30" s="10">
        <v>19.287400000000002</v>
      </c>
      <c r="E30" s="9" t="e">
        <f t="shared" si="0"/>
        <v>#DIV/0!</v>
      </c>
      <c r="F30" s="9">
        <f t="shared" si="1"/>
        <v>19.287400000000002</v>
      </c>
    </row>
    <row r="31" spans="1:6" ht="22.5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7.25" hidden="1" customHeight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3">
        <v>1160000000</v>
      </c>
      <c r="B34" s="13" t="s">
        <v>251</v>
      </c>
      <c r="C34" s="14">
        <f>C35</f>
        <v>0</v>
      </c>
      <c r="D34" s="14">
        <f>D35+D36</f>
        <v>0</v>
      </c>
      <c r="E34" s="14" t="e">
        <f>E35</f>
        <v>#DIV/0!</v>
      </c>
      <c r="F34" s="14">
        <f>F35</f>
        <v>0</v>
      </c>
    </row>
    <row r="35" spans="1:7" ht="47.25" hidden="1">
      <c r="A35" s="7">
        <v>1163305010</v>
      </c>
      <c r="B35" s="8" t="s">
        <v>267</v>
      </c>
      <c r="C35" s="9">
        <v>0</v>
      </c>
      <c r="D35" s="10">
        <v>0</v>
      </c>
      <c r="E35" s="10" t="e">
        <f>E37</f>
        <v>#DIV/0!</v>
      </c>
      <c r="F35" s="10">
        <f>F37</f>
        <v>0</v>
      </c>
    </row>
    <row r="36" spans="1:7" ht="47.25" hidden="1">
      <c r="A36" s="7">
        <v>1169005010</v>
      </c>
      <c r="B36" s="8" t="s">
        <v>342</v>
      </c>
      <c r="C36" s="9">
        <v>0</v>
      </c>
      <c r="D36" s="10">
        <v>0</v>
      </c>
      <c r="E36" s="10" t="e">
        <f>E38</f>
        <v>#DIV/0!</v>
      </c>
      <c r="F36" s="10">
        <f>F38</f>
        <v>0</v>
      </c>
    </row>
    <row r="37" spans="1:7">
      <c r="A37" s="3">
        <v>1170000000</v>
      </c>
      <c r="B37" s="13" t="s">
        <v>134</v>
      </c>
      <c r="C37" s="5">
        <f>C38+C39</f>
        <v>0</v>
      </c>
      <c r="D37" s="5">
        <f>D38+D39</f>
        <v>0</v>
      </c>
      <c r="E37" s="9" t="e">
        <f t="shared" si="0"/>
        <v>#DIV/0!</v>
      </c>
      <c r="F37" s="5">
        <f t="shared" si="1"/>
        <v>0</v>
      </c>
    </row>
    <row r="38" spans="1:7">
      <c r="A38" s="7">
        <v>1170105005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220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18</v>
      </c>
      <c r="C40" s="127">
        <f>SUM(C4,C25)</f>
        <v>1081.2959999999998</v>
      </c>
      <c r="D40" s="127">
        <f>D4+D25</f>
        <v>391.03350999999998</v>
      </c>
      <c r="E40" s="5">
        <f t="shared" si="0"/>
        <v>36.163410389014665</v>
      </c>
      <c r="F40" s="5">
        <f t="shared" si="1"/>
        <v>-690.26248999999984</v>
      </c>
    </row>
    <row r="41" spans="1:7" s="6" customFormat="1">
      <c r="A41" s="3">
        <v>2000000000</v>
      </c>
      <c r="B41" s="4" t="s">
        <v>19</v>
      </c>
      <c r="C41" s="5">
        <f>C42+C44+C45+C46+C47+C48+C43+C50</f>
        <v>5027.6190999999999</v>
      </c>
      <c r="D41" s="5">
        <f>D42+D44+D45+D46+D47+D48+D43+D50</f>
        <v>2048.732</v>
      </c>
      <c r="E41" s="5">
        <f t="shared" si="0"/>
        <v>40.749546838184301</v>
      </c>
      <c r="F41" s="5">
        <f t="shared" si="1"/>
        <v>-2978.8870999999999</v>
      </c>
      <c r="G41" s="19"/>
    </row>
    <row r="42" spans="1:7" ht="16.5" customHeight="1">
      <c r="A42" s="16">
        <v>2021000000</v>
      </c>
      <c r="B42" s="17" t="s">
        <v>20</v>
      </c>
      <c r="C42" s="12">
        <v>1969.9</v>
      </c>
      <c r="D42" s="12">
        <v>820.79</v>
      </c>
      <c r="E42" s="9">
        <f t="shared" si="0"/>
        <v>41.666582060003044</v>
      </c>
      <c r="F42" s="9">
        <f t="shared" si="1"/>
        <v>-1149.1100000000001</v>
      </c>
    </row>
    <row r="43" spans="1:7" ht="17.25" customHeight="1">
      <c r="A43" s="16">
        <v>2021500200</v>
      </c>
      <c r="B43" s="17" t="s">
        <v>231</v>
      </c>
      <c r="C43" s="12">
        <v>685</v>
      </c>
      <c r="D43" s="20">
        <v>650</v>
      </c>
      <c r="E43" s="9">
        <f t="shared" si="0"/>
        <v>94.890510948905103</v>
      </c>
      <c r="F43" s="9">
        <f t="shared" si="1"/>
        <v>-35</v>
      </c>
    </row>
    <row r="44" spans="1:7">
      <c r="A44" s="16">
        <v>2022000000</v>
      </c>
      <c r="B44" s="17" t="s">
        <v>21</v>
      </c>
      <c r="C44" s="12">
        <v>1825.30438</v>
      </c>
      <c r="D44" s="10">
        <v>211.2</v>
      </c>
      <c r="E44" s="9">
        <f>SUM(D44/C44*100)</f>
        <v>11.570672941682197</v>
      </c>
      <c r="F44" s="9">
        <f t="shared" si="1"/>
        <v>-1614.10438</v>
      </c>
    </row>
    <row r="45" spans="1:7" ht="17.25" customHeight="1">
      <c r="A45" s="16">
        <v>2023000000</v>
      </c>
      <c r="B45" s="17" t="s">
        <v>22</v>
      </c>
      <c r="C45" s="12">
        <v>92.710999999999999</v>
      </c>
      <c r="D45" s="248">
        <v>37.301000000000002</v>
      </c>
      <c r="E45" s="9">
        <f t="shared" si="0"/>
        <v>40.233629234934369</v>
      </c>
      <c r="F45" s="9">
        <f t="shared" si="1"/>
        <v>-55.41</v>
      </c>
    </row>
    <row r="46" spans="1:7" ht="18" customHeight="1">
      <c r="A46" s="16">
        <v>2020400000</v>
      </c>
      <c r="B46" s="17" t="s">
        <v>23</v>
      </c>
      <c r="C46" s="12">
        <v>125.26285</v>
      </c>
      <c r="D46" s="249">
        <v>0</v>
      </c>
      <c r="E46" s="9">
        <f t="shared" si="0"/>
        <v>0</v>
      </c>
      <c r="F46" s="9">
        <f t="shared" si="1"/>
        <v>-125.26285</v>
      </c>
    </row>
    <row r="47" spans="1:7" ht="18" hidden="1" customHeight="1">
      <c r="A47" s="16">
        <v>2020900000</v>
      </c>
      <c r="B47" s="18" t="s">
        <v>24</v>
      </c>
      <c r="C47" s="12"/>
      <c r="D47" s="249"/>
      <c r="E47" s="9" t="e">
        <f t="shared" si="0"/>
        <v>#DIV/0!</v>
      </c>
      <c r="F47" s="9">
        <f t="shared" si="1"/>
        <v>0</v>
      </c>
    </row>
    <row r="48" spans="1:7" ht="20.25" hidden="1" customHeight="1">
      <c r="A48" s="7">
        <v>2190500005</v>
      </c>
      <c r="B48" s="11" t="s">
        <v>25</v>
      </c>
      <c r="C48" s="14"/>
      <c r="D48" s="14"/>
      <c r="E48" s="5"/>
      <c r="F48" s="5">
        <f>SUM(D48-C48)</f>
        <v>0</v>
      </c>
    </row>
    <row r="49" spans="1:8" s="6" customFormat="1" ht="21.75" hidden="1" customHeight="1">
      <c r="A49" s="3">
        <v>3000000000</v>
      </c>
      <c r="B49" s="13" t="s">
        <v>26</v>
      </c>
      <c r="C49" s="27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34.5" customHeight="1">
      <c r="A50" s="7">
        <v>2070500010</v>
      </c>
      <c r="B50" s="8" t="s">
        <v>352</v>
      </c>
      <c r="C50" s="12">
        <v>329.44087000000002</v>
      </c>
      <c r="D50" s="10">
        <v>329.44099999999997</v>
      </c>
      <c r="E50" s="9">
        <f t="shared" si="0"/>
        <v>100.00003946079912</v>
      </c>
      <c r="F50" s="9">
        <f t="shared" si="1"/>
        <v>1.2999999995599865E-4</v>
      </c>
    </row>
    <row r="51" spans="1:8" s="6" customFormat="1" ht="19.5" customHeight="1">
      <c r="A51" s="3"/>
      <c r="B51" s="4" t="s">
        <v>27</v>
      </c>
      <c r="C51" s="93">
        <f>C40+C41</f>
        <v>6108.9151000000002</v>
      </c>
      <c r="D51" s="425">
        <f>D40+D41</f>
        <v>2439.7655100000002</v>
      </c>
      <c r="E51" s="93">
        <f t="shared" si="0"/>
        <v>39.937787153074041</v>
      </c>
      <c r="F51" s="93">
        <f t="shared" si="1"/>
        <v>-3669.14959</v>
      </c>
      <c r="G51" s="290">
        <f>5983.9151-C51</f>
        <v>-125</v>
      </c>
      <c r="H51" s="290">
        <f>1166.88463-D51</f>
        <v>-1272.8808800000002</v>
      </c>
    </row>
    <row r="52" spans="1:8" s="6" customFormat="1">
      <c r="A52" s="3"/>
      <c r="B52" s="21" t="s">
        <v>320</v>
      </c>
      <c r="C52" s="93">
        <f>C51-C98</f>
        <v>-170.08352000000014</v>
      </c>
      <c r="D52" s="93">
        <f>D51-D98</f>
        <v>461.1739</v>
      </c>
      <c r="E52" s="22"/>
      <c r="F52" s="22"/>
    </row>
    <row r="53" spans="1:8">
      <c r="A53" s="23"/>
      <c r="B53" s="24"/>
      <c r="C53" s="247"/>
      <c r="D53" s="247"/>
      <c r="E53" s="26"/>
      <c r="F53" s="27"/>
    </row>
    <row r="54" spans="1:8" ht="46.5" customHeight="1">
      <c r="A54" s="28" t="s">
        <v>0</v>
      </c>
      <c r="B54" s="28" t="s">
        <v>28</v>
      </c>
      <c r="C54" s="240" t="s">
        <v>411</v>
      </c>
      <c r="D54" s="241" t="s">
        <v>419</v>
      </c>
      <c r="E54" s="72" t="s">
        <v>2</v>
      </c>
      <c r="F54" s="74" t="s">
        <v>3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29.25" customHeight="1">
      <c r="A56" s="30" t="s">
        <v>29</v>
      </c>
      <c r="B56" s="31" t="s">
        <v>30</v>
      </c>
      <c r="C56" s="243">
        <f>C57+C58+C59+C60+C61+C63+C62</f>
        <v>1308.2380000000001</v>
      </c>
      <c r="D56" s="33">
        <f>D57+D58+D59+D60+D61+D63+D62</f>
        <v>473.23124999999999</v>
      </c>
      <c r="E56" s="34">
        <f>SUM(D56/C56*100)</f>
        <v>36.173177204759376</v>
      </c>
      <c r="F56" s="34">
        <f>SUM(D56-C56)</f>
        <v>-835.00675000000001</v>
      </c>
    </row>
    <row r="57" spans="1:8" s="6" customFormat="1" ht="31.5" hidden="1">
      <c r="A57" s="35" t="s">
        <v>31</v>
      </c>
      <c r="B57" s="36" t="s">
        <v>32</v>
      </c>
      <c r="C57" s="37"/>
      <c r="D57" s="136"/>
      <c r="E57" s="38"/>
      <c r="F57" s="38"/>
    </row>
    <row r="58" spans="1:8" ht="18.75" customHeight="1">
      <c r="A58" s="35" t="s">
        <v>33</v>
      </c>
      <c r="B58" s="39" t="s">
        <v>34</v>
      </c>
      <c r="C58" s="37">
        <v>1280</v>
      </c>
      <c r="D58" s="37">
        <v>469.99324999999999</v>
      </c>
      <c r="E58" s="38">
        <f t="shared" ref="E58:E98" si="3">SUM(D58/C58*100)</f>
        <v>36.718222656249999</v>
      </c>
      <c r="F58" s="38">
        <f t="shared" ref="F58:F98" si="4">SUM(D58-C58)</f>
        <v>-810.00675000000001</v>
      </c>
    </row>
    <row r="59" spans="1:8" ht="16.5" hidden="1" customHeight="1">
      <c r="A59" s="35" t="s">
        <v>35</v>
      </c>
      <c r="B59" s="39" t="s">
        <v>36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37</v>
      </c>
      <c r="B60" s="39" t="s">
        <v>38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5" hidden="1" customHeight="1">
      <c r="A61" s="35" t="s">
        <v>39</v>
      </c>
      <c r="B61" s="39" t="s">
        <v>40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41</v>
      </c>
      <c r="B62" s="39" t="s">
        <v>42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8" customHeight="1">
      <c r="A63" s="35" t="s">
        <v>43</v>
      </c>
      <c r="B63" s="39" t="s">
        <v>44</v>
      </c>
      <c r="C63" s="37">
        <v>23.238</v>
      </c>
      <c r="D63" s="37">
        <v>3.238</v>
      </c>
      <c r="E63" s="38">
        <f t="shared" si="3"/>
        <v>13.934073500301231</v>
      </c>
      <c r="F63" s="38">
        <f t="shared" si="4"/>
        <v>-20</v>
      </c>
    </row>
    <row r="64" spans="1:8" s="6" customFormat="1">
      <c r="A64" s="41" t="s">
        <v>45</v>
      </c>
      <c r="B64" s="42" t="s">
        <v>46</v>
      </c>
      <c r="C64" s="32">
        <f>C65</f>
        <v>89.945999999999998</v>
      </c>
      <c r="D64" s="32">
        <f>D65</f>
        <v>31.889119999999998</v>
      </c>
      <c r="E64" s="34">
        <f t="shared" si="3"/>
        <v>35.453627732194867</v>
      </c>
      <c r="F64" s="34">
        <f t="shared" si="4"/>
        <v>-58.05688</v>
      </c>
    </row>
    <row r="65" spans="1:7">
      <c r="A65" s="43" t="s">
        <v>47</v>
      </c>
      <c r="B65" s="44" t="s">
        <v>48</v>
      </c>
      <c r="C65" s="37">
        <v>89.945999999999998</v>
      </c>
      <c r="D65" s="37">
        <v>31.889119999999998</v>
      </c>
      <c r="E65" s="38">
        <f t="shared" si="3"/>
        <v>35.453627732194867</v>
      </c>
      <c r="F65" s="38">
        <f t="shared" si="4"/>
        <v>-58.05688</v>
      </c>
    </row>
    <row r="66" spans="1:7" s="6" customFormat="1" ht="18.75" customHeight="1">
      <c r="A66" s="30" t="s">
        <v>49</v>
      </c>
      <c r="B66" s="31" t="s">
        <v>50</v>
      </c>
      <c r="C66" s="32">
        <f>C69+C70+C71</f>
        <v>6.8</v>
      </c>
      <c r="D66" s="32">
        <f>D69+D70</f>
        <v>0.6</v>
      </c>
      <c r="E66" s="34">
        <f t="shared" si="3"/>
        <v>8.8235294117647065</v>
      </c>
      <c r="F66" s="34">
        <f t="shared" si="4"/>
        <v>-6.2</v>
      </c>
    </row>
    <row r="67" spans="1:7" hidden="1">
      <c r="A67" s="3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53</v>
      </c>
      <c r="B68" s="39" t="s">
        <v>54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55</v>
      </c>
      <c r="B69" s="47" t="s">
        <v>56</v>
      </c>
      <c r="C69" s="97">
        <v>2.4</v>
      </c>
      <c r="D69" s="37">
        <v>0</v>
      </c>
      <c r="E69" s="38">
        <f t="shared" si="3"/>
        <v>0</v>
      </c>
      <c r="F69" s="38">
        <f t="shared" si="4"/>
        <v>-2.4</v>
      </c>
    </row>
    <row r="70" spans="1:7" ht="15.75" customHeight="1">
      <c r="A70" s="46" t="s">
        <v>218</v>
      </c>
      <c r="B70" s="47" t="s">
        <v>219</v>
      </c>
      <c r="C70" s="37">
        <v>2.4</v>
      </c>
      <c r="D70" s="37">
        <v>0.6</v>
      </c>
      <c r="E70" s="38">
        <f t="shared" si="3"/>
        <v>25</v>
      </c>
      <c r="F70" s="38">
        <f t="shared" si="4"/>
        <v>-1.7999999999999998</v>
      </c>
    </row>
    <row r="71" spans="1:7" ht="15.75" customHeight="1">
      <c r="A71" s="46" t="s">
        <v>357</v>
      </c>
      <c r="B71" s="47" t="s">
        <v>414</v>
      </c>
      <c r="C71" s="37">
        <v>2</v>
      </c>
      <c r="D71" s="37">
        <v>0</v>
      </c>
      <c r="E71" s="38">
        <f>SUM(D71/C71*100)</f>
        <v>0</v>
      </c>
      <c r="F71" s="38">
        <f>SUM(D71-C71)</f>
        <v>-2</v>
      </c>
    </row>
    <row r="72" spans="1:7" s="6" customFormat="1" ht="16.5" customHeight="1">
      <c r="A72" s="30" t="s">
        <v>57</v>
      </c>
      <c r="B72" s="31" t="s">
        <v>58</v>
      </c>
      <c r="C72" s="48">
        <f>SUM(C73:C76)</f>
        <v>2534.8808400000003</v>
      </c>
      <c r="D72" s="48">
        <f>SUM(D73:D76)</f>
        <v>342.37101999999999</v>
      </c>
      <c r="E72" s="34">
        <f t="shared" si="3"/>
        <v>13.506395038277223</v>
      </c>
      <c r="F72" s="34">
        <f t="shared" si="4"/>
        <v>-2192.5098200000002</v>
      </c>
    </row>
    <row r="73" spans="1:7" ht="15.75" customHeight="1">
      <c r="A73" s="35" t="s">
        <v>59</v>
      </c>
      <c r="B73" s="39" t="s">
        <v>60</v>
      </c>
      <c r="C73" s="49">
        <v>6.7024999999999997</v>
      </c>
      <c r="D73" s="37">
        <v>0</v>
      </c>
      <c r="E73" s="38">
        <f t="shared" si="3"/>
        <v>0</v>
      </c>
      <c r="F73" s="38">
        <f t="shared" si="4"/>
        <v>-6.7024999999999997</v>
      </c>
    </row>
    <row r="74" spans="1:7" s="6" customFormat="1" ht="19.5" customHeight="1">
      <c r="A74" s="35" t="s">
        <v>61</v>
      </c>
      <c r="B74" s="39" t="s">
        <v>62</v>
      </c>
      <c r="C74" s="49">
        <v>88.75</v>
      </c>
      <c r="D74" s="37">
        <v>66.504019999999997</v>
      </c>
      <c r="E74" s="38">
        <f t="shared" si="3"/>
        <v>74.934107042253515</v>
      </c>
      <c r="F74" s="38">
        <f t="shared" si="4"/>
        <v>-22.245980000000003</v>
      </c>
      <c r="G74" s="50"/>
    </row>
    <row r="75" spans="1:7">
      <c r="A75" s="35" t="s">
        <v>63</v>
      </c>
      <c r="B75" s="39" t="s">
        <v>64</v>
      </c>
      <c r="C75" s="49">
        <v>2388.3583400000002</v>
      </c>
      <c r="D75" s="37">
        <v>240</v>
      </c>
      <c r="E75" s="38">
        <f t="shared" si="3"/>
        <v>10.04874335565575</v>
      </c>
      <c r="F75" s="38">
        <f t="shared" si="4"/>
        <v>-2148.3583400000002</v>
      </c>
    </row>
    <row r="76" spans="1:7" ht="16.5" customHeight="1">
      <c r="A76" s="35" t="s">
        <v>65</v>
      </c>
      <c r="B76" s="39" t="s">
        <v>66</v>
      </c>
      <c r="C76" s="49">
        <v>51.07</v>
      </c>
      <c r="D76" s="37">
        <v>35.866999999999997</v>
      </c>
      <c r="E76" s="38">
        <f t="shared" si="3"/>
        <v>70.231055414137458</v>
      </c>
      <c r="F76" s="38">
        <f t="shared" si="4"/>
        <v>-15.203000000000003</v>
      </c>
    </row>
    <row r="77" spans="1:7" s="6" customFormat="1" ht="19.5" customHeight="1">
      <c r="A77" s="30" t="s">
        <v>67</v>
      </c>
      <c r="B77" s="31" t="s">
        <v>68</v>
      </c>
      <c r="C77" s="32">
        <f>SUM(C78:C80)</f>
        <v>687.73378000000002</v>
      </c>
      <c r="D77" s="32">
        <f>SUM(D78:D80)</f>
        <v>74.093999999999994</v>
      </c>
      <c r="E77" s="34">
        <f t="shared" si="3"/>
        <v>10.773645581288735</v>
      </c>
      <c r="F77" s="34">
        <f t="shared" si="4"/>
        <v>-613.63977999999997</v>
      </c>
    </row>
    <row r="78" spans="1:7" ht="18" hidden="1" customHeight="1">
      <c r="A78" s="35" t="s">
        <v>69</v>
      </c>
      <c r="B78" s="51" t="s">
        <v>70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8" hidden="1" customHeight="1">
      <c r="A79" s="35" t="s">
        <v>71</v>
      </c>
      <c r="B79" s="51" t="s">
        <v>72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>
      <c r="A80" s="35" t="s">
        <v>73</v>
      </c>
      <c r="B80" s="39" t="s">
        <v>74</v>
      </c>
      <c r="C80" s="37">
        <v>687.73378000000002</v>
      </c>
      <c r="D80" s="37">
        <v>74.093999999999994</v>
      </c>
      <c r="E80" s="38">
        <f t="shared" si="3"/>
        <v>10.773645581288735</v>
      </c>
      <c r="F80" s="38">
        <f t="shared" si="4"/>
        <v>-613.63977999999997</v>
      </c>
    </row>
    <row r="81" spans="1:7" s="6" customFormat="1">
      <c r="A81" s="30" t="s">
        <v>85</v>
      </c>
      <c r="B81" s="31" t="s">
        <v>86</v>
      </c>
      <c r="C81" s="32">
        <f>C82</f>
        <v>1615.4</v>
      </c>
      <c r="D81" s="32">
        <f>SUM(D82)</f>
        <v>1055.4062200000001</v>
      </c>
      <c r="E81" s="34">
        <f t="shared" si="3"/>
        <v>65.334048532871108</v>
      </c>
      <c r="F81" s="34">
        <f t="shared" si="4"/>
        <v>-559.99378000000002</v>
      </c>
    </row>
    <row r="82" spans="1:7" ht="17.25" customHeight="1">
      <c r="A82" s="35" t="s">
        <v>87</v>
      </c>
      <c r="B82" s="39" t="s">
        <v>233</v>
      </c>
      <c r="C82" s="37">
        <v>1615.4</v>
      </c>
      <c r="D82" s="37">
        <v>1055.4062200000001</v>
      </c>
      <c r="E82" s="38">
        <f t="shared" si="3"/>
        <v>65.334048532871108</v>
      </c>
      <c r="F82" s="38">
        <f t="shared" si="4"/>
        <v>-559.99378000000002</v>
      </c>
    </row>
    <row r="83" spans="1:7" s="6" customFormat="1" ht="21.75" hidden="1" customHeight="1">
      <c r="A83" s="52">
        <v>1000</v>
      </c>
      <c r="B83" s="31" t="s">
        <v>88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7" ht="18" hidden="1" customHeight="1">
      <c r="A84" s="53">
        <v>1001</v>
      </c>
      <c r="B84" s="54" t="s">
        <v>89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7" ht="17.25" hidden="1" customHeight="1">
      <c r="A85" s="53">
        <v>1003</v>
      </c>
      <c r="B85" s="54" t="s">
        <v>90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7" ht="23.25" hidden="1" customHeight="1">
      <c r="A86" s="53">
        <v>1004</v>
      </c>
      <c r="B86" s="54" t="s">
        <v>91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7" ht="17.25" hidden="1" customHeight="1">
      <c r="A87" s="35" t="s">
        <v>92</v>
      </c>
      <c r="B87" s="39" t="s">
        <v>93</v>
      </c>
      <c r="C87" s="37">
        <v>0</v>
      </c>
      <c r="D87" s="37">
        <v>0</v>
      </c>
      <c r="E87" s="38"/>
      <c r="F87" s="38">
        <f t="shared" si="4"/>
        <v>0</v>
      </c>
    </row>
    <row r="88" spans="1:7">
      <c r="A88" s="30" t="s">
        <v>94</v>
      </c>
      <c r="B88" s="31" t="s">
        <v>95</v>
      </c>
      <c r="C88" s="32">
        <f>C89+C90+C91+C92+C93</f>
        <v>36</v>
      </c>
      <c r="D88" s="32">
        <f>D89</f>
        <v>1</v>
      </c>
      <c r="E88" s="38">
        <f t="shared" si="3"/>
        <v>2.7777777777777777</v>
      </c>
      <c r="F88" s="22">
        <f>F89+F90+F91+F92+F93</f>
        <v>-35</v>
      </c>
    </row>
    <row r="89" spans="1:7" ht="19.5" customHeight="1">
      <c r="A89" s="35" t="s">
        <v>96</v>
      </c>
      <c r="B89" s="39" t="s">
        <v>97</v>
      </c>
      <c r="C89" s="37">
        <v>36</v>
      </c>
      <c r="D89" s="37">
        <v>1</v>
      </c>
      <c r="E89" s="38">
        <f t="shared" si="3"/>
        <v>2.7777777777777777</v>
      </c>
      <c r="F89" s="38">
        <f>SUM(D89-C89)</f>
        <v>-35</v>
      </c>
      <c r="G89" s="352"/>
    </row>
    <row r="90" spans="1:7" ht="15.75" hidden="1" customHeight="1">
      <c r="A90" s="35" t="s">
        <v>98</v>
      </c>
      <c r="B90" s="39" t="s">
        <v>99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7" ht="15.75" hidden="1" customHeight="1">
      <c r="A91" s="35" t="s">
        <v>100</v>
      </c>
      <c r="B91" s="39" t="s">
        <v>101</v>
      </c>
      <c r="C91" s="37"/>
      <c r="D91" s="37" t="s">
        <v>338</v>
      </c>
      <c r="E91" s="38" t="e">
        <f t="shared" si="3"/>
        <v>#VALUE!</v>
      </c>
      <c r="F91" s="38"/>
    </row>
    <row r="92" spans="1:7" ht="15.75" hidden="1" customHeight="1">
      <c r="A92" s="35" t="s">
        <v>102</v>
      </c>
      <c r="B92" s="39" t="s">
        <v>103</v>
      </c>
      <c r="C92" s="37"/>
      <c r="D92" s="37"/>
      <c r="E92" s="38" t="e">
        <f t="shared" si="3"/>
        <v>#DIV/0!</v>
      </c>
      <c r="F92" s="38"/>
    </row>
    <row r="93" spans="1:7" ht="15.75" hidden="1" customHeight="1">
      <c r="A93" s="35" t="s">
        <v>104</v>
      </c>
      <c r="B93" s="39" t="s">
        <v>105</v>
      </c>
      <c r="C93" s="37"/>
      <c r="D93" s="37"/>
      <c r="E93" s="38" t="e">
        <f t="shared" si="3"/>
        <v>#DIV/0!</v>
      </c>
      <c r="F93" s="38"/>
    </row>
    <row r="94" spans="1:7" s="6" customFormat="1" ht="15.75" hidden="1" customHeight="1">
      <c r="A94" s="52">
        <v>1400</v>
      </c>
      <c r="B94" s="56" t="s">
        <v>114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7" ht="15.75" hidden="1" customHeight="1">
      <c r="A95" s="53">
        <v>1401</v>
      </c>
      <c r="B95" s="54" t="s">
        <v>115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7" ht="15.75" hidden="1" customHeight="1">
      <c r="A96" s="53">
        <v>1402</v>
      </c>
      <c r="B96" s="54" t="s">
        <v>116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5.75" hidden="1" customHeight="1">
      <c r="A97" s="53">
        <v>1403</v>
      </c>
      <c r="B97" s="54" t="s">
        <v>117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8" s="6" customFormat="1" ht="15.75" customHeight="1">
      <c r="A98" s="52"/>
      <c r="B98" s="57" t="s">
        <v>118</v>
      </c>
      <c r="C98" s="467">
        <f>C56+C64+C66+C72+C77+C81+C83+C88+C94</f>
        <v>6278.9986200000003</v>
      </c>
      <c r="D98" s="428">
        <f>D56+D64+D66+D72+D77+D81+D83+D88+D94</f>
        <v>1978.5916100000002</v>
      </c>
      <c r="E98" s="34">
        <f t="shared" si="3"/>
        <v>31.511260469109644</v>
      </c>
      <c r="F98" s="34">
        <f t="shared" si="4"/>
        <v>-4300.4070099999999</v>
      </c>
      <c r="G98" s="290">
        <f>6153.99862-C98</f>
        <v>-125</v>
      </c>
      <c r="H98" s="290">
        <f>850.38803-D98</f>
        <v>-1128.2035800000003</v>
      </c>
    </row>
    <row r="99" spans="1:8">
      <c r="C99" s="126"/>
      <c r="D99" s="101"/>
    </row>
    <row r="100" spans="1:8" s="65" customFormat="1" ht="16.5" customHeight="1">
      <c r="A100" s="63" t="s">
        <v>119</v>
      </c>
      <c r="B100" s="63"/>
      <c r="C100" s="246"/>
      <c r="D100" s="246"/>
      <c r="E100" s="361"/>
    </row>
    <row r="101" spans="1:8" s="65" customFormat="1" ht="20.25" customHeight="1">
      <c r="A101" s="66" t="s">
        <v>120</v>
      </c>
      <c r="B101" s="66"/>
      <c r="C101" s="65" t="s">
        <v>121</v>
      </c>
    </row>
    <row r="102" spans="1:8" ht="13.5" customHeight="1">
      <c r="C102" s="120"/>
    </row>
    <row r="104" spans="1:8" ht="5.25" customHeight="1"/>
    <row r="142" hidden="1"/>
  </sheetData>
  <customSheetViews>
    <customSheetView guid="{61528DAC-5C4C-48F4-ADE2-8A724B05A086}" scale="70" showPageBreaks="1" hiddenRows="1" view="pageBreakPreview" topLeftCell="A40">
      <selection activeCell="C74" sqref="C74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2"/>
    </customSheetView>
    <customSheetView guid="{1A52382B-3765-4E8C-903F-6B8919B7242E}" scale="70" showPageBreaks="1" printArea="1" hiddenRows="1" view="pageBreakPreview" topLeftCell="A22">
      <selection activeCell="C51" sqref="C51:D52"/>
      <pageMargins left="0.7" right="0.7" top="0.75" bottom="0.75" header="0.3" footer="0.3"/>
      <pageSetup paperSize="9" scale="52" orientation="portrait" r:id="rId3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5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6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B31C8DB7-3E78-4144-A6B5-8DE36DE63F0E}" hiddenRows="1" topLeftCell="A50">
      <selection activeCell="B100" sqref="B100"/>
      <pageMargins left="0.7" right="0.7" top="0.75" bottom="0.75" header="0.3" footer="0.3"/>
      <pageSetup paperSize="9" scale="52" orientation="portrait" r:id="rId8"/>
    </customSheetView>
    <customSheetView guid="{B30CE22D-C12F-4E12-8BB9-3AAE0A6991CC}" scale="70" showPageBreaks="1" printArea="1" hiddenRows="1" view="pageBreakPreview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42"/>
  <sheetViews>
    <sheetView tabSelected="1" view="pageBreakPreview" topLeftCell="A43" zoomScale="70" zoomScaleSheetLayoutView="70" workbookViewId="0">
      <selection activeCell="E48" sqref="E48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6" t="s">
        <v>435</v>
      </c>
      <c r="B1" s="526"/>
      <c r="C1" s="526"/>
      <c r="D1" s="526"/>
      <c r="E1" s="526"/>
      <c r="F1" s="526"/>
    </row>
    <row r="2" spans="1:6">
      <c r="A2" s="525"/>
      <c r="B2" s="525"/>
      <c r="C2" s="525"/>
      <c r="D2" s="525"/>
      <c r="E2" s="525"/>
      <c r="F2" s="525"/>
    </row>
    <row r="3" spans="1:6" ht="63">
      <c r="A3" s="2" t="s">
        <v>0</v>
      </c>
      <c r="B3" s="2" t="s">
        <v>1</v>
      </c>
      <c r="C3" s="72" t="s">
        <v>411</v>
      </c>
      <c r="D3" s="73" t="s">
        <v>422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724.452</v>
      </c>
      <c r="D4" s="5">
        <f>D5+D12+D14+D17+D7</f>
        <v>241.24406000000002</v>
      </c>
      <c r="E4" s="5">
        <f>SUM(D4/C4*100)</f>
        <v>33.300213126611567</v>
      </c>
      <c r="F4" s="5">
        <f>SUM(D4-C4)</f>
        <v>-483.20794000000001</v>
      </c>
    </row>
    <row r="5" spans="1:6" s="6" customFormat="1">
      <c r="A5" s="68">
        <v>1010000000</v>
      </c>
      <c r="B5" s="67" t="s">
        <v>5</v>
      </c>
      <c r="C5" s="5">
        <f>C6</f>
        <v>37.046999999999997</v>
      </c>
      <c r="D5" s="5">
        <f>D6</f>
        <v>16.734770000000001</v>
      </c>
      <c r="E5" s="5">
        <f t="shared" ref="E5:E51" si="0">SUM(D5/C5*100)</f>
        <v>45.171727805220399</v>
      </c>
      <c r="F5" s="5">
        <f t="shared" ref="F5:F51" si="1">SUM(D5-C5)</f>
        <v>-20.312229999999996</v>
      </c>
    </row>
    <row r="6" spans="1:6">
      <c r="A6" s="7">
        <v>1010200001</v>
      </c>
      <c r="B6" s="8" t="s">
        <v>228</v>
      </c>
      <c r="C6" s="9">
        <v>37.046999999999997</v>
      </c>
      <c r="D6" s="10">
        <v>16.734770000000001</v>
      </c>
      <c r="E6" s="9">
        <f t="shared" ref="E6:E11" si="2">SUM(D6/C6*100)</f>
        <v>45.171727805220399</v>
      </c>
      <c r="F6" s="9">
        <f t="shared" si="1"/>
        <v>-20.312229999999996</v>
      </c>
    </row>
    <row r="7" spans="1:6" ht="31.5">
      <c r="A7" s="3">
        <v>1030000000</v>
      </c>
      <c r="B7" s="13" t="s">
        <v>280</v>
      </c>
      <c r="C7" s="5">
        <f>C8+C10+C9</f>
        <v>325.40500000000003</v>
      </c>
      <c r="D7" s="5">
        <f>D8+D10+D9+D11</f>
        <v>157.66668000000001</v>
      </c>
      <c r="E7" s="5">
        <f t="shared" si="2"/>
        <v>48.452445414176182</v>
      </c>
      <c r="F7" s="5">
        <f t="shared" si="1"/>
        <v>-167.73832000000002</v>
      </c>
    </row>
    <row r="8" spans="1:6">
      <c r="A8" s="7">
        <v>1030223001</v>
      </c>
      <c r="B8" s="8" t="s">
        <v>282</v>
      </c>
      <c r="C8" s="9">
        <v>121.37</v>
      </c>
      <c r="D8" s="10">
        <v>71.226960000000005</v>
      </c>
      <c r="E8" s="9">
        <f t="shared" si="2"/>
        <v>58.68580374062784</v>
      </c>
      <c r="F8" s="9">
        <f t="shared" si="1"/>
        <v>-50.143039999999999</v>
      </c>
    </row>
    <row r="9" spans="1:6">
      <c r="A9" s="7">
        <v>1030224001</v>
      </c>
      <c r="B9" s="8" t="s">
        <v>288</v>
      </c>
      <c r="C9" s="9">
        <v>1.3049999999999999</v>
      </c>
      <c r="D9" s="10">
        <v>0.53508999999999995</v>
      </c>
      <c r="E9" s="9">
        <f t="shared" si="2"/>
        <v>41.003065134099614</v>
      </c>
      <c r="F9" s="9">
        <f t="shared" si="1"/>
        <v>-0.76990999999999998</v>
      </c>
    </row>
    <row r="10" spans="1:6">
      <c r="A10" s="7">
        <v>1030225001</v>
      </c>
      <c r="B10" s="8" t="s">
        <v>281</v>
      </c>
      <c r="C10" s="9">
        <v>202.73</v>
      </c>
      <c r="D10" s="10">
        <v>98.857889999999998</v>
      </c>
      <c r="E10" s="9">
        <f t="shared" si="2"/>
        <v>48.763325605485129</v>
      </c>
      <c r="F10" s="9">
        <f t="shared" si="1"/>
        <v>-103.87210999999999</v>
      </c>
    </row>
    <row r="11" spans="1:6">
      <c r="A11" s="7">
        <v>1030226001</v>
      </c>
      <c r="B11" s="8" t="s">
        <v>290</v>
      </c>
      <c r="C11" s="9">
        <v>0</v>
      </c>
      <c r="D11" s="10">
        <v>-12.95326</v>
      </c>
      <c r="E11" s="9" t="e">
        <f t="shared" si="2"/>
        <v>#DIV/0!</v>
      </c>
      <c r="F11" s="9">
        <f t="shared" si="1"/>
        <v>-12.95326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41.775889999999997</v>
      </c>
      <c r="E12" s="5">
        <f t="shared" si="0"/>
        <v>417.75889999999993</v>
      </c>
      <c r="F12" s="5">
        <f t="shared" si="1"/>
        <v>31.775889999999997</v>
      </c>
    </row>
    <row r="13" spans="1:6" ht="15.75" customHeight="1">
      <c r="A13" s="7">
        <v>1050300000</v>
      </c>
      <c r="B13" s="11" t="s">
        <v>229</v>
      </c>
      <c r="C13" s="12">
        <v>10</v>
      </c>
      <c r="D13" s="10">
        <v>41.775889999999997</v>
      </c>
      <c r="E13" s="9">
        <f t="shared" si="0"/>
        <v>417.75889999999993</v>
      </c>
      <c r="F13" s="9">
        <f t="shared" si="1"/>
        <v>31.775889999999997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347</v>
      </c>
      <c r="D14" s="5">
        <f>D15+D16</f>
        <v>23.116720000000001</v>
      </c>
      <c r="E14" s="5">
        <f t="shared" si="0"/>
        <v>6.6618789625360231</v>
      </c>
      <c r="F14" s="5">
        <f t="shared" si="1"/>
        <v>-323.88328000000001</v>
      </c>
    </row>
    <row r="15" spans="1:6" s="6" customFormat="1" ht="15.75" customHeight="1">
      <c r="A15" s="7">
        <v>1060100000</v>
      </c>
      <c r="B15" s="11" t="s">
        <v>8</v>
      </c>
      <c r="C15" s="9">
        <v>42</v>
      </c>
      <c r="D15" s="10">
        <v>1.6998</v>
      </c>
      <c r="E15" s="9">
        <f t="shared" si="0"/>
        <v>4.0471428571428572</v>
      </c>
      <c r="F15" s="9">
        <f>SUM(D15-C15)</f>
        <v>-40.300199999999997</v>
      </c>
    </row>
    <row r="16" spans="1:6" ht="15.75" customHeight="1">
      <c r="A16" s="7">
        <v>1060600000</v>
      </c>
      <c r="B16" s="11" t="s">
        <v>7</v>
      </c>
      <c r="C16" s="9">
        <v>305</v>
      </c>
      <c r="D16" s="10">
        <v>21.416920000000001</v>
      </c>
      <c r="E16" s="9">
        <f t="shared" si="0"/>
        <v>7.0219409836065578</v>
      </c>
      <c r="F16" s="9">
        <f t="shared" si="1"/>
        <v>-283.58308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1.95</v>
      </c>
      <c r="E17" s="5">
        <f t="shared" si="0"/>
        <v>39</v>
      </c>
      <c r="F17" s="5">
        <f t="shared" si="1"/>
        <v>-3.05</v>
      </c>
    </row>
    <row r="18" spans="1:6" ht="16.5" customHeight="1">
      <c r="A18" s="7">
        <v>1080400001</v>
      </c>
      <c r="B18" s="8" t="s">
        <v>227</v>
      </c>
      <c r="C18" s="9">
        <v>5</v>
      </c>
      <c r="D18" s="10">
        <v>1.95</v>
      </c>
      <c r="E18" s="9">
        <f t="shared" si="0"/>
        <v>39</v>
      </c>
      <c r="F18" s="9">
        <f t="shared" si="1"/>
        <v>-3.05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124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232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>
      <c r="A25" s="3"/>
      <c r="B25" s="4" t="s">
        <v>12</v>
      </c>
      <c r="C25" s="5">
        <f>C26+C29+C31+C37+C34</f>
        <v>109</v>
      </c>
      <c r="D25" s="5">
        <f>D26+D29+D31+D37+D34</f>
        <v>67.614919999999998</v>
      </c>
      <c r="E25" s="5">
        <f t="shared" si="0"/>
        <v>62.032036697247705</v>
      </c>
      <c r="F25" s="5">
        <f t="shared" si="1"/>
        <v>-41.385080000000002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79</v>
      </c>
      <c r="D26" s="5">
        <f>D27+D28</f>
        <v>62.835799999999999</v>
      </c>
      <c r="E26" s="5">
        <f t="shared" si="0"/>
        <v>79.538987341772156</v>
      </c>
      <c r="F26" s="5">
        <f t="shared" si="1"/>
        <v>-16.164200000000001</v>
      </c>
    </row>
    <row r="27" spans="1:6">
      <c r="A27" s="16">
        <v>1110502510</v>
      </c>
      <c r="B27" s="17" t="s">
        <v>225</v>
      </c>
      <c r="C27" s="12">
        <v>62</v>
      </c>
      <c r="D27" s="10">
        <v>51.997799999999998</v>
      </c>
      <c r="E27" s="9">
        <f t="shared" si="0"/>
        <v>83.867419354838702</v>
      </c>
      <c r="F27" s="9">
        <f t="shared" si="1"/>
        <v>-10.002200000000002</v>
      </c>
    </row>
    <row r="28" spans="1:6" ht="18.75" customHeight="1">
      <c r="A28" s="7">
        <v>1110503505</v>
      </c>
      <c r="B28" s="11" t="s">
        <v>224</v>
      </c>
      <c r="C28" s="12">
        <v>17</v>
      </c>
      <c r="D28" s="10">
        <v>10.837999999999999</v>
      </c>
      <c r="E28" s="9">
        <f t="shared" si="0"/>
        <v>63.752941176470578</v>
      </c>
      <c r="F28" s="9">
        <f t="shared" si="1"/>
        <v>-6.1620000000000008</v>
      </c>
    </row>
    <row r="29" spans="1:6" s="15" customFormat="1" ht="37.5" customHeight="1">
      <c r="A29" s="68">
        <v>1130000000</v>
      </c>
      <c r="B29" s="69" t="s">
        <v>130</v>
      </c>
      <c r="C29" s="5">
        <f>C30</f>
        <v>30</v>
      </c>
      <c r="D29" s="5">
        <f>D30</f>
        <v>4.7791199999999998</v>
      </c>
      <c r="E29" s="5">
        <f t="shared" si="0"/>
        <v>15.930400000000001</v>
      </c>
      <c r="F29" s="5">
        <f t="shared" si="1"/>
        <v>-25.220880000000001</v>
      </c>
    </row>
    <row r="30" spans="1:6">
      <c r="A30" s="7">
        <v>1130206005</v>
      </c>
      <c r="B30" s="8" t="s">
        <v>223</v>
      </c>
      <c r="C30" s="9">
        <v>30</v>
      </c>
      <c r="D30" s="10">
        <v>4.7791199999999998</v>
      </c>
      <c r="E30" s="9">
        <f t="shared" si="0"/>
        <v>15.930400000000001</v>
      </c>
      <c r="F30" s="9">
        <f t="shared" si="1"/>
        <v>-25.220880000000001</v>
      </c>
    </row>
    <row r="31" spans="1:6" ht="27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1160000000</v>
      </c>
      <c r="B34" s="13" t="s">
        <v>251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267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1169005010</v>
      </c>
      <c r="B36" s="8" t="s">
        <v>343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21" customHeight="1">
      <c r="A37" s="3">
        <v>1170000000</v>
      </c>
      <c r="B37" s="13" t="s">
        <v>134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7.25" customHeight="1">
      <c r="A38" s="7">
        <v>1170105005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1170505005</v>
      </c>
      <c r="B39" s="11" t="s">
        <v>220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>
      <c r="A40" s="3">
        <v>1000000000</v>
      </c>
      <c r="B40" s="4" t="s">
        <v>18</v>
      </c>
      <c r="C40" s="127">
        <f>SUM(C4,C25)</f>
        <v>833.452</v>
      </c>
      <c r="D40" s="127">
        <f>D4+D25</f>
        <v>308.85898000000003</v>
      </c>
      <c r="E40" s="5">
        <f t="shared" si="0"/>
        <v>37.057800569198953</v>
      </c>
      <c r="F40" s="5">
        <f t="shared" si="1"/>
        <v>-524.59302000000002</v>
      </c>
    </row>
    <row r="41" spans="1:7" s="6" customFormat="1">
      <c r="A41" s="3">
        <v>2000000000</v>
      </c>
      <c r="B41" s="4" t="s">
        <v>19</v>
      </c>
      <c r="C41" s="5">
        <f>C42+C43+C44+C45+C46+C47+C50</f>
        <v>3266.1811199999997</v>
      </c>
      <c r="D41" s="5">
        <f>D42+D43+D44+D45+D46+D47+D50</f>
        <v>917.178</v>
      </c>
      <c r="E41" s="5">
        <f t="shared" si="0"/>
        <v>28.081051426811261</v>
      </c>
      <c r="F41" s="5">
        <f t="shared" si="1"/>
        <v>-2349.0031199999999</v>
      </c>
      <c r="G41" s="19"/>
    </row>
    <row r="42" spans="1:7" ht="16.5" customHeight="1">
      <c r="A42" s="16">
        <v>2021000000</v>
      </c>
      <c r="B42" s="17" t="s">
        <v>20</v>
      </c>
      <c r="C42" s="12">
        <v>1347.9</v>
      </c>
      <c r="D42" s="12">
        <v>561.625</v>
      </c>
      <c r="E42" s="9">
        <f t="shared" si="0"/>
        <v>41.666666666666664</v>
      </c>
      <c r="F42" s="9">
        <f t="shared" si="1"/>
        <v>-786.27500000000009</v>
      </c>
    </row>
    <row r="43" spans="1:7" ht="15.75" customHeight="1">
      <c r="A43" s="16">
        <v>2021500200</v>
      </c>
      <c r="B43" s="17" t="s">
        <v>231</v>
      </c>
      <c r="C43" s="12">
        <v>320</v>
      </c>
      <c r="D43" s="20">
        <v>145</v>
      </c>
      <c r="E43" s="9">
        <f t="shared" si="0"/>
        <v>45.3125</v>
      </c>
      <c r="F43" s="9">
        <f t="shared" si="1"/>
        <v>-175</v>
      </c>
    </row>
    <row r="44" spans="1:7" ht="18" customHeight="1">
      <c r="A44" s="16">
        <v>2022000000</v>
      </c>
      <c r="B44" s="17" t="s">
        <v>21</v>
      </c>
      <c r="C44" s="12">
        <v>1213.53934</v>
      </c>
      <c r="D44" s="10">
        <v>173.25200000000001</v>
      </c>
      <c r="E44" s="9">
        <f t="shared" si="0"/>
        <v>14.276587028484796</v>
      </c>
      <c r="F44" s="9">
        <f t="shared" si="1"/>
        <v>-1040.2873400000001</v>
      </c>
    </row>
    <row r="45" spans="1:7" ht="15.75" customHeight="1">
      <c r="A45" s="16">
        <v>2023000000</v>
      </c>
      <c r="B45" s="17" t="s">
        <v>22</v>
      </c>
      <c r="C45" s="12">
        <v>91.480999999999995</v>
      </c>
      <c r="D45" s="248">
        <v>37.301000000000002</v>
      </c>
      <c r="E45" s="9">
        <f t="shared" si="0"/>
        <v>40.774587072725488</v>
      </c>
      <c r="F45" s="9">
        <f t="shared" si="1"/>
        <v>-54.179999999999993</v>
      </c>
    </row>
    <row r="46" spans="1:7" ht="14.25" customHeight="1">
      <c r="A46" s="16">
        <v>2024000000</v>
      </c>
      <c r="B46" s="17" t="s">
        <v>23</v>
      </c>
      <c r="C46" s="12">
        <v>175</v>
      </c>
      <c r="D46" s="249">
        <v>0</v>
      </c>
      <c r="E46" s="9">
        <f t="shared" si="0"/>
        <v>0</v>
      </c>
      <c r="F46" s="9">
        <f t="shared" si="1"/>
        <v>-175</v>
      </c>
    </row>
    <row r="47" spans="1:7" ht="17.25" customHeight="1">
      <c r="A47" s="16">
        <v>2020900000</v>
      </c>
      <c r="B47" s="18" t="s">
        <v>24</v>
      </c>
      <c r="C47" s="12"/>
      <c r="D47" s="249"/>
      <c r="E47" s="9" t="e">
        <f t="shared" si="0"/>
        <v>#DIV/0!</v>
      </c>
      <c r="F47" s="9">
        <f t="shared" si="1"/>
        <v>0</v>
      </c>
    </row>
    <row r="48" spans="1:7" ht="15.75" customHeight="1">
      <c r="A48" s="16">
        <v>2080500010</v>
      </c>
      <c r="B48" s="18" t="s">
        <v>255</v>
      </c>
      <c r="C48" s="12"/>
      <c r="D48" s="249"/>
      <c r="E48" s="9"/>
      <c r="F48" s="9"/>
    </row>
    <row r="49" spans="1:8" s="6" customFormat="1" ht="15" customHeight="1">
      <c r="A49" s="3">
        <v>3000000000</v>
      </c>
      <c r="B49" s="13" t="s">
        <v>26</v>
      </c>
      <c r="C49" s="27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7.25" customHeight="1">
      <c r="A50" s="16">
        <v>2023000000</v>
      </c>
      <c r="B50" s="8" t="s">
        <v>352</v>
      </c>
      <c r="C50" s="12">
        <v>118.26078</v>
      </c>
      <c r="D50" s="10">
        <v>0</v>
      </c>
      <c r="E50" s="9">
        <f t="shared" si="0"/>
        <v>0</v>
      </c>
      <c r="F50" s="9">
        <f t="shared" si="1"/>
        <v>-118.26078</v>
      </c>
    </row>
    <row r="51" spans="1:8" s="6" customFormat="1" ht="17.25" customHeight="1">
      <c r="A51" s="7">
        <v>2070500010</v>
      </c>
      <c r="B51" s="4" t="s">
        <v>27</v>
      </c>
      <c r="C51" s="367">
        <f>C40+C41</f>
        <v>4099.6331199999995</v>
      </c>
      <c r="D51" s="368">
        <f>D40+D41</f>
        <v>1226.0369800000001</v>
      </c>
      <c r="E51" s="93">
        <f t="shared" si="0"/>
        <v>29.906017053545519</v>
      </c>
      <c r="F51" s="93">
        <f t="shared" si="1"/>
        <v>-2873.5961399999997</v>
      </c>
      <c r="G51" s="94"/>
      <c r="H51" s="362"/>
    </row>
    <row r="52" spans="1:8" s="6" customFormat="1" ht="16.5" customHeight="1">
      <c r="A52" s="7"/>
      <c r="B52" s="21" t="s">
        <v>321</v>
      </c>
      <c r="C52" s="367">
        <f>C51-C98</f>
        <v>-170.14937000000009</v>
      </c>
      <c r="D52" s="367">
        <f>D51-D98</f>
        <v>232.97945000000027</v>
      </c>
      <c r="E52" s="278"/>
      <c r="F52" s="278"/>
    </row>
    <row r="53" spans="1:8">
      <c r="A53" s="3"/>
      <c r="B53" s="24"/>
      <c r="C53" s="322"/>
      <c r="D53" s="322"/>
      <c r="E53" s="26"/>
      <c r="F53" s="27"/>
    </row>
    <row r="54" spans="1:8" ht="32.25" customHeight="1">
      <c r="A54" s="23"/>
      <c r="B54" s="28" t="s">
        <v>28</v>
      </c>
      <c r="C54" s="245" t="s">
        <v>411</v>
      </c>
      <c r="D54" s="73" t="s">
        <v>419</v>
      </c>
      <c r="E54" s="72" t="s">
        <v>2</v>
      </c>
      <c r="F54" s="74" t="s">
        <v>3</v>
      </c>
    </row>
    <row r="55" spans="1:8" ht="63">
      <c r="A55" s="28" t="s">
        <v>0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>
      <c r="A56" s="29">
        <v>1</v>
      </c>
      <c r="B56" s="31" t="s">
        <v>30</v>
      </c>
      <c r="C56" s="33">
        <f>C57+C58+C59+C60+C61+C63+C62</f>
        <v>1090.578</v>
      </c>
      <c r="D56" s="33">
        <f>D57+D58+D59+D60+D61+D63+D62</f>
        <v>341.45101999999997</v>
      </c>
      <c r="E56" s="34">
        <f>SUM(D56/C56*100)</f>
        <v>31.309179169211188</v>
      </c>
      <c r="F56" s="34">
        <f>SUM(D56-C56)</f>
        <v>-749.12698</v>
      </c>
    </row>
    <row r="57" spans="1:8" s="6" customFormat="1" ht="15.75" hidden="1" customHeight="1">
      <c r="A57" s="30" t="s">
        <v>29</v>
      </c>
      <c r="B57" s="36" t="s">
        <v>32</v>
      </c>
      <c r="C57" s="279"/>
      <c r="D57" s="279"/>
      <c r="E57" s="38"/>
      <c r="F57" s="38"/>
    </row>
    <row r="58" spans="1:8" ht="17.25" customHeight="1">
      <c r="A58" s="35" t="s">
        <v>31</v>
      </c>
      <c r="B58" s="39" t="s">
        <v>34</v>
      </c>
      <c r="C58" s="279">
        <v>1078.4780000000001</v>
      </c>
      <c r="D58" s="279">
        <v>338.87302</v>
      </c>
      <c r="E58" s="38">
        <f t="shared" ref="E58:E98" si="3">SUM(D58/C58*100)</f>
        <v>31.42141239784214</v>
      </c>
      <c r="F58" s="38">
        <f t="shared" ref="F58:F98" si="4">SUM(D58-C58)</f>
        <v>-739.60498000000007</v>
      </c>
    </row>
    <row r="59" spans="1:8" ht="17.25" hidden="1" customHeight="1">
      <c r="A59" s="35" t="s">
        <v>33</v>
      </c>
      <c r="B59" s="39" t="s">
        <v>36</v>
      </c>
      <c r="C59" s="279"/>
      <c r="D59" s="279"/>
      <c r="E59" s="38"/>
      <c r="F59" s="38">
        <f t="shared" si="4"/>
        <v>0</v>
      </c>
    </row>
    <row r="60" spans="1:8" ht="15.75" hidden="1" customHeight="1">
      <c r="A60" s="35" t="s">
        <v>35</v>
      </c>
      <c r="B60" s="39" t="s">
        <v>38</v>
      </c>
      <c r="C60" s="279"/>
      <c r="D60" s="279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37</v>
      </c>
      <c r="B61" s="39" t="s">
        <v>40</v>
      </c>
      <c r="C61" s="279">
        <v>0</v>
      </c>
      <c r="D61" s="279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42</v>
      </c>
      <c r="C62" s="280">
        <v>5</v>
      </c>
      <c r="D62" s="280">
        <v>0</v>
      </c>
      <c r="E62" s="38">
        <f t="shared" si="3"/>
        <v>0</v>
      </c>
      <c r="F62" s="38">
        <f t="shared" si="4"/>
        <v>-5</v>
      </c>
    </row>
    <row r="63" spans="1:8" ht="19.5" customHeight="1">
      <c r="A63" s="35" t="s">
        <v>41</v>
      </c>
      <c r="B63" s="39" t="s">
        <v>44</v>
      </c>
      <c r="C63" s="279">
        <v>7.1</v>
      </c>
      <c r="D63" s="279">
        <v>2.5779999999999998</v>
      </c>
      <c r="E63" s="38">
        <f t="shared" si="3"/>
        <v>36.309859154929576</v>
      </c>
      <c r="F63" s="38">
        <f t="shared" si="4"/>
        <v>-4.5220000000000002</v>
      </c>
    </row>
    <row r="64" spans="1:8" s="6" customFormat="1">
      <c r="A64" s="35" t="s">
        <v>43</v>
      </c>
      <c r="B64" s="42" t="s">
        <v>46</v>
      </c>
      <c r="C64" s="33">
        <f>C65</f>
        <v>89.944999999999993</v>
      </c>
      <c r="D64" s="33">
        <f>D65</f>
        <v>31.962039999999998</v>
      </c>
      <c r="E64" s="34">
        <f t="shared" si="3"/>
        <v>35.535093668352886</v>
      </c>
      <c r="F64" s="34">
        <f t="shared" si="4"/>
        <v>-57.982959999999991</v>
      </c>
    </row>
    <row r="65" spans="1:9">
      <c r="A65" s="41" t="s">
        <v>45</v>
      </c>
      <c r="B65" s="44" t="s">
        <v>48</v>
      </c>
      <c r="C65" s="279">
        <v>89.944999999999993</v>
      </c>
      <c r="D65" s="279">
        <v>31.962039999999998</v>
      </c>
      <c r="E65" s="38">
        <f t="shared" si="3"/>
        <v>35.535093668352886</v>
      </c>
      <c r="F65" s="38">
        <f t="shared" si="4"/>
        <v>-57.982959999999991</v>
      </c>
    </row>
    <row r="66" spans="1:9" s="6" customFormat="1" ht="18" customHeight="1">
      <c r="A66" s="43" t="s">
        <v>47</v>
      </c>
      <c r="B66" s="31" t="s">
        <v>50</v>
      </c>
      <c r="C66" s="33">
        <f>C69+C70+C71</f>
        <v>9.4</v>
      </c>
      <c r="D66" s="33">
        <f>D69+D70</f>
        <v>0</v>
      </c>
      <c r="E66" s="34">
        <f t="shared" si="3"/>
        <v>0</v>
      </c>
      <c r="F66" s="34">
        <f t="shared" si="4"/>
        <v>-9.4</v>
      </c>
    </row>
    <row r="67" spans="1:9" ht="1.5" hidden="1" customHeight="1">
      <c r="A67" s="30" t="s">
        <v>49</v>
      </c>
      <c r="B67" s="39" t="s">
        <v>52</v>
      </c>
      <c r="C67" s="279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35" t="s">
        <v>51</v>
      </c>
      <c r="B68" s="39" t="s">
        <v>54</v>
      </c>
      <c r="C68" s="279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5" t="s">
        <v>53</v>
      </c>
      <c r="B69" s="47" t="s">
        <v>56</v>
      </c>
      <c r="C69" s="281">
        <v>2.4</v>
      </c>
      <c r="D69" s="33">
        <v>0</v>
      </c>
      <c r="E69" s="34">
        <f t="shared" si="3"/>
        <v>0</v>
      </c>
      <c r="F69" s="34">
        <f t="shared" si="4"/>
        <v>-2.4</v>
      </c>
    </row>
    <row r="70" spans="1:9">
      <c r="A70" s="46" t="s">
        <v>55</v>
      </c>
      <c r="B70" s="47" t="s">
        <v>219</v>
      </c>
      <c r="C70" s="279">
        <v>5</v>
      </c>
      <c r="D70" s="279">
        <v>0</v>
      </c>
      <c r="E70" s="34">
        <f t="shared" si="3"/>
        <v>0</v>
      </c>
      <c r="F70" s="34">
        <f t="shared" si="4"/>
        <v>-5</v>
      </c>
    </row>
    <row r="71" spans="1:9">
      <c r="A71" s="46" t="s">
        <v>218</v>
      </c>
      <c r="B71" s="47" t="s">
        <v>414</v>
      </c>
      <c r="C71" s="279">
        <v>2</v>
      </c>
      <c r="D71" s="279"/>
      <c r="E71" s="34"/>
      <c r="F71" s="34"/>
    </row>
    <row r="72" spans="1:9" s="6" customFormat="1" ht="17.25" customHeight="1">
      <c r="A72" s="46" t="s">
        <v>357</v>
      </c>
      <c r="B72" s="31" t="s">
        <v>58</v>
      </c>
      <c r="C72" s="33">
        <f>SUM(C73:C76)</f>
        <v>1891.95949</v>
      </c>
      <c r="D72" s="33">
        <f>SUM(D73:D76)</f>
        <v>214.97809999999998</v>
      </c>
      <c r="E72" s="34">
        <f t="shared" si="3"/>
        <v>11.362722147925059</v>
      </c>
      <c r="F72" s="34">
        <f t="shared" si="4"/>
        <v>-1676.9813899999999</v>
      </c>
      <c r="I72" s="108"/>
    </row>
    <row r="73" spans="1:9" ht="15.75" customHeight="1">
      <c r="A73" s="30" t="s">
        <v>57</v>
      </c>
      <c r="B73" s="39" t="s">
        <v>60</v>
      </c>
      <c r="C73" s="279">
        <v>4.0214999999999996</v>
      </c>
      <c r="D73" s="279">
        <v>0</v>
      </c>
      <c r="E73" s="38">
        <f t="shared" si="3"/>
        <v>0</v>
      </c>
      <c r="F73" s="38">
        <f t="shared" si="4"/>
        <v>-4.0214999999999996</v>
      </c>
    </row>
    <row r="74" spans="1:9" s="6" customFormat="1" ht="19.5" customHeight="1">
      <c r="A74" s="35" t="s">
        <v>59</v>
      </c>
      <c r="B74" s="39" t="s">
        <v>62</v>
      </c>
      <c r="C74" s="279">
        <v>44.255000000000003</v>
      </c>
      <c r="D74" s="279">
        <v>0</v>
      </c>
      <c r="E74" s="38">
        <f t="shared" si="3"/>
        <v>0</v>
      </c>
      <c r="F74" s="38">
        <f t="shared" si="4"/>
        <v>-44.255000000000003</v>
      </c>
      <c r="G74" s="50"/>
    </row>
    <row r="75" spans="1:9">
      <c r="A75" s="35" t="s">
        <v>61</v>
      </c>
      <c r="B75" s="39" t="s">
        <v>64</v>
      </c>
      <c r="C75" s="279">
        <v>1695.5829900000001</v>
      </c>
      <c r="D75" s="279">
        <v>196.87809999999999</v>
      </c>
      <c r="E75" s="38">
        <f t="shared" si="3"/>
        <v>11.611233490847887</v>
      </c>
      <c r="F75" s="38">
        <f t="shared" si="4"/>
        <v>-1498.7048900000002</v>
      </c>
    </row>
    <row r="76" spans="1:9">
      <c r="A76" s="35" t="s">
        <v>63</v>
      </c>
      <c r="B76" s="39" t="s">
        <v>66</v>
      </c>
      <c r="C76" s="279">
        <v>148.1</v>
      </c>
      <c r="D76" s="279">
        <v>18.100000000000001</v>
      </c>
      <c r="E76" s="38">
        <f t="shared" si="3"/>
        <v>12.22147197839298</v>
      </c>
      <c r="F76" s="38">
        <f t="shared" si="4"/>
        <v>-130</v>
      </c>
    </row>
    <row r="77" spans="1:9" s="6" customFormat="1" ht="18" customHeight="1">
      <c r="A77" s="35" t="s">
        <v>65</v>
      </c>
      <c r="B77" s="31" t="s">
        <v>68</v>
      </c>
      <c r="C77" s="33">
        <f>SUM(C78:C80)</f>
        <v>385.5</v>
      </c>
      <c r="D77" s="33">
        <f>SUM(D78:D80)</f>
        <v>64.466369999999998</v>
      </c>
      <c r="E77" s="34">
        <f t="shared" si="3"/>
        <v>16.722793774319065</v>
      </c>
      <c r="F77" s="34">
        <f t="shared" si="4"/>
        <v>-321.03363000000002</v>
      </c>
    </row>
    <row r="78" spans="1:9" ht="15" hidden="1" customHeight="1">
      <c r="A78" s="30" t="s">
        <v>67</v>
      </c>
      <c r="B78" s="51" t="s">
        <v>70</v>
      </c>
      <c r="C78" s="279"/>
      <c r="D78" s="279"/>
      <c r="E78" s="38" t="e">
        <f t="shared" si="3"/>
        <v>#DIV/0!</v>
      </c>
      <c r="F78" s="38">
        <f t="shared" si="4"/>
        <v>0</v>
      </c>
    </row>
    <row r="79" spans="1:9" ht="18" hidden="1" customHeight="1">
      <c r="A79" s="35" t="s">
        <v>69</v>
      </c>
      <c r="B79" s="51" t="s">
        <v>72</v>
      </c>
      <c r="C79" s="279"/>
      <c r="D79" s="279"/>
      <c r="E79" s="38" t="e">
        <f t="shared" si="3"/>
        <v>#DIV/0!</v>
      </c>
      <c r="F79" s="38">
        <f t="shared" si="4"/>
        <v>0</v>
      </c>
    </row>
    <row r="80" spans="1:9">
      <c r="A80" s="35" t="s">
        <v>71</v>
      </c>
      <c r="B80" s="39" t="s">
        <v>74</v>
      </c>
      <c r="C80" s="279">
        <v>385.5</v>
      </c>
      <c r="D80" s="279">
        <v>64.466369999999998</v>
      </c>
      <c r="E80" s="38">
        <f t="shared" si="3"/>
        <v>16.722793774319065</v>
      </c>
      <c r="F80" s="38">
        <f t="shared" si="4"/>
        <v>-321.03363000000002</v>
      </c>
    </row>
    <row r="81" spans="1:12" s="6" customFormat="1">
      <c r="A81" s="35" t="s">
        <v>73</v>
      </c>
      <c r="B81" s="31" t="s">
        <v>86</v>
      </c>
      <c r="C81" s="33">
        <f>C82</f>
        <v>801.4</v>
      </c>
      <c r="D81" s="33">
        <f>SUM(D82)</f>
        <v>340.2</v>
      </c>
      <c r="E81" s="34">
        <f t="shared" si="3"/>
        <v>42.450711255303219</v>
      </c>
      <c r="F81" s="34">
        <f t="shared" si="4"/>
        <v>-461.2</v>
      </c>
    </row>
    <row r="82" spans="1:12" ht="15.75" customHeight="1">
      <c r="A82" s="30" t="s">
        <v>85</v>
      </c>
      <c r="B82" s="39" t="s">
        <v>233</v>
      </c>
      <c r="C82" s="279">
        <v>801.4</v>
      </c>
      <c r="D82" s="279">
        <v>340.2</v>
      </c>
      <c r="E82" s="38">
        <f t="shared" si="3"/>
        <v>42.450711255303219</v>
      </c>
      <c r="F82" s="38">
        <f t="shared" si="4"/>
        <v>-461.2</v>
      </c>
      <c r="L82" s="107"/>
    </row>
    <row r="83" spans="1:12" s="6" customFormat="1">
      <c r="A83" s="35" t="s">
        <v>87</v>
      </c>
      <c r="B83" s="31" t="s">
        <v>88</v>
      </c>
      <c r="C83" s="33">
        <f>SUM(C84:C87)</f>
        <v>0</v>
      </c>
      <c r="D83" s="33">
        <f>SUM(D84:D87)</f>
        <v>0</v>
      </c>
      <c r="E83" s="34" t="e">
        <f>SUM(D83/C83*100)</f>
        <v>#DIV/0!</v>
      </c>
      <c r="F83" s="34">
        <f t="shared" si="4"/>
        <v>0</v>
      </c>
    </row>
    <row r="84" spans="1:12" hidden="1">
      <c r="A84" s="52">
        <v>1000</v>
      </c>
      <c r="B84" s="54" t="s">
        <v>89</v>
      </c>
      <c r="C84" s="279"/>
      <c r="D84" s="279"/>
      <c r="E84" s="349" t="e">
        <f>SUM(D84/C84*100)</f>
        <v>#DIV/0!</v>
      </c>
      <c r="F84" s="349">
        <f>SUM(D84-C84)</f>
        <v>0</v>
      </c>
    </row>
    <row r="85" spans="1:12" hidden="1">
      <c r="A85" s="53">
        <v>1001</v>
      </c>
      <c r="B85" s="54" t="s">
        <v>90</v>
      </c>
      <c r="C85" s="279"/>
      <c r="D85" s="279"/>
      <c r="E85" s="349" t="e">
        <f>SUM(D85/C85*100)</f>
        <v>#DIV/0!</v>
      </c>
      <c r="F85" s="349">
        <f>SUM(D85-C85)</f>
        <v>0</v>
      </c>
    </row>
    <row r="86" spans="1:12" hidden="1">
      <c r="A86" s="53">
        <v>1003</v>
      </c>
      <c r="B86" s="54" t="s">
        <v>91</v>
      </c>
      <c r="C86" s="279"/>
      <c r="D86" s="282"/>
      <c r="E86" s="349" t="e">
        <f>SUM(D86/C86*100)</f>
        <v>#DIV/0!</v>
      </c>
      <c r="F86" s="349">
        <f>SUM(D86-C86)</f>
        <v>0</v>
      </c>
    </row>
    <row r="87" spans="1:12" ht="15" customHeight="1">
      <c r="A87" s="53">
        <v>1004</v>
      </c>
      <c r="B87" s="39" t="s">
        <v>93</v>
      </c>
      <c r="C87" s="279">
        <v>0</v>
      </c>
      <c r="D87" s="279">
        <v>0</v>
      </c>
      <c r="E87" s="349" t="e">
        <f>SUM(D87/C87*100)</f>
        <v>#DIV/0!</v>
      </c>
      <c r="F87" s="349">
        <f>SUM(D87-C87)</f>
        <v>0</v>
      </c>
    </row>
    <row r="88" spans="1:12" ht="19.5" customHeight="1">
      <c r="A88" s="35" t="s">
        <v>92</v>
      </c>
      <c r="B88" s="31" t="s">
        <v>95</v>
      </c>
      <c r="C88" s="33">
        <f>C89+C90+C91+C92+C93</f>
        <v>1</v>
      </c>
      <c r="D88" s="33">
        <f>D89+D90+D91+D92+D93</f>
        <v>0</v>
      </c>
      <c r="E88" s="38">
        <f t="shared" si="3"/>
        <v>0</v>
      </c>
      <c r="F88" s="22">
        <f>F89+F90+F91+F92+F93</f>
        <v>-1</v>
      </c>
    </row>
    <row r="89" spans="1:12" ht="15.75" customHeight="1">
      <c r="A89" s="30" t="s">
        <v>94</v>
      </c>
      <c r="B89" s="39" t="s">
        <v>97</v>
      </c>
      <c r="C89" s="279">
        <v>1</v>
      </c>
      <c r="D89" s="279">
        <v>0</v>
      </c>
      <c r="E89" s="38">
        <f t="shared" si="3"/>
        <v>0</v>
      </c>
      <c r="F89" s="38">
        <f>SUM(D89-C89)</f>
        <v>-1</v>
      </c>
    </row>
    <row r="90" spans="1:12" ht="0.75" hidden="1" customHeight="1">
      <c r="A90" s="35" t="s">
        <v>96</v>
      </c>
      <c r="B90" s="39" t="s">
        <v>99</v>
      </c>
      <c r="C90" s="279"/>
      <c r="D90" s="279">
        <v>0</v>
      </c>
      <c r="E90" s="38" t="e">
        <f t="shared" si="3"/>
        <v>#DIV/0!</v>
      </c>
      <c r="F90" s="38">
        <f>SUM(D90-C90)</f>
        <v>0</v>
      </c>
    </row>
    <row r="91" spans="1:12" ht="15.75" hidden="1" customHeight="1">
      <c r="A91" s="35" t="s">
        <v>98</v>
      </c>
      <c r="B91" s="39" t="s">
        <v>101</v>
      </c>
      <c r="C91" s="279"/>
      <c r="D91" s="279"/>
      <c r="E91" s="38" t="e">
        <f t="shared" si="3"/>
        <v>#DIV/0!</v>
      </c>
      <c r="F91" s="38"/>
    </row>
    <row r="92" spans="1:12" ht="3" hidden="1" customHeight="1">
      <c r="A92" s="35" t="s">
        <v>100</v>
      </c>
      <c r="B92" s="39" t="s">
        <v>103</v>
      </c>
      <c r="C92" s="279"/>
      <c r="D92" s="279"/>
      <c r="E92" s="38" t="e">
        <f t="shared" si="3"/>
        <v>#DIV/0!</v>
      </c>
      <c r="F92" s="38"/>
    </row>
    <row r="93" spans="1:12" ht="15" hidden="1" customHeight="1">
      <c r="A93" s="35" t="s">
        <v>102</v>
      </c>
      <c r="B93" s="39" t="s">
        <v>105</v>
      </c>
      <c r="C93" s="279"/>
      <c r="D93" s="279"/>
      <c r="E93" s="38" t="e">
        <f t="shared" si="3"/>
        <v>#DIV/0!</v>
      </c>
      <c r="F93" s="38"/>
    </row>
    <row r="94" spans="1:12" s="6" customFormat="1" ht="12" hidden="1" customHeight="1">
      <c r="A94" s="35" t="s">
        <v>104</v>
      </c>
      <c r="B94" s="56" t="s">
        <v>114</v>
      </c>
      <c r="C94" s="33">
        <f>C95+C96+C97</f>
        <v>0</v>
      </c>
      <c r="D94" s="33">
        <f>SUM(D95:D97)</f>
        <v>0</v>
      </c>
      <c r="E94" s="34" t="e">
        <f t="shared" si="3"/>
        <v>#DIV/0!</v>
      </c>
      <c r="F94" s="34">
        <f t="shared" si="4"/>
        <v>0</v>
      </c>
    </row>
    <row r="95" spans="1:12" ht="15.75" hidden="1" customHeight="1">
      <c r="A95" s="52">
        <v>1400</v>
      </c>
      <c r="B95" s="54" t="s">
        <v>115</v>
      </c>
      <c r="C95" s="279"/>
      <c r="D95" s="279"/>
      <c r="E95" s="38" t="e">
        <f t="shared" si="3"/>
        <v>#DIV/0!</v>
      </c>
      <c r="F95" s="38">
        <f t="shared" si="4"/>
        <v>0</v>
      </c>
    </row>
    <row r="96" spans="1:12" hidden="1">
      <c r="A96" s="53">
        <v>1401</v>
      </c>
      <c r="B96" s="54" t="s">
        <v>116</v>
      </c>
      <c r="C96" s="279"/>
      <c r="D96" s="279"/>
      <c r="E96" s="38" t="e">
        <f t="shared" si="3"/>
        <v>#DIV/0!</v>
      </c>
      <c r="F96" s="38">
        <f t="shared" si="4"/>
        <v>0</v>
      </c>
    </row>
    <row r="97" spans="1:8" ht="23.25" hidden="1" customHeight="1">
      <c r="A97" s="53">
        <v>1402</v>
      </c>
      <c r="B97" s="54" t="s">
        <v>117</v>
      </c>
      <c r="C97" s="279"/>
      <c r="D97" s="279"/>
      <c r="E97" s="38" t="e">
        <f t="shared" si="3"/>
        <v>#DIV/0!</v>
      </c>
      <c r="F97" s="38">
        <f t="shared" si="4"/>
        <v>0</v>
      </c>
    </row>
    <row r="98" spans="1:8" s="6" customFormat="1" ht="16.5" customHeight="1">
      <c r="A98" s="53">
        <v>1403</v>
      </c>
      <c r="B98" s="57" t="s">
        <v>118</v>
      </c>
      <c r="C98" s="369">
        <f>C56+C64+C66+C72+C77+C81+C88+C83</f>
        <v>4269.7824899999996</v>
      </c>
      <c r="D98" s="369">
        <f>D56+D64+D66+D72+D77+D81+D88+D83</f>
        <v>993.05752999999982</v>
      </c>
      <c r="E98" s="34">
        <f t="shared" si="3"/>
        <v>23.257801359338092</v>
      </c>
      <c r="F98" s="34">
        <f t="shared" si="4"/>
        <v>-3276.7249599999996</v>
      </c>
      <c r="G98" s="151">
        <f>4064.78249-C98</f>
        <v>-204.99999999999955</v>
      </c>
      <c r="H98" s="427">
        <f>566.80169-D98</f>
        <v>-426.25583999999981</v>
      </c>
    </row>
    <row r="99" spans="1:8" ht="20.25" customHeight="1">
      <c r="A99" s="52"/>
      <c r="C99" s="126"/>
      <c r="D99" s="101"/>
    </row>
    <row r="100" spans="1:8" s="65" customFormat="1" ht="13.5" customHeight="1">
      <c r="A100" s="58"/>
      <c r="B100" s="63"/>
      <c r="C100" s="116"/>
      <c r="D100" s="64"/>
      <c r="E100" s="64"/>
    </row>
    <row r="101" spans="1:8" s="65" customFormat="1" ht="12.75">
      <c r="A101" s="63" t="s">
        <v>119</v>
      </c>
      <c r="B101" s="66"/>
      <c r="C101" s="134" t="s">
        <v>121</v>
      </c>
      <c r="D101" s="134"/>
    </row>
    <row r="102" spans="1:8">
      <c r="A102" s="66" t="s">
        <v>120</v>
      </c>
      <c r="C102" s="120"/>
    </row>
    <row r="104" spans="1:8" ht="5.25" customHeight="1"/>
    <row r="142" hidden="1"/>
  </sheetData>
  <customSheetViews>
    <customSheetView guid="{61528DAC-5C4C-48F4-ADE2-8A724B05A086}" scale="70" showPageBreaks="1" hiddenRows="1" view="pageBreakPreview" topLeftCell="A27">
      <selection activeCell="A71" sqref="A71:XFD71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2"/>
    </customSheetView>
    <customSheetView guid="{1A52382B-3765-4E8C-903F-6B8919B7242E}" scale="70" showPageBreaks="1" printArea="1" hiddenRows="1" view="pageBreakPreview" topLeftCell="A16">
      <selection activeCell="H99" sqref="H99"/>
      <pageMargins left="0.7" right="0.7" top="0.75" bottom="0.75" header="0.3" footer="0.3"/>
      <pageSetup paperSize="9" scale="54" orientation="portrait" r:id="rId3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4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5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6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7"/>
    </customSheetView>
    <customSheetView guid="{B31C8DB7-3E78-4144-A6B5-8DE36DE63F0E}" hiddenRows="1" topLeftCell="A37">
      <selection activeCell="B100" sqref="B100"/>
      <pageMargins left="0.7" right="0.7" top="0.75" bottom="0.75" header="0.3" footer="0.3"/>
      <pageSetup paperSize="9" scale="54" orientation="portrait" r:id="rId8"/>
    </customSheetView>
    <customSheetView guid="{B30CE22D-C12F-4E12-8BB9-3AAE0A6991CC}" scale="70" showPageBreaks="1" printArea="1" hiddenRows="1" view="pageBreakPreview" topLeftCell="A37">
      <selection activeCell="C89" sqref="C89"/>
      <pageMargins left="0.70866141732283472" right="0.70866141732283472" top="0.74803149606299213" bottom="0.74803149606299213" header="0.31496062992125984" footer="0.31496062992125984"/>
      <pageSetup paperSize="9" scale="53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H142"/>
  <sheetViews>
    <sheetView tabSelected="1" view="pageBreakPreview" topLeftCell="A53" zoomScale="70" zoomScaleSheetLayoutView="70" workbookViewId="0">
      <selection activeCell="E48" sqref="E48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5" t="s">
        <v>436</v>
      </c>
      <c r="B1" s="525"/>
      <c r="C1" s="525"/>
      <c r="D1" s="525"/>
      <c r="E1" s="525"/>
      <c r="F1" s="525"/>
    </row>
    <row r="2" spans="1:6">
      <c r="A2" s="525"/>
      <c r="B2" s="525"/>
      <c r="C2" s="525"/>
      <c r="D2" s="525"/>
      <c r="E2" s="525"/>
      <c r="F2" s="525"/>
    </row>
    <row r="3" spans="1:6" ht="63">
      <c r="A3" s="2" t="s">
        <v>0</v>
      </c>
      <c r="B3" s="2" t="s">
        <v>1</v>
      </c>
      <c r="C3" s="72" t="s">
        <v>411</v>
      </c>
      <c r="D3" s="73" t="s">
        <v>422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2613.5920000000001</v>
      </c>
      <c r="D4" s="5">
        <f>D5+D12+D14+D17+D7</f>
        <v>823.33599000000004</v>
      </c>
      <c r="E4" s="5">
        <f>SUM(D4/C4*100)</f>
        <v>31.502085635401393</v>
      </c>
      <c r="F4" s="5">
        <f>SUM(D4-C4)</f>
        <v>-1790.2560100000001</v>
      </c>
    </row>
    <row r="5" spans="1:6" s="6" customFormat="1">
      <c r="A5" s="68">
        <v>1010000000</v>
      </c>
      <c r="B5" s="67" t="s">
        <v>5</v>
      </c>
      <c r="C5" s="5">
        <f>C6</f>
        <v>132.63200000000001</v>
      </c>
      <c r="D5" s="5">
        <f>D6</f>
        <v>47.610390000000002</v>
      </c>
      <c r="E5" s="5">
        <f t="shared" ref="E5:E50" si="0">SUM(D5/C5*100)</f>
        <v>35.896608661559803</v>
      </c>
      <c r="F5" s="5">
        <f t="shared" ref="F5:F50" si="1">SUM(D5-C5)</f>
        <v>-85.02161000000001</v>
      </c>
    </row>
    <row r="6" spans="1:6">
      <c r="A6" s="7">
        <v>1010200001</v>
      </c>
      <c r="B6" s="8" t="s">
        <v>228</v>
      </c>
      <c r="C6" s="9">
        <v>132.63200000000001</v>
      </c>
      <c r="D6" s="10">
        <v>47.610390000000002</v>
      </c>
      <c r="E6" s="9">
        <f t="shared" ref="E6:E11" si="2">SUM(D6/C6*100)</f>
        <v>35.896608661559803</v>
      </c>
      <c r="F6" s="9">
        <f t="shared" si="1"/>
        <v>-85.02161000000001</v>
      </c>
    </row>
    <row r="7" spans="1:6" ht="31.5">
      <c r="A7" s="3">
        <v>1030000000</v>
      </c>
      <c r="B7" s="13" t="s">
        <v>280</v>
      </c>
      <c r="C7" s="5">
        <f>C8+C10+C9</f>
        <v>499.96000000000004</v>
      </c>
      <c r="D7" s="5">
        <f>D8+D10+D9+D11</f>
        <v>242.24281000000002</v>
      </c>
      <c r="E7" s="5">
        <f t="shared" si="2"/>
        <v>48.452438195055606</v>
      </c>
      <c r="F7" s="5">
        <f t="shared" si="1"/>
        <v>-257.71719000000002</v>
      </c>
    </row>
    <row r="8" spans="1:6">
      <c r="A8" s="7">
        <v>1030223001</v>
      </c>
      <c r="B8" s="8" t="s">
        <v>282</v>
      </c>
      <c r="C8" s="9">
        <v>186.49</v>
      </c>
      <c r="D8" s="10">
        <v>109.43479000000001</v>
      </c>
      <c r="E8" s="9">
        <f t="shared" si="2"/>
        <v>58.68131803313851</v>
      </c>
      <c r="F8" s="9">
        <f t="shared" si="1"/>
        <v>-77.055210000000002</v>
      </c>
    </row>
    <row r="9" spans="1:6">
      <c r="A9" s="7">
        <v>1030224001</v>
      </c>
      <c r="B9" s="8" t="s">
        <v>288</v>
      </c>
      <c r="C9" s="9">
        <v>2</v>
      </c>
      <c r="D9" s="10">
        <v>0.82211999999999996</v>
      </c>
      <c r="E9" s="9">
        <f t="shared" si="2"/>
        <v>41.105999999999995</v>
      </c>
      <c r="F9" s="9">
        <f t="shared" si="1"/>
        <v>-1.17788</v>
      </c>
    </row>
    <row r="10" spans="1:6">
      <c r="A10" s="7">
        <v>1030225001</v>
      </c>
      <c r="B10" s="8" t="s">
        <v>281</v>
      </c>
      <c r="C10" s="9">
        <v>311.47000000000003</v>
      </c>
      <c r="D10" s="10">
        <v>151.88763</v>
      </c>
      <c r="E10" s="9">
        <f t="shared" si="2"/>
        <v>48.764770282852275</v>
      </c>
      <c r="F10" s="9">
        <f t="shared" si="1"/>
        <v>-159.58237000000003</v>
      </c>
    </row>
    <row r="11" spans="1:6">
      <c r="A11" s="7">
        <v>1030226001</v>
      </c>
      <c r="B11" s="8" t="s">
        <v>290</v>
      </c>
      <c r="C11" s="9">
        <v>0</v>
      </c>
      <c r="D11" s="10">
        <v>-19.901730000000001</v>
      </c>
      <c r="E11" s="9" t="e">
        <f t="shared" si="2"/>
        <v>#DIV/0!</v>
      </c>
      <c r="F11" s="9">
        <f t="shared" si="1"/>
        <v>-19.901730000000001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13.89498</v>
      </c>
      <c r="E12" s="5">
        <f t="shared" si="0"/>
        <v>34.737450000000003</v>
      </c>
      <c r="F12" s="5">
        <f t="shared" si="1"/>
        <v>-26.10502</v>
      </c>
    </row>
    <row r="13" spans="1:6" ht="15.75" customHeight="1">
      <c r="A13" s="7">
        <v>1050300000</v>
      </c>
      <c r="B13" s="11" t="s">
        <v>229</v>
      </c>
      <c r="C13" s="12">
        <v>40</v>
      </c>
      <c r="D13" s="10">
        <v>13.89498</v>
      </c>
      <c r="E13" s="9">
        <f t="shared" si="0"/>
        <v>34.737450000000003</v>
      </c>
      <c r="F13" s="9">
        <f t="shared" si="1"/>
        <v>-26.10502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1929</v>
      </c>
      <c r="D14" s="5">
        <f>D15+D16</f>
        <v>514.18781000000001</v>
      </c>
      <c r="E14" s="5">
        <f t="shared" si="0"/>
        <v>26.655666666666665</v>
      </c>
      <c r="F14" s="5">
        <f t="shared" si="1"/>
        <v>-1414.8121900000001</v>
      </c>
    </row>
    <row r="15" spans="1:6" s="6" customFormat="1" ht="15.75" customHeight="1">
      <c r="A15" s="7">
        <v>1060100000</v>
      </c>
      <c r="B15" s="11" t="s">
        <v>8</v>
      </c>
      <c r="C15" s="9">
        <v>229</v>
      </c>
      <c r="D15" s="10">
        <v>13.092829999999999</v>
      </c>
      <c r="E15" s="9">
        <f t="shared" si="0"/>
        <v>5.7173930131004367</v>
      </c>
      <c r="F15" s="9">
        <f>SUM(D15-C15)</f>
        <v>-215.90717000000001</v>
      </c>
    </row>
    <row r="16" spans="1:6" ht="15.75" customHeight="1">
      <c r="A16" s="7">
        <v>1060600000</v>
      </c>
      <c r="B16" s="11" t="s">
        <v>7</v>
      </c>
      <c r="C16" s="9">
        <v>1700</v>
      </c>
      <c r="D16" s="10">
        <v>501.09498000000002</v>
      </c>
      <c r="E16" s="9">
        <f t="shared" si="0"/>
        <v>29.476175294117645</v>
      </c>
      <c r="F16" s="9">
        <f t="shared" si="1"/>
        <v>-1198.9050199999999</v>
      </c>
    </row>
    <row r="17" spans="1:6" s="6" customFormat="1">
      <c r="A17" s="3">
        <v>1080000000</v>
      </c>
      <c r="B17" s="4" t="s">
        <v>10</v>
      </c>
      <c r="C17" s="5">
        <f>C18</f>
        <v>12</v>
      </c>
      <c r="D17" s="5">
        <f>D18</f>
        <v>5.4</v>
      </c>
      <c r="E17" s="5">
        <f t="shared" si="0"/>
        <v>45</v>
      </c>
      <c r="F17" s="5">
        <f t="shared" si="1"/>
        <v>-6.6</v>
      </c>
    </row>
    <row r="18" spans="1:6" ht="15" customHeight="1">
      <c r="A18" s="7">
        <v>1080400001</v>
      </c>
      <c r="B18" s="8" t="s">
        <v>227</v>
      </c>
      <c r="C18" s="9">
        <v>12</v>
      </c>
      <c r="D18" s="10">
        <v>5.4</v>
      </c>
      <c r="E18" s="9">
        <f t="shared" si="0"/>
        <v>45</v>
      </c>
      <c r="F18" s="9">
        <f t="shared" si="1"/>
        <v>-6.6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232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315.10000000000002</v>
      </c>
      <c r="D25" s="5">
        <f>D26+D29+D31+D36+D34</f>
        <v>158.17434</v>
      </c>
      <c r="E25" s="5">
        <f t="shared" si="0"/>
        <v>50.198140272929223</v>
      </c>
      <c r="F25" s="5">
        <f t="shared" si="1"/>
        <v>-156.92566000000002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275.10000000000002</v>
      </c>
      <c r="D26" s="5">
        <f>D27+D28</f>
        <v>116.11405000000001</v>
      </c>
      <c r="E26" s="5">
        <f t="shared" si="0"/>
        <v>42.207942566339511</v>
      </c>
      <c r="F26" s="5">
        <f t="shared" si="1"/>
        <v>-158.98595</v>
      </c>
    </row>
    <row r="27" spans="1:6">
      <c r="A27" s="16">
        <v>1110502510</v>
      </c>
      <c r="B27" s="17" t="s">
        <v>225</v>
      </c>
      <c r="C27" s="12">
        <v>224.4</v>
      </c>
      <c r="D27" s="10">
        <v>82.555300000000003</v>
      </c>
      <c r="E27" s="9">
        <f t="shared" si="0"/>
        <v>36.789349376114082</v>
      </c>
      <c r="F27" s="9">
        <f t="shared" si="1"/>
        <v>-141.84469999999999</v>
      </c>
    </row>
    <row r="28" spans="1:6">
      <c r="A28" s="7">
        <v>1110503510</v>
      </c>
      <c r="B28" s="11" t="s">
        <v>224</v>
      </c>
      <c r="C28" s="12">
        <v>50.7</v>
      </c>
      <c r="D28" s="10">
        <v>33.558750000000003</v>
      </c>
      <c r="E28" s="9">
        <f t="shared" si="0"/>
        <v>66.190828402366861</v>
      </c>
      <c r="F28" s="9">
        <f t="shared" si="1"/>
        <v>-17.141249999999999</v>
      </c>
    </row>
    <row r="29" spans="1:6" s="15" customFormat="1" ht="19.5" customHeight="1">
      <c r="A29" s="68">
        <v>1130000000</v>
      </c>
      <c r="B29" s="69" t="s">
        <v>130</v>
      </c>
      <c r="C29" s="5">
        <f>C30</f>
        <v>40</v>
      </c>
      <c r="D29" s="5">
        <f>D30</f>
        <v>42.060290000000002</v>
      </c>
      <c r="E29" s="5">
        <f t="shared" si="0"/>
        <v>105.15072499999999</v>
      </c>
      <c r="F29" s="5">
        <f t="shared" si="1"/>
        <v>2.060290000000002</v>
      </c>
    </row>
    <row r="30" spans="1:6" ht="21" customHeight="1">
      <c r="A30" s="7">
        <v>1130206510</v>
      </c>
      <c r="B30" s="8" t="s">
        <v>14</v>
      </c>
      <c r="C30" s="9">
        <v>40</v>
      </c>
      <c r="D30" s="10">
        <v>42.060290000000002</v>
      </c>
      <c r="E30" s="9">
        <f t="shared" si="0"/>
        <v>105.15072499999999</v>
      </c>
      <c r="F30" s="9">
        <f t="shared" si="1"/>
        <v>2.060290000000002</v>
      </c>
    </row>
    <row r="31" spans="1:6" ht="25.5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5.5" customHeight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27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251</v>
      </c>
      <c r="C34" s="9">
        <v>0</v>
      </c>
      <c r="D34" s="14">
        <f>D35</f>
        <v>0</v>
      </c>
      <c r="E34" s="9" t="e">
        <f t="shared" si="0"/>
        <v>#DIV/0!</v>
      </c>
      <c r="F34" s="9">
        <f t="shared" si="1"/>
        <v>0</v>
      </c>
    </row>
    <row r="35" spans="1:7" ht="47.25">
      <c r="A35" s="7">
        <v>1163305010</v>
      </c>
      <c r="B35" s="8" t="s">
        <v>267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134</v>
      </c>
      <c r="C36" s="5">
        <f>C37+C38</f>
        <v>0</v>
      </c>
      <c r="D36" s="5">
        <f>D37+D38</f>
        <v>0</v>
      </c>
      <c r="E36" s="9" t="e">
        <f t="shared" si="0"/>
        <v>#DIV/0!</v>
      </c>
      <c r="F36" s="5">
        <f t="shared" si="1"/>
        <v>0</v>
      </c>
    </row>
    <row r="37" spans="1:7" ht="18" customHeight="1">
      <c r="A37" s="7">
        <v>1170105005</v>
      </c>
      <c r="B37" s="8" t="s">
        <v>17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hidden="1" customHeight="1">
      <c r="A38" s="7">
        <v>1170505005</v>
      </c>
      <c r="B38" s="11" t="s">
        <v>220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18</v>
      </c>
      <c r="C39" s="127">
        <f>SUM(C4,C25)</f>
        <v>2928.692</v>
      </c>
      <c r="D39" s="127">
        <f>SUM(D4,D25)</f>
        <v>981.51033000000007</v>
      </c>
      <c r="E39" s="5">
        <f t="shared" si="0"/>
        <v>33.513607098322396</v>
      </c>
      <c r="F39" s="5">
        <f t="shared" si="1"/>
        <v>-1947.1816699999999</v>
      </c>
    </row>
    <row r="40" spans="1:7" s="6" customFormat="1">
      <c r="A40" s="3">
        <v>2000000000</v>
      </c>
      <c r="B40" s="4" t="s">
        <v>19</v>
      </c>
      <c r="C40" s="5">
        <f>C41+C43+C44+C45+C46+C47+C48+C42</f>
        <v>3643.8406199999995</v>
      </c>
      <c r="D40" s="5">
        <f>SUM(D41:D48)</f>
        <v>631.2700000000001</v>
      </c>
      <c r="E40" s="5">
        <f t="shared" si="0"/>
        <v>17.324303278665358</v>
      </c>
      <c r="F40" s="5">
        <f t="shared" si="1"/>
        <v>-3012.5706199999995</v>
      </c>
      <c r="G40" s="19"/>
    </row>
    <row r="41" spans="1:7" ht="15" customHeight="1">
      <c r="A41" s="16">
        <v>2021000000</v>
      </c>
      <c r="B41" s="17" t="s">
        <v>20</v>
      </c>
      <c r="C41" s="12">
        <v>767.8</v>
      </c>
      <c r="D41" s="402">
        <v>319.91500000000002</v>
      </c>
      <c r="E41" s="9">
        <f t="shared" si="0"/>
        <v>41.666449596249031</v>
      </c>
      <c r="F41" s="9">
        <f t="shared" si="1"/>
        <v>-447.88499999999993</v>
      </c>
    </row>
    <row r="42" spans="1:7" ht="15" customHeight="1">
      <c r="A42" s="16">
        <v>2021500200</v>
      </c>
      <c r="B42" s="17" t="s">
        <v>231</v>
      </c>
      <c r="C42" s="12">
        <v>830</v>
      </c>
      <c r="D42" s="20">
        <v>0</v>
      </c>
      <c r="E42" s="9">
        <f>SUM(D42/C42*100)</f>
        <v>0</v>
      </c>
      <c r="F42" s="9">
        <f>SUM(D42-C42)</f>
        <v>-830</v>
      </c>
    </row>
    <row r="43" spans="1:7">
      <c r="A43" s="16">
        <v>2022000000</v>
      </c>
      <c r="B43" s="17" t="s">
        <v>21</v>
      </c>
      <c r="C43" s="12">
        <v>1855.8026199999999</v>
      </c>
      <c r="D43" s="10">
        <v>274.05399999999997</v>
      </c>
      <c r="E43" s="9">
        <f t="shared" si="0"/>
        <v>14.767410986842986</v>
      </c>
      <c r="F43" s="9">
        <f t="shared" si="1"/>
        <v>-1581.7486199999998</v>
      </c>
    </row>
    <row r="44" spans="1:7" ht="18.75" customHeight="1">
      <c r="A44" s="16">
        <v>2023000000</v>
      </c>
      <c r="B44" s="17" t="s">
        <v>22</v>
      </c>
      <c r="C44" s="12">
        <v>91.736000000000004</v>
      </c>
      <c r="D44" s="248">
        <v>37.301000000000002</v>
      </c>
      <c r="E44" s="9">
        <f t="shared" si="0"/>
        <v>40.661245312636261</v>
      </c>
      <c r="F44" s="9">
        <f t="shared" si="1"/>
        <v>-54.435000000000002</v>
      </c>
    </row>
    <row r="45" spans="1:7" ht="17.25" customHeight="1">
      <c r="A45" s="16">
        <v>2024000000</v>
      </c>
      <c r="B45" s="17" t="s">
        <v>23</v>
      </c>
      <c r="C45" s="12">
        <v>98.501999999999995</v>
      </c>
      <c r="D45" s="249">
        <v>0</v>
      </c>
      <c r="E45" s="9">
        <f t="shared" si="0"/>
        <v>0</v>
      </c>
      <c r="F45" s="9">
        <f t="shared" si="1"/>
        <v>-98.501999999999995</v>
      </c>
    </row>
    <row r="46" spans="1:7" ht="16.5" hidden="1" customHeight="1">
      <c r="A46" s="16">
        <v>2020900000</v>
      </c>
      <c r="B46" s="18" t="s">
        <v>24</v>
      </c>
      <c r="C46" s="12"/>
      <c r="D46" s="249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25</v>
      </c>
      <c r="C47" s="10">
        <v>0</v>
      </c>
      <c r="D47" s="404">
        <v>0</v>
      </c>
      <c r="E47" s="5" t="e">
        <f t="shared" si="0"/>
        <v>#DIV/0!</v>
      </c>
      <c r="F47" s="5">
        <f>SUM(D47-C47)</f>
        <v>0</v>
      </c>
    </row>
    <row r="48" spans="1:7" ht="18" customHeight="1">
      <c r="A48" s="7">
        <v>2070502010</v>
      </c>
      <c r="B48" s="11" t="s">
        <v>302</v>
      </c>
      <c r="C48" s="10">
        <v>0</v>
      </c>
      <c r="D48" s="10">
        <v>0</v>
      </c>
      <c r="E48" s="9" t="e">
        <f>SUM(D48/C48*100)</f>
        <v>#DIV/0!</v>
      </c>
      <c r="F48" s="9">
        <f>SUM(D48-C48)</f>
        <v>0</v>
      </c>
    </row>
    <row r="49" spans="1:8" s="6" customFormat="1">
      <c r="A49" s="350">
        <v>2190000010</v>
      </c>
      <c r="B49" s="351" t="s">
        <v>25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8" s="6" customFormat="1" ht="19.5" customHeight="1">
      <c r="A50" s="3"/>
      <c r="B50" s="4" t="s">
        <v>27</v>
      </c>
      <c r="C50" s="363">
        <f>C39+C40</f>
        <v>6572.53262</v>
      </c>
      <c r="D50" s="364">
        <f>D39+D40</f>
        <v>1612.78033</v>
      </c>
      <c r="E50" s="5">
        <f t="shared" si="0"/>
        <v>24.538186772818179</v>
      </c>
      <c r="F50" s="5">
        <f t="shared" si="1"/>
        <v>-4959.7522900000004</v>
      </c>
      <c r="G50" s="94">
        <f>5774.03062-C50</f>
        <v>-798.5019999999995</v>
      </c>
      <c r="H50" s="426"/>
    </row>
    <row r="51" spans="1:8" s="6" customFormat="1">
      <c r="A51" s="3"/>
      <c r="B51" s="21" t="s">
        <v>320</v>
      </c>
      <c r="C51" s="93">
        <f>C50-C97</f>
        <v>-182.90051999999832</v>
      </c>
      <c r="D51" s="93">
        <f>D50-D97</f>
        <v>131.29269999999997</v>
      </c>
      <c r="E51" s="22"/>
      <c r="F51" s="22"/>
    </row>
    <row r="52" spans="1:8">
      <c r="A52" s="23"/>
      <c r="B52" s="24"/>
      <c r="C52" s="347"/>
      <c r="D52" s="347" t="s">
        <v>336</v>
      </c>
      <c r="E52" s="26"/>
      <c r="F52" s="92"/>
    </row>
    <row r="53" spans="1:8" ht="50.25" customHeight="1">
      <c r="A53" s="28" t="s">
        <v>0</v>
      </c>
      <c r="B53" s="28" t="s">
        <v>28</v>
      </c>
      <c r="C53" s="240" t="s">
        <v>411</v>
      </c>
      <c r="D53" s="241" t="s">
        <v>419</v>
      </c>
      <c r="E53" s="72" t="s">
        <v>2</v>
      </c>
      <c r="F53" s="74" t="s">
        <v>3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30.75" customHeight="1">
      <c r="A55" s="30" t="s">
        <v>29</v>
      </c>
      <c r="B55" s="31" t="s">
        <v>30</v>
      </c>
      <c r="C55" s="243">
        <f>C56+C57+C58+C59+C60+C62+C61</f>
        <v>1454.2819999999999</v>
      </c>
      <c r="D55" s="32">
        <f>D56+D57+D58+D59+D60+D62+D61</f>
        <v>494.03646000000003</v>
      </c>
      <c r="E55" s="34">
        <f>SUM(D55/C55*100)</f>
        <v>33.971159651291842</v>
      </c>
      <c r="F55" s="34">
        <f>SUM(D55-C55)</f>
        <v>-960.24553999999989</v>
      </c>
    </row>
    <row r="56" spans="1:8" s="6" customFormat="1" ht="31.5" hidden="1">
      <c r="A56" s="35" t="s">
        <v>31</v>
      </c>
      <c r="B56" s="36" t="s">
        <v>32</v>
      </c>
      <c r="C56" s="37"/>
      <c r="D56" s="37"/>
      <c r="E56" s="34" t="e">
        <f>SUM(D56/C56*100)</f>
        <v>#DIV/0!</v>
      </c>
      <c r="F56" s="38"/>
    </row>
    <row r="57" spans="1:8" ht="15" customHeight="1">
      <c r="A57" s="35" t="s">
        <v>33</v>
      </c>
      <c r="B57" s="39" t="s">
        <v>34</v>
      </c>
      <c r="C57" s="37">
        <v>1425.6</v>
      </c>
      <c r="D57" s="37">
        <v>490.35446000000002</v>
      </c>
      <c r="E57" s="34">
        <f>SUM(D57/C57*100)</f>
        <v>34.396356621773293</v>
      </c>
      <c r="F57" s="38">
        <f t="shared" ref="F57:F97" si="3">SUM(D57-C57)</f>
        <v>-935.24553999999989</v>
      </c>
    </row>
    <row r="58" spans="1:8" ht="16.5" hidden="1" customHeight="1">
      <c r="A58" s="35" t="s">
        <v>35</v>
      </c>
      <c r="B58" s="39" t="s">
        <v>36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8" ht="31.5" hidden="1" customHeight="1">
      <c r="A59" s="35" t="s">
        <v>37</v>
      </c>
      <c r="B59" s="39" t="s">
        <v>38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8" hidden="1">
      <c r="A60" s="35" t="s">
        <v>39</v>
      </c>
      <c r="B60" s="39" t="s">
        <v>40</v>
      </c>
      <c r="C60" s="37">
        <v>0</v>
      </c>
      <c r="D60" s="37">
        <v>0</v>
      </c>
      <c r="E60" s="38" t="e">
        <f t="shared" ref="E60:E97" si="4">SUM(D60/C60*100)</f>
        <v>#DIV/0!</v>
      </c>
      <c r="F60" s="38">
        <f t="shared" si="3"/>
        <v>0</v>
      </c>
    </row>
    <row r="61" spans="1:8">
      <c r="A61" s="35" t="s">
        <v>41</v>
      </c>
      <c r="B61" s="39" t="s">
        <v>42</v>
      </c>
      <c r="C61" s="40">
        <v>5</v>
      </c>
      <c r="D61" s="40">
        <v>0</v>
      </c>
      <c r="E61" s="38">
        <f t="shared" si="4"/>
        <v>0</v>
      </c>
      <c r="F61" s="38">
        <f t="shared" si="3"/>
        <v>-5</v>
      </c>
    </row>
    <row r="62" spans="1:8" ht="19.5" customHeight="1">
      <c r="A62" s="35" t="s">
        <v>43</v>
      </c>
      <c r="B62" s="39" t="s">
        <v>44</v>
      </c>
      <c r="C62" s="37">
        <v>23.681999999999999</v>
      </c>
      <c r="D62" s="37">
        <v>3.6819999999999999</v>
      </c>
      <c r="E62" s="38">
        <f t="shared" si="4"/>
        <v>15.547673338400472</v>
      </c>
      <c r="F62" s="38">
        <f t="shared" si="3"/>
        <v>-20</v>
      </c>
    </row>
    <row r="63" spans="1:8" s="6" customFormat="1">
      <c r="A63" s="41" t="s">
        <v>45</v>
      </c>
      <c r="B63" s="42" t="s">
        <v>46</v>
      </c>
      <c r="C63" s="32">
        <f>C64</f>
        <v>89.945999999999998</v>
      </c>
      <c r="D63" s="32">
        <f>D64</f>
        <v>31.673159999999999</v>
      </c>
      <c r="E63" s="34">
        <f t="shared" si="4"/>
        <v>35.213528116870123</v>
      </c>
      <c r="F63" s="34">
        <f t="shared" si="3"/>
        <v>-58.272840000000002</v>
      </c>
    </row>
    <row r="64" spans="1:8">
      <c r="A64" s="43" t="s">
        <v>47</v>
      </c>
      <c r="B64" s="44" t="s">
        <v>48</v>
      </c>
      <c r="C64" s="37">
        <v>89.945999999999998</v>
      </c>
      <c r="D64" s="37">
        <v>31.673159999999999</v>
      </c>
      <c r="E64" s="38">
        <f t="shared" si="4"/>
        <v>35.213528116870123</v>
      </c>
      <c r="F64" s="38">
        <f t="shared" si="3"/>
        <v>-58.272840000000002</v>
      </c>
    </row>
    <row r="65" spans="1:7" s="6" customFormat="1" ht="21" customHeight="1">
      <c r="A65" s="30" t="s">
        <v>49</v>
      </c>
      <c r="B65" s="31" t="s">
        <v>50</v>
      </c>
      <c r="C65" s="32">
        <f>C68+C69+C70</f>
        <v>24.314999999999998</v>
      </c>
      <c r="D65" s="32">
        <f>D68+D69</f>
        <v>3.6</v>
      </c>
      <c r="E65" s="34">
        <f t="shared" si="4"/>
        <v>14.805675508945098</v>
      </c>
      <c r="F65" s="34">
        <f t="shared" si="3"/>
        <v>-20.714999999999996</v>
      </c>
    </row>
    <row r="66" spans="1:7" hidden="1">
      <c r="A66" s="35" t="s">
        <v>51</v>
      </c>
      <c r="B66" s="39" t="s">
        <v>52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53</v>
      </c>
      <c r="B67" s="39" t="s">
        <v>54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55</v>
      </c>
      <c r="B68" s="47" t="s">
        <v>56</v>
      </c>
      <c r="C68" s="37">
        <v>2.4</v>
      </c>
      <c r="D68" s="37">
        <v>0</v>
      </c>
      <c r="E68" s="34">
        <f t="shared" si="4"/>
        <v>0</v>
      </c>
      <c r="F68" s="34">
        <f t="shared" si="3"/>
        <v>-2.4</v>
      </c>
    </row>
    <row r="69" spans="1:7">
      <c r="A69" s="46" t="s">
        <v>218</v>
      </c>
      <c r="B69" s="47" t="s">
        <v>219</v>
      </c>
      <c r="C69" s="37">
        <v>19.914999999999999</v>
      </c>
      <c r="D69" s="37">
        <v>3.6</v>
      </c>
      <c r="E69" s="34">
        <f t="shared" si="4"/>
        <v>18.076826512678888</v>
      </c>
      <c r="F69" s="34">
        <f t="shared" si="3"/>
        <v>-16.314999999999998</v>
      </c>
    </row>
    <row r="70" spans="1:7">
      <c r="A70" s="46" t="s">
        <v>357</v>
      </c>
      <c r="B70" s="47" t="s">
        <v>414</v>
      </c>
      <c r="C70" s="37">
        <v>2</v>
      </c>
      <c r="D70" s="37"/>
      <c r="E70" s="34"/>
      <c r="F70" s="34"/>
    </row>
    <row r="71" spans="1:7" s="6" customFormat="1" ht="17.25" customHeight="1">
      <c r="A71" s="30" t="s">
        <v>57</v>
      </c>
      <c r="B71" s="31" t="s">
        <v>58</v>
      </c>
      <c r="C71" s="48">
        <f>SUM(C72:C75)</f>
        <v>3106.1230399999999</v>
      </c>
      <c r="D71" s="48">
        <f>SUM(D72:D75)</f>
        <v>431.64529000000005</v>
      </c>
      <c r="E71" s="34">
        <f t="shared" si="4"/>
        <v>13.896593420201411</v>
      </c>
      <c r="F71" s="34">
        <f t="shared" si="3"/>
        <v>-2674.47775</v>
      </c>
    </row>
    <row r="72" spans="1:7">
      <c r="A72" s="35" t="s">
        <v>59</v>
      </c>
      <c r="B72" s="39" t="s">
        <v>60</v>
      </c>
      <c r="C72" s="49">
        <v>4.0214999999999996</v>
      </c>
      <c r="D72" s="37">
        <v>0</v>
      </c>
      <c r="E72" s="38">
        <f t="shared" si="4"/>
        <v>0</v>
      </c>
      <c r="F72" s="38">
        <f t="shared" si="3"/>
        <v>-4.0214999999999996</v>
      </c>
    </row>
    <row r="73" spans="1:7" s="6" customFormat="1">
      <c r="A73" s="35" t="s">
        <v>61</v>
      </c>
      <c r="B73" s="39" t="s">
        <v>62</v>
      </c>
      <c r="C73" s="49">
        <v>1048.1858199999999</v>
      </c>
      <c r="D73" s="37">
        <v>66.918289999999999</v>
      </c>
      <c r="E73" s="38">
        <f t="shared" si="4"/>
        <v>6.3842010379419181</v>
      </c>
      <c r="F73" s="38">
        <f t="shared" si="3"/>
        <v>-981.26752999999997</v>
      </c>
      <c r="G73" s="50"/>
    </row>
    <row r="74" spans="1:7">
      <c r="A74" s="35" t="s">
        <v>63</v>
      </c>
      <c r="B74" s="39" t="s">
        <v>64</v>
      </c>
      <c r="C74" s="49">
        <v>1975.41372</v>
      </c>
      <c r="D74" s="37">
        <v>342.42500000000001</v>
      </c>
      <c r="E74" s="38">
        <f t="shared" si="4"/>
        <v>17.334343511596142</v>
      </c>
      <c r="F74" s="38">
        <f t="shared" si="3"/>
        <v>-1632.9887200000001</v>
      </c>
    </row>
    <row r="75" spans="1:7">
      <c r="A75" s="35" t="s">
        <v>65</v>
      </c>
      <c r="B75" s="39" t="s">
        <v>66</v>
      </c>
      <c r="C75" s="49">
        <v>78.501999999999995</v>
      </c>
      <c r="D75" s="37">
        <v>22.302</v>
      </c>
      <c r="E75" s="38">
        <f t="shared" si="4"/>
        <v>28.40946727471912</v>
      </c>
      <c r="F75" s="38">
        <f t="shared" si="3"/>
        <v>-56.199999999999996</v>
      </c>
    </row>
    <row r="76" spans="1:7" s="6" customFormat="1" ht="16.5" customHeight="1">
      <c r="A76" s="30" t="s">
        <v>67</v>
      </c>
      <c r="B76" s="31" t="s">
        <v>68</v>
      </c>
      <c r="C76" s="32">
        <f>SUM(C77:C79)</f>
        <v>379.23410000000001</v>
      </c>
      <c r="D76" s="32">
        <f>SUM(D77:D79)</f>
        <v>83.809719999999999</v>
      </c>
      <c r="E76" s="34">
        <f t="shared" si="4"/>
        <v>22.099732065233585</v>
      </c>
      <c r="F76" s="34">
        <f t="shared" si="3"/>
        <v>-295.42438000000004</v>
      </c>
    </row>
    <row r="77" spans="1:7" ht="0.75" hidden="1" customHeight="1">
      <c r="A77" s="35" t="s">
        <v>69</v>
      </c>
      <c r="B77" s="51" t="s">
        <v>70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 ht="17.25" hidden="1" customHeight="1">
      <c r="A78" s="35" t="s">
        <v>71</v>
      </c>
      <c r="B78" s="51" t="s">
        <v>72</v>
      </c>
      <c r="C78" s="37">
        <v>0</v>
      </c>
      <c r="D78" s="37">
        <v>0</v>
      </c>
      <c r="E78" s="38" t="e">
        <f t="shared" si="4"/>
        <v>#DIV/0!</v>
      </c>
      <c r="F78" s="38">
        <f t="shared" si="3"/>
        <v>0</v>
      </c>
    </row>
    <row r="79" spans="1:7">
      <c r="A79" s="35" t="s">
        <v>73</v>
      </c>
      <c r="B79" s="39" t="s">
        <v>74</v>
      </c>
      <c r="C79" s="37">
        <v>379.23410000000001</v>
      </c>
      <c r="D79" s="37">
        <v>83.809719999999999</v>
      </c>
      <c r="E79" s="38">
        <f t="shared" si="4"/>
        <v>22.099732065233585</v>
      </c>
      <c r="F79" s="38">
        <f t="shared" si="3"/>
        <v>-295.42438000000004</v>
      </c>
    </row>
    <row r="80" spans="1:7" s="6" customFormat="1">
      <c r="A80" s="30" t="s">
        <v>85</v>
      </c>
      <c r="B80" s="31" t="s">
        <v>86</v>
      </c>
      <c r="C80" s="32">
        <f>C81</f>
        <v>1681.2</v>
      </c>
      <c r="D80" s="32">
        <f>SUM(D81)</f>
        <v>426.39</v>
      </c>
      <c r="E80" s="34">
        <f t="shared" si="4"/>
        <v>25.362241256245539</v>
      </c>
      <c r="F80" s="34">
        <f t="shared" si="3"/>
        <v>-1254.81</v>
      </c>
    </row>
    <row r="81" spans="1:6" ht="15.75" customHeight="1">
      <c r="A81" s="35" t="s">
        <v>87</v>
      </c>
      <c r="B81" s="39" t="s">
        <v>233</v>
      </c>
      <c r="C81" s="37">
        <v>1681.2</v>
      </c>
      <c r="D81" s="37">
        <v>426.39</v>
      </c>
      <c r="E81" s="38">
        <f t="shared" si="4"/>
        <v>25.362241256245539</v>
      </c>
      <c r="F81" s="38">
        <f t="shared" si="3"/>
        <v>-1254.81</v>
      </c>
    </row>
    <row r="82" spans="1:6" s="6" customFormat="1" ht="0.75" hidden="1" customHeight="1">
      <c r="A82" s="52">
        <v>1000</v>
      </c>
      <c r="B82" s="31" t="s">
        <v>88</v>
      </c>
      <c r="C82" s="32">
        <f>SUM(C83:C86)</f>
        <v>0</v>
      </c>
      <c r="D82" s="32">
        <f>SUM(D83:D86)</f>
        <v>0</v>
      </c>
      <c r="E82" s="34" t="e">
        <f t="shared" si="4"/>
        <v>#DIV/0!</v>
      </c>
      <c r="F82" s="34">
        <f t="shared" si="3"/>
        <v>0</v>
      </c>
    </row>
    <row r="83" spans="1:6" ht="0.75" hidden="1" customHeight="1">
      <c r="A83" s="53">
        <v>1001</v>
      </c>
      <c r="B83" s="54" t="s">
        <v>89</v>
      </c>
      <c r="C83" s="37"/>
      <c r="D83" s="37"/>
      <c r="E83" s="38" t="e">
        <f t="shared" si="4"/>
        <v>#DIV/0!</v>
      </c>
      <c r="F83" s="38">
        <f t="shared" si="3"/>
        <v>0</v>
      </c>
    </row>
    <row r="84" spans="1:6" hidden="1">
      <c r="A84" s="53">
        <v>1003</v>
      </c>
      <c r="B84" s="54" t="s">
        <v>90</v>
      </c>
      <c r="C84" s="37">
        <v>0</v>
      </c>
      <c r="D84" s="37">
        <v>0</v>
      </c>
      <c r="E84" s="38" t="e">
        <f t="shared" si="4"/>
        <v>#DIV/0!</v>
      </c>
      <c r="F84" s="38">
        <f t="shared" si="3"/>
        <v>0</v>
      </c>
    </row>
    <row r="85" spans="1:6" hidden="1">
      <c r="A85" s="53">
        <v>1004</v>
      </c>
      <c r="B85" s="54" t="s">
        <v>91</v>
      </c>
      <c r="C85" s="37"/>
      <c r="D85" s="55"/>
      <c r="E85" s="38" t="e">
        <f t="shared" si="4"/>
        <v>#DIV/0!</v>
      </c>
      <c r="F85" s="38">
        <f t="shared" si="3"/>
        <v>0</v>
      </c>
    </row>
    <row r="86" spans="1:6" hidden="1">
      <c r="A86" s="35" t="s">
        <v>92</v>
      </c>
      <c r="B86" s="39" t="s">
        <v>93</v>
      </c>
      <c r="C86" s="37">
        <v>0</v>
      </c>
      <c r="D86" s="37">
        <v>0</v>
      </c>
      <c r="E86" s="38"/>
      <c r="F86" s="38">
        <f t="shared" si="3"/>
        <v>0</v>
      </c>
    </row>
    <row r="87" spans="1:6">
      <c r="A87" s="30" t="s">
        <v>94</v>
      </c>
      <c r="B87" s="31" t="s">
        <v>95</v>
      </c>
      <c r="C87" s="32">
        <f>C88+C89+C90+C91+C92</f>
        <v>20.332999999999998</v>
      </c>
      <c r="D87" s="32">
        <f>D88+D89+D90+D91+D92</f>
        <v>10.333</v>
      </c>
      <c r="E87" s="38">
        <f t="shared" si="4"/>
        <v>50.818865883047273</v>
      </c>
      <c r="F87" s="22">
        <f>F88+F89+F90+F91+F92</f>
        <v>-9.9999999999999982</v>
      </c>
    </row>
    <row r="88" spans="1:6" ht="17.25" customHeight="1">
      <c r="A88" s="35" t="s">
        <v>96</v>
      </c>
      <c r="B88" s="39" t="s">
        <v>97</v>
      </c>
      <c r="C88" s="37">
        <v>20.332999999999998</v>
      </c>
      <c r="D88" s="37">
        <v>10.333</v>
      </c>
      <c r="E88" s="38">
        <f t="shared" si="4"/>
        <v>50.818865883047273</v>
      </c>
      <c r="F88" s="38">
        <f>SUM(D88-C88)</f>
        <v>-9.9999999999999982</v>
      </c>
    </row>
    <row r="89" spans="1:6" ht="15.75" hidden="1" customHeight="1">
      <c r="A89" s="35" t="s">
        <v>98</v>
      </c>
      <c r="B89" s="39" t="s">
        <v>99</v>
      </c>
      <c r="C89" s="37"/>
      <c r="D89" s="37"/>
      <c r="E89" s="38" t="e">
        <f t="shared" si="4"/>
        <v>#DIV/0!</v>
      </c>
      <c r="F89" s="38">
        <f>SUM(D89-C89)</f>
        <v>0</v>
      </c>
    </row>
    <row r="90" spans="1:6" ht="15.75" hidden="1" customHeight="1">
      <c r="A90" s="35" t="s">
        <v>100</v>
      </c>
      <c r="B90" s="39" t="s">
        <v>101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102</v>
      </c>
      <c r="B91" s="39" t="s">
        <v>103</v>
      </c>
      <c r="C91" s="37"/>
      <c r="D91" s="37"/>
      <c r="E91" s="38" t="e">
        <f t="shared" si="4"/>
        <v>#DIV/0!</v>
      </c>
      <c r="F91" s="38"/>
    </row>
    <row r="92" spans="1:6" ht="15.75" hidden="1" customHeight="1">
      <c r="A92" s="35" t="s">
        <v>104</v>
      </c>
      <c r="B92" s="39" t="s">
        <v>105</v>
      </c>
      <c r="C92" s="37"/>
      <c r="D92" s="37"/>
      <c r="E92" s="38" t="e">
        <f t="shared" si="4"/>
        <v>#DIV/0!</v>
      </c>
      <c r="F92" s="38"/>
    </row>
    <row r="93" spans="1:6" s="6" customFormat="1" ht="15.75" hidden="1" customHeight="1">
      <c r="A93" s="52">
        <v>1400</v>
      </c>
      <c r="B93" s="56" t="s">
        <v>114</v>
      </c>
      <c r="C93" s="48">
        <f>C94+C95+C96</f>
        <v>0</v>
      </c>
      <c r="D93" s="48">
        <f>SUM(D94:D96)</f>
        <v>0</v>
      </c>
      <c r="E93" s="34" t="e">
        <f t="shared" si="4"/>
        <v>#DIV/0!</v>
      </c>
      <c r="F93" s="34">
        <f t="shared" si="3"/>
        <v>0</v>
      </c>
    </row>
    <row r="94" spans="1:6" ht="15.75" hidden="1" customHeight="1">
      <c r="A94" s="53">
        <v>1401</v>
      </c>
      <c r="B94" s="54" t="s">
        <v>115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1402</v>
      </c>
      <c r="B95" s="54" t="s">
        <v>116</v>
      </c>
      <c r="C95" s="49"/>
      <c r="D95" s="37"/>
      <c r="E95" s="38" t="e">
        <f t="shared" si="4"/>
        <v>#DIV/0!</v>
      </c>
      <c r="F95" s="38">
        <f t="shared" si="3"/>
        <v>0</v>
      </c>
    </row>
    <row r="96" spans="1:6" ht="15.75" hidden="1" customHeight="1">
      <c r="A96" s="53">
        <v>1403</v>
      </c>
      <c r="B96" s="54" t="s">
        <v>117</v>
      </c>
      <c r="C96" s="49">
        <v>0</v>
      </c>
      <c r="D96" s="37">
        <v>0</v>
      </c>
      <c r="E96" s="38" t="e">
        <f t="shared" si="4"/>
        <v>#DIV/0!</v>
      </c>
      <c r="F96" s="38">
        <f t="shared" si="3"/>
        <v>0</v>
      </c>
    </row>
    <row r="97" spans="1:8" s="6" customFormat="1" ht="15.75" customHeight="1">
      <c r="A97" s="52"/>
      <c r="B97" s="57" t="s">
        <v>118</v>
      </c>
      <c r="C97" s="366">
        <f>C55+C63+C71+C76+C80+C82+C87+C65+C93</f>
        <v>6755.4331399999983</v>
      </c>
      <c r="D97" s="366">
        <f>D55+D63+D71+D76+D80+D82+D87+D65+D93</f>
        <v>1481.4876300000001</v>
      </c>
      <c r="E97" s="34">
        <f t="shared" si="4"/>
        <v>21.930312968799516</v>
      </c>
      <c r="F97" s="34">
        <f t="shared" si="3"/>
        <v>-5273.9455099999977</v>
      </c>
      <c r="G97" s="290">
        <f>5956.93114-C97</f>
        <v>-798.50199999999859</v>
      </c>
      <c r="H97" s="290">
        <f>D97-1303.11985</f>
        <v>178.36778000000004</v>
      </c>
    </row>
    <row r="98" spans="1:8">
      <c r="C98" s="126"/>
      <c r="D98" s="101"/>
    </row>
    <row r="99" spans="1:8" s="65" customFormat="1" ht="16.5" customHeight="1">
      <c r="A99" s="63" t="s">
        <v>119</v>
      </c>
      <c r="B99" s="63"/>
      <c r="C99" s="246"/>
      <c r="D99" s="246"/>
      <c r="E99" s="64"/>
    </row>
    <row r="100" spans="1:8" s="65" customFormat="1" ht="20.25" customHeight="1">
      <c r="A100" s="66" t="s">
        <v>120</v>
      </c>
      <c r="B100" s="66"/>
      <c r="C100" s="65" t="s">
        <v>121</v>
      </c>
    </row>
    <row r="101" spans="1:8" ht="13.5" customHeight="1">
      <c r="C101" s="120"/>
    </row>
    <row r="103" spans="1:8" ht="5.25" customHeight="1"/>
    <row r="142" hidden="1"/>
  </sheetData>
  <customSheetViews>
    <customSheetView guid="{61528DAC-5C4C-48F4-ADE2-8A724B05A086}" scale="70" showPageBreaks="1" printArea="1" hiddenRows="1" view="pageBreakPreview" topLeftCell="A16">
      <selection activeCell="A70" sqref="A70:XFD70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2"/>
    </customSheetView>
    <customSheetView guid="{1A52382B-3765-4E8C-903F-6B8919B7242E}" scale="70" showPageBreaks="1" printArea="1" hiddenRows="1" view="pageBreakPreview" topLeftCell="A25">
      <selection activeCell="C74" sqref="C74"/>
      <pageMargins left="0.7" right="0.7" top="0.75" bottom="0.75" header="0.3" footer="0.3"/>
      <pageSetup paperSize="9" scale="55" orientation="portrait" r:id="rId3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7" orientation="portrait" r:id="rId5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6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B31C8DB7-3E78-4144-A6B5-8DE36DE63F0E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8"/>
    </customSheetView>
    <customSheetView guid="{B30CE22D-C12F-4E12-8BB9-3AAE0A6991CC}" scale="70" showPageBreaks="1" printArea="1" hiddenRows="1" view="pageBreakPreview" topLeftCell="A31">
      <selection activeCell="D75" sqref="D75"/>
      <pageMargins left="0.70866141732283472" right="0.70866141732283472" top="0.74803149606299213" bottom="0.74803149606299213" header="0.31496062992125984" footer="0.31496062992125984"/>
      <pageSetup paperSize="9" scale="57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H142"/>
  <sheetViews>
    <sheetView tabSelected="1" view="pageBreakPreview" topLeftCell="A34" zoomScale="70" zoomScaleSheetLayoutView="70" workbookViewId="0">
      <selection activeCell="E48" sqref="E48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9" style="62" customWidth="1"/>
    <col min="7" max="7" width="15.5703125" style="1" bestFit="1" customWidth="1"/>
    <col min="8" max="8" width="11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5" t="s">
        <v>438</v>
      </c>
      <c r="B1" s="525"/>
      <c r="C1" s="525"/>
      <c r="D1" s="525"/>
      <c r="E1" s="525"/>
      <c r="F1" s="525"/>
    </row>
    <row r="2" spans="1:6">
      <c r="A2" s="525"/>
      <c r="B2" s="525"/>
      <c r="C2" s="525"/>
      <c r="D2" s="525"/>
      <c r="E2" s="525"/>
      <c r="F2" s="525"/>
    </row>
    <row r="3" spans="1:6" ht="63">
      <c r="A3" s="2" t="s">
        <v>0</v>
      </c>
      <c r="B3" s="2" t="s">
        <v>1</v>
      </c>
      <c r="C3" s="72" t="s">
        <v>411</v>
      </c>
      <c r="D3" s="73" t="s">
        <v>422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1272.8040000000001</v>
      </c>
      <c r="D4" s="5">
        <f>D5+D12+D14+D17+D7</f>
        <v>417.93543999999997</v>
      </c>
      <c r="E4" s="5">
        <f>SUM(D4/C4*100)</f>
        <v>32.835805041467495</v>
      </c>
      <c r="F4" s="5">
        <f>SUM(D4-C4)</f>
        <v>-854.86856000000012</v>
      </c>
    </row>
    <row r="5" spans="1:6" s="6" customFormat="1">
      <c r="A5" s="68">
        <v>1010000000</v>
      </c>
      <c r="B5" s="67" t="s">
        <v>5</v>
      </c>
      <c r="C5" s="5">
        <f>C6</f>
        <v>132.44399999999999</v>
      </c>
      <c r="D5" s="5">
        <f>D6</f>
        <v>63.18741</v>
      </c>
      <c r="E5" s="5">
        <f t="shared" ref="E5:E52" si="0">SUM(D5/C5*100)</f>
        <v>47.708775029446407</v>
      </c>
      <c r="F5" s="5">
        <f t="shared" ref="F5:F52" si="1">SUM(D5-C5)</f>
        <v>-69.256589999999989</v>
      </c>
    </row>
    <row r="6" spans="1:6">
      <c r="A6" s="7">
        <v>1010200001</v>
      </c>
      <c r="B6" s="8" t="s">
        <v>228</v>
      </c>
      <c r="C6" s="9">
        <v>132.44399999999999</v>
      </c>
      <c r="D6" s="10">
        <v>63.18741</v>
      </c>
      <c r="E6" s="9">
        <f t="shared" ref="E6:E11" si="2">SUM(D6/C6*100)</f>
        <v>47.708775029446407</v>
      </c>
      <c r="F6" s="9">
        <f t="shared" si="1"/>
        <v>-69.256589999999989</v>
      </c>
    </row>
    <row r="7" spans="1:6" ht="31.5">
      <c r="A7" s="3">
        <v>1030000000</v>
      </c>
      <c r="B7" s="13" t="s">
        <v>280</v>
      </c>
      <c r="C7" s="5">
        <f>C8+C10+C9</f>
        <v>672.36</v>
      </c>
      <c r="D7" s="339">
        <f>D8+D10+D9+D11</f>
        <v>325.77479</v>
      </c>
      <c r="E7" s="5">
        <f t="shared" si="2"/>
        <v>48.452434707597121</v>
      </c>
      <c r="F7" s="5">
        <f t="shared" si="1"/>
        <v>-346.58521000000002</v>
      </c>
    </row>
    <row r="8" spans="1:6">
      <c r="A8" s="7">
        <v>1030223001</v>
      </c>
      <c r="B8" s="8" t="s">
        <v>282</v>
      </c>
      <c r="C8" s="9">
        <v>250.79</v>
      </c>
      <c r="D8" s="10">
        <v>147.17090999999999</v>
      </c>
      <c r="E8" s="9">
        <f t="shared" si="2"/>
        <v>58.682925953985411</v>
      </c>
      <c r="F8" s="9">
        <f t="shared" si="1"/>
        <v>-103.61909</v>
      </c>
    </row>
    <row r="9" spans="1:6">
      <c r="A9" s="7">
        <v>1030224001</v>
      </c>
      <c r="B9" s="8" t="s">
        <v>288</v>
      </c>
      <c r="C9" s="9">
        <v>2.69</v>
      </c>
      <c r="D9" s="10">
        <v>1.10558</v>
      </c>
      <c r="E9" s="9">
        <f t="shared" si="2"/>
        <v>41.099628252788108</v>
      </c>
      <c r="F9" s="9">
        <f t="shared" si="1"/>
        <v>-1.5844199999999999</v>
      </c>
    </row>
    <row r="10" spans="1:6">
      <c r="A10" s="7">
        <v>1030225001</v>
      </c>
      <c r="B10" s="8" t="s">
        <v>281</v>
      </c>
      <c r="C10" s="9">
        <v>418.88</v>
      </c>
      <c r="D10" s="10">
        <v>204.26262</v>
      </c>
      <c r="E10" s="9">
        <f t="shared" si="2"/>
        <v>48.763994461420936</v>
      </c>
      <c r="F10" s="9">
        <f t="shared" si="1"/>
        <v>-214.61738</v>
      </c>
    </row>
    <row r="11" spans="1:6">
      <c r="A11" s="7">
        <v>1030226001</v>
      </c>
      <c r="B11" s="8" t="s">
        <v>290</v>
      </c>
      <c r="C11" s="9">
        <v>0</v>
      </c>
      <c r="D11" s="10">
        <v>-26.764320000000001</v>
      </c>
      <c r="E11" s="9" t="e">
        <f t="shared" si="2"/>
        <v>#DIV/0!</v>
      </c>
      <c r="F11" s="9">
        <f t="shared" si="1"/>
        <v>-26.764320000000001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0.31428</v>
      </c>
      <c r="E12" s="5">
        <f t="shared" si="0"/>
        <v>3.1427999999999998</v>
      </c>
      <c r="F12" s="5">
        <f t="shared" si="1"/>
        <v>-9.6857199999999999</v>
      </c>
    </row>
    <row r="13" spans="1:6" ht="15.75" customHeight="1">
      <c r="A13" s="7">
        <v>1050300000</v>
      </c>
      <c r="B13" s="11" t="s">
        <v>229</v>
      </c>
      <c r="C13" s="12">
        <v>10</v>
      </c>
      <c r="D13" s="10">
        <v>0.31428</v>
      </c>
      <c r="E13" s="9">
        <f t="shared" si="0"/>
        <v>3.1427999999999998</v>
      </c>
      <c r="F13" s="9">
        <f t="shared" si="1"/>
        <v>-9.6857199999999999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453</v>
      </c>
      <c r="D14" s="5">
        <f>D15+D16</f>
        <v>26.458960000000001</v>
      </c>
      <c r="E14" s="5">
        <f t="shared" si="0"/>
        <v>5.8408300220750551</v>
      </c>
      <c r="F14" s="5">
        <f t="shared" si="1"/>
        <v>-426.54104000000001</v>
      </c>
    </row>
    <row r="15" spans="1:6" s="6" customFormat="1" ht="15.75" customHeight="1">
      <c r="A15" s="7">
        <v>1060100000</v>
      </c>
      <c r="B15" s="11" t="s">
        <v>8</v>
      </c>
      <c r="C15" s="9">
        <v>128</v>
      </c>
      <c r="D15" s="10">
        <v>5.4309200000000004</v>
      </c>
      <c r="E15" s="9">
        <f t="shared" si="0"/>
        <v>4.2429062500000008</v>
      </c>
      <c r="F15" s="9">
        <f>SUM(D15-C15)</f>
        <v>-122.56908</v>
      </c>
    </row>
    <row r="16" spans="1:6" ht="15.75" customHeight="1">
      <c r="A16" s="7">
        <v>1060600000</v>
      </c>
      <c r="B16" s="11" t="s">
        <v>7</v>
      </c>
      <c r="C16" s="9">
        <v>325</v>
      </c>
      <c r="D16" s="10">
        <v>21.028040000000001</v>
      </c>
      <c r="E16" s="9">
        <f t="shared" si="0"/>
        <v>6.4701661538461543</v>
      </c>
      <c r="F16" s="9">
        <f t="shared" si="1"/>
        <v>-303.97196000000002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2.2000000000000002</v>
      </c>
      <c r="E17" s="5">
        <f t="shared" si="0"/>
        <v>44.000000000000007</v>
      </c>
      <c r="F17" s="5">
        <f t="shared" si="1"/>
        <v>-2.8</v>
      </c>
    </row>
    <row r="18" spans="1:6" ht="17.25" customHeight="1">
      <c r="A18" s="7">
        <v>1080400001</v>
      </c>
      <c r="B18" s="8" t="s">
        <v>271</v>
      </c>
      <c r="C18" s="9">
        <v>5</v>
      </c>
      <c r="D18" s="10">
        <v>2.2000000000000002</v>
      </c>
      <c r="E18" s="9">
        <f t="shared" si="0"/>
        <v>44.000000000000007</v>
      </c>
      <c r="F18" s="9">
        <f t="shared" si="1"/>
        <v>-2.8</v>
      </c>
    </row>
    <row r="19" spans="1:6" ht="49.5" hidden="1" customHeight="1">
      <c r="A19" s="7">
        <v>1080714001</v>
      </c>
      <c r="B19" s="8" t="s">
        <v>226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250</v>
      </c>
      <c r="D25" s="5">
        <f>D26+D29+D31+D34</f>
        <v>181.87841</v>
      </c>
      <c r="E25" s="5">
        <f t="shared" si="0"/>
        <v>72.751363999999995</v>
      </c>
      <c r="F25" s="5">
        <f t="shared" si="1"/>
        <v>-68.121589999999998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50</v>
      </c>
      <c r="D26" s="5">
        <f>D27+D28</f>
        <v>10</v>
      </c>
      <c r="E26" s="5">
        <f t="shared" si="0"/>
        <v>20</v>
      </c>
      <c r="F26" s="5">
        <f t="shared" si="1"/>
        <v>-40</v>
      </c>
    </row>
    <row r="27" spans="1:6">
      <c r="A27" s="16">
        <v>1110502501</v>
      </c>
      <c r="B27" s="17" t="s">
        <v>225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224</v>
      </c>
      <c r="C28" s="12">
        <v>50</v>
      </c>
      <c r="D28" s="10">
        <v>10</v>
      </c>
      <c r="E28" s="9">
        <f t="shared" si="0"/>
        <v>20</v>
      </c>
      <c r="F28" s="9">
        <f t="shared" si="1"/>
        <v>-40</v>
      </c>
    </row>
    <row r="29" spans="1:6" s="15" customFormat="1" ht="27.75" customHeight="1">
      <c r="A29" s="68">
        <v>1130000000</v>
      </c>
      <c r="B29" s="69" t="s">
        <v>130</v>
      </c>
      <c r="C29" s="5">
        <f>C30</f>
        <v>200</v>
      </c>
      <c r="D29" s="5">
        <f>D30</f>
        <v>171.87841</v>
      </c>
      <c r="E29" s="5">
        <f t="shared" si="0"/>
        <v>85.939205000000001</v>
      </c>
      <c r="F29" s="5">
        <f t="shared" si="1"/>
        <v>-28.121589999999998</v>
      </c>
    </row>
    <row r="30" spans="1:6" ht="15.75" customHeight="1">
      <c r="A30" s="7">
        <v>1130206005</v>
      </c>
      <c r="B30" s="8" t="s">
        <v>14</v>
      </c>
      <c r="C30" s="9">
        <v>200</v>
      </c>
      <c r="D30" s="10">
        <v>171.87841</v>
      </c>
      <c r="E30" s="9">
        <f t="shared" si="0"/>
        <v>85.939205000000001</v>
      </c>
      <c r="F30" s="9">
        <f t="shared" si="1"/>
        <v>-28.121589999999998</v>
      </c>
    </row>
    <row r="31" spans="1:6" ht="20.25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" hidden="1" customHeight="1">
      <c r="A32" s="16">
        <v>1140200000</v>
      </c>
      <c r="B32" s="18" t="s">
        <v>132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7.25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134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t="19.5" customHeight="1">
      <c r="A35" s="7">
        <v>1170105010</v>
      </c>
      <c r="B35" s="8" t="s">
        <v>17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0.75" hidden="1" customHeight="1">
      <c r="A36" s="7">
        <v>1170505005</v>
      </c>
      <c r="B36" s="11" t="s">
        <v>220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18</v>
      </c>
      <c r="C37" s="127">
        <f>SUM(C4,C25)</f>
        <v>1522.8040000000001</v>
      </c>
      <c r="D37" s="127">
        <f>D4+D25</f>
        <v>599.81385</v>
      </c>
      <c r="E37" s="5">
        <f t="shared" si="0"/>
        <v>39.388775574532239</v>
      </c>
      <c r="F37" s="5">
        <f t="shared" si="1"/>
        <v>-922.99015000000009</v>
      </c>
    </row>
    <row r="38" spans="1:7" s="6" customFormat="1">
      <c r="A38" s="3">
        <v>2000000000</v>
      </c>
      <c r="B38" s="4" t="s">
        <v>19</v>
      </c>
      <c r="C38" s="5">
        <f>C39+C41+C42+C43+C50+C51</f>
        <v>5246.2040000000006</v>
      </c>
      <c r="D38" s="5">
        <f>D39+D41+D42+D43+D50+D51</f>
        <v>2245.4040000000005</v>
      </c>
      <c r="E38" s="5">
        <f t="shared" si="0"/>
        <v>42.800546833481889</v>
      </c>
      <c r="F38" s="5">
        <f t="shared" si="1"/>
        <v>-3000.8</v>
      </c>
      <c r="G38" s="19"/>
    </row>
    <row r="39" spans="1:7" ht="16.5" customHeight="1">
      <c r="A39" s="16">
        <v>2021000000</v>
      </c>
      <c r="B39" s="17" t="s">
        <v>20</v>
      </c>
      <c r="C39" s="12">
        <v>3029</v>
      </c>
      <c r="D39" s="20">
        <v>1262.085</v>
      </c>
      <c r="E39" s="9">
        <v>0</v>
      </c>
      <c r="F39" s="9">
        <f t="shared" si="1"/>
        <v>-1766.915</v>
      </c>
    </row>
    <row r="40" spans="1:7" ht="14.25" customHeight="1">
      <c r="A40" s="16">
        <v>2020100310</v>
      </c>
      <c r="B40" s="17" t="s">
        <v>231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 ht="17.25" customHeight="1">
      <c r="A41" s="16">
        <v>2021500200</v>
      </c>
      <c r="B41" s="17" t="s">
        <v>231</v>
      </c>
      <c r="C41" s="12">
        <v>712.5</v>
      </c>
      <c r="D41" s="20">
        <v>650</v>
      </c>
      <c r="E41" s="9">
        <f t="shared" si="0"/>
        <v>91.228070175438589</v>
      </c>
      <c r="F41" s="9">
        <f t="shared" si="1"/>
        <v>-62.5</v>
      </c>
    </row>
    <row r="42" spans="1:7">
      <c r="A42" s="16">
        <v>2022000000</v>
      </c>
      <c r="B42" s="17" t="s">
        <v>21</v>
      </c>
      <c r="C42" s="12">
        <v>1262.047</v>
      </c>
      <c r="D42" s="10">
        <v>258.72000000000003</v>
      </c>
      <c r="E42" s="9">
        <f t="shared" si="0"/>
        <v>20.500028921268385</v>
      </c>
      <c r="F42" s="9">
        <f t="shared" si="1"/>
        <v>-1003.327</v>
      </c>
    </row>
    <row r="43" spans="1:7" ht="17.25" customHeight="1">
      <c r="A43" s="16">
        <v>2023000000</v>
      </c>
      <c r="B43" s="17" t="s">
        <v>22</v>
      </c>
      <c r="C43" s="12">
        <v>182.65700000000001</v>
      </c>
      <c r="D43" s="248">
        <v>74.599000000000004</v>
      </c>
      <c r="E43" s="9">
        <f t="shared" si="0"/>
        <v>40.841029908517058</v>
      </c>
      <c r="F43" s="9">
        <f t="shared" si="1"/>
        <v>-108.05800000000001</v>
      </c>
    </row>
    <row r="44" spans="1:7" ht="18" hidden="1" customHeight="1">
      <c r="A44" s="16">
        <v>2020400000</v>
      </c>
      <c r="B44" s="17" t="s">
        <v>23</v>
      </c>
      <c r="C44" s="12"/>
      <c r="D44" s="249"/>
      <c r="E44" s="9" t="e">
        <f t="shared" si="0"/>
        <v>#DIV/0!</v>
      </c>
      <c r="F44" s="9">
        <f t="shared" si="1"/>
        <v>0</v>
      </c>
    </row>
    <row r="45" spans="1:7" ht="14.25" hidden="1" customHeight="1">
      <c r="A45" s="16">
        <v>2020900000</v>
      </c>
      <c r="B45" s="18" t="s">
        <v>24</v>
      </c>
      <c r="C45" s="12"/>
      <c r="D45" s="249"/>
      <c r="E45" s="9" t="e">
        <f t="shared" si="0"/>
        <v>#DIV/0!</v>
      </c>
      <c r="F45" s="9">
        <f t="shared" si="1"/>
        <v>0</v>
      </c>
    </row>
    <row r="46" spans="1:7" ht="16.5" hidden="1" customHeight="1">
      <c r="A46" s="124">
        <v>2180000000</v>
      </c>
      <c r="B46" s="125" t="s">
        <v>301</v>
      </c>
      <c r="C46" s="274">
        <f>C47</f>
        <v>0</v>
      </c>
      <c r="D46" s="348">
        <f>D47</f>
        <v>0</v>
      </c>
      <c r="E46" s="9" t="e">
        <f t="shared" si="0"/>
        <v>#DIV/0!</v>
      </c>
      <c r="F46" s="9">
        <f t="shared" si="1"/>
        <v>0</v>
      </c>
    </row>
    <row r="47" spans="1:7" ht="18" hidden="1" customHeight="1">
      <c r="A47" s="16">
        <v>2180501010</v>
      </c>
      <c r="B47" s="18" t="s">
        <v>300</v>
      </c>
      <c r="C47" s="12">
        <v>0</v>
      </c>
      <c r="D47" s="249">
        <v>0</v>
      </c>
      <c r="E47" s="9" t="e">
        <f t="shared" si="0"/>
        <v>#DIV/0!</v>
      </c>
      <c r="F47" s="9">
        <f t="shared" si="1"/>
        <v>0</v>
      </c>
    </row>
    <row r="48" spans="1:7" ht="25.5" customHeight="1">
      <c r="A48" s="7">
        <v>2190500005</v>
      </c>
      <c r="B48" s="11" t="s">
        <v>25</v>
      </c>
      <c r="C48" s="14"/>
      <c r="D48" s="14"/>
      <c r="E48" s="9" t="e">
        <f t="shared" si="0"/>
        <v>#DIV/0!</v>
      </c>
      <c r="F48" s="9">
        <f t="shared" si="1"/>
        <v>0</v>
      </c>
    </row>
    <row r="49" spans="1:8" s="6" customFormat="1" ht="21.75" customHeight="1">
      <c r="A49" s="3">
        <v>3000000000</v>
      </c>
      <c r="B49" s="13" t="s">
        <v>26</v>
      </c>
      <c r="C49" s="122">
        <v>0</v>
      </c>
      <c r="D49" s="14">
        <v>0</v>
      </c>
      <c r="E49" s="9" t="e">
        <f t="shared" si="0"/>
        <v>#DIV/0!</v>
      </c>
      <c r="F49" s="9">
        <f t="shared" si="1"/>
        <v>0</v>
      </c>
    </row>
    <row r="50" spans="1:8" s="6" customFormat="1" ht="15" customHeight="1">
      <c r="A50" s="7">
        <v>2020400000</v>
      </c>
      <c r="B50" s="8" t="s">
        <v>23</v>
      </c>
      <c r="C50" s="12">
        <v>60</v>
      </c>
      <c r="D50" s="10">
        <v>0</v>
      </c>
      <c r="E50" s="9">
        <f t="shared" si="0"/>
        <v>0</v>
      </c>
      <c r="F50" s="9">
        <f t="shared" si="1"/>
        <v>-60</v>
      </c>
    </row>
    <row r="51" spans="1:8" s="6" customFormat="1" ht="15" customHeight="1">
      <c r="A51" s="7">
        <v>2070500010</v>
      </c>
      <c r="B51" s="11" t="s">
        <v>302</v>
      </c>
      <c r="C51" s="12">
        <v>0</v>
      </c>
      <c r="D51" s="10">
        <v>0</v>
      </c>
      <c r="E51" s="9">
        <v>0</v>
      </c>
      <c r="F51" s="9">
        <f>SUM(D51-C51)</f>
        <v>0</v>
      </c>
    </row>
    <row r="52" spans="1:8" s="6" customFormat="1" ht="18" customHeight="1">
      <c r="A52" s="3"/>
      <c r="B52" s="4" t="s">
        <v>27</v>
      </c>
      <c r="C52" s="93">
        <f>C37+C38</f>
        <v>6769.0080000000007</v>
      </c>
      <c r="D52" s="93">
        <f>D37+D38</f>
        <v>2845.2178500000005</v>
      </c>
      <c r="E52" s="5">
        <f t="shared" si="0"/>
        <v>42.033010597712398</v>
      </c>
      <c r="F52" s="5">
        <f t="shared" si="1"/>
        <v>-3923.7901500000003</v>
      </c>
      <c r="G52" s="94">
        <f>7298.59564-C52</f>
        <v>529.58763999999883</v>
      </c>
      <c r="H52" s="290">
        <f>1233.90439-D52</f>
        <v>-1611.3134600000005</v>
      </c>
    </row>
    <row r="53" spans="1:8" s="6" customFormat="1">
      <c r="A53" s="3"/>
      <c r="B53" s="21" t="s">
        <v>320</v>
      </c>
      <c r="C53" s="93">
        <f>C52-C99</f>
        <v>-260.56954999999925</v>
      </c>
      <c r="D53" s="93">
        <f>D52-D99</f>
        <v>-117.71373999999969</v>
      </c>
      <c r="E53" s="22"/>
      <c r="F53" s="22"/>
    </row>
    <row r="54" spans="1:8">
      <c r="A54" s="23"/>
      <c r="B54" s="24"/>
      <c r="C54" s="115"/>
      <c r="D54" s="25"/>
      <c r="E54" s="26"/>
      <c r="F54" s="27"/>
    </row>
    <row r="55" spans="1:8" ht="63">
      <c r="A55" s="28" t="s">
        <v>0</v>
      </c>
      <c r="B55" s="28" t="s">
        <v>28</v>
      </c>
      <c r="C55" s="72" t="s">
        <v>411</v>
      </c>
      <c r="D55" s="73" t="s">
        <v>437</v>
      </c>
      <c r="E55" s="72" t="s">
        <v>2</v>
      </c>
      <c r="F55" s="74" t="s">
        <v>3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5" customHeight="1">
      <c r="A57" s="30" t="s">
        <v>29</v>
      </c>
      <c r="B57" s="31" t="s">
        <v>30</v>
      </c>
      <c r="C57" s="32">
        <f>C58+C59+C60+C61+C62+C64+C63</f>
        <v>1284.7919999999999</v>
      </c>
      <c r="D57" s="33">
        <f>D58+D59+D60+D61+D62+D64+D63</f>
        <v>476.24270999999999</v>
      </c>
      <c r="E57" s="34">
        <f>SUM(D57/C57*100)</f>
        <v>37.067689555974823</v>
      </c>
      <c r="F57" s="34">
        <f>SUM(D57-C57)</f>
        <v>-808.54928999999993</v>
      </c>
    </row>
    <row r="58" spans="1:8" s="6" customFormat="1" ht="15" hidden="1" customHeight="1">
      <c r="A58" s="35" t="s">
        <v>31</v>
      </c>
      <c r="B58" s="36" t="s">
        <v>32</v>
      </c>
      <c r="C58" s="37"/>
      <c r="D58" s="37"/>
      <c r="E58" s="38"/>
      <c r="F58" s="38"/>
    </row>
    <row r="59" spans="1:8" ht="15" customHeight="1">
      <c r="A59" s="35" t="s">
        <v>33</v>
      </c>
      <c r="B59" s="39" t="s">
        <v>34</v>
      </c>
      <c r="C59" s="37">
        <v>1225.2919999999999</v>
      </c>
      <c r="D59" s="37">
        <v>422.05070999999998</v>
      </c>
      <c r="E59" s="38">
        <f t="shared" ref="E59:E99" si="3">SUM(D59/C59*100)</f>
        <v>34.444908642184885</v>
      </c>
      <c r="F59" s="38">
        <f t="shared" ref="F59:F99" si="4">SUM(D59-C59)</f>
        <v>-803.24128999999994</v>
      </c>
    </row>
    <row r="60" spans="1:8" ht="15" hidden="1" customHeight="1">
      <c r="A60" s="35" t="s">
        <v>35</v>
      </c>
      <c r="B60" s="39" t="s">
        <v>36</v>
      </c>
      <c r="C60" s="37"/>
      <c r="D60" s="37"/>
      <c r="E60" s="38"/>
      <c r="F60" s="38">
        <f t="shared" si="4"/>
        <v>0</v>
      </c>
    </row>
    <row r="61" spans="1:8" ht="15" hidden="1" customHeight="1">
      <c r="A61" s="35" t="s">
        <v>37</v>
      </c>
      <c r="B61" s="39" t="s">
        <v>38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39</v>
      </c>
      <c r="B62" s="39" t="s">
        <v>40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8" ht="16.5" customHeight="1">
      <c r="A63" s="35" t="s">
        <v>41</v>
      </c>
      <c r="B63" s="39" t="s">
        <v>42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8" customHeight="1">
      <c r="A64" s="35" t="s">
        <v>43</v>
      </c>
      <c r="B64" s="39" t="s">
        <v>44</v>
      </c>
      <c r="C64" s="37">
        <v>54.5</v>
      </c>
      <c r="D64" s="37">
        <v>54.192</v>
      </c>
      <c r="E64" s="38">
        <f t="shared" si="3"/>
        <v>99.434862385321097</v>
      </c>
      <c r="F64" s="38">
        <f t="shared" si="4"/>
        <v>-0.30799999999999983</v>
      </c>
    </row>
    <row r="65" spans="1:7" s="6" customFormat="1" ht="15" customHeight="1">
      <c r="A65" s="41" t="s">
        <v>45</v>
      </c>
      <c r="B65" s="42" t="s">
        <v>46</v>
      </c>
      <c r="C65" s="32">
        <f>C66</f>
        <v>179.892</v>
      </c>
      <c r="D65" s="32">
        <f>D66</f>
        <v>62.956000000000003</v>
      </c>
      <c r="E65" s="34">
        <f t="shared" si="3"/>
        <v>34.99655348764815</v>
      </c>
      <c r="F65" s="34">
        <f t="shared" si="4"/>
        <v>-116.93599999999999</v>
      </c>
    </row>
    <row r="66" spans="1:7">
      <c r="A66" s="43" t="s">
        <v>47</v>
      </c>
      <c r="B66" s="44" t="s">
        <v>48</v>
      </c>
      <c r="C66" s="37">
        <v>179.892</v>
      </c>
      <c r="D66" s="37">
        <v>62.956000000000003</v>
      </c>
      <c r="E66" s="38">
        <f t="shared" si="3"/>
        <v>34.99655348764815</v>
      </c>
      <c r="F66" s="38">
        <f t="shared" si="4"/>
        <v>-116.93599999999999</v>
      </c>
    </row>
    <row r="67" spans="1:7" s="6" customFormat="1" ht="16.5" customHeight="1">
      <c r="A67" s="30" t="s">
        <v>49</v>
      </c>
      <c r="B67" s="31" t="s">
        <v>50</v>
      </c>
      <c r="C67" s="32">
        <f>C70+C71+C72</f>
        <v>18.399999999999999</v>
      </c>
      <c r="D67" s="32">
        <f>SUM(D68:D71)</f>
        <v>3.5</v>
      </c>
      <c r="E67" s="34">
        <f t="shared" si="3"/>
        <v>19.021739130434785</v>
      </c>
      <c r="F67" s="34">
        <f t="shared" si="4"/>
        <v>-14.899999999999999</v>
      </c>
    </row>
    <row r="68" spans="1:7" hidden="1">
      <c r="A68" s="3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53</v>
      </c>
      <c r="B69" s="39" t="s">
        <v>54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55</v>
      </c>
      <c r="B70" s="47" t="s">
        <v>56</v>
      </c>
      <c r="C70" s="96">
        <v>2.4</v>
      </c>
      <c r="D70" s="37">
        <v>0</v>
      </c>
      <c r="E70" s="34">
        <f t="shared" si="3"/>
        <v>0</v>
      </c>
      <c r="F70" s="34">
        <f t="shared" si="4"/>
        <v>-2.4</v>
      </c>
    </row>
    <row r="71" spans="1:7" ht="15.75" customHeight="1">
      <c r="A71" s="46" t="s">
        <v>218</v>
      </c>
      <c r="B71" s="47" t="s">
        <v>219</v>
      </c>
      <c r="C71" s="37">
        <v>14</v>
      </c>
      <c r="D71" s="37">
        <v>3.5</v>
      </c>
      <c r="E71" s="34">
        <f t="shared" si="3"/>
        <v>25</v>
      </c>
      <c r="F71" s="34">
        <f t="shared" si="4"/>
        <v>-10.5</v>
      </c>
    </row>
    <row r="72" spans="1:7" ht="15.75" customHeight="1">
      <c r="A72" s="46" t="s">
        <v>357</v>
      </c>
      <c r="B72" s="47" t="s">
        <v>360</v>
      </c>
      <c r="C72" s="37">
        <v>2</v>
      </c>
      <c r="D72" s="37">
        <v>0</v>
      </c>
      <c r="E72" s="34"/>
      <c r="F72" s="34"/>
    </row>
    <row r="73" spans="1:7" s="6" customFormat="1" ht="15" customHeight="1">
      <c r="A73" s="30" t="s">
        <v>57</v>
      </c>
      <c r="B73" s="31" t="s">
        <v>58</v>
      </c>
      <c r="C73" s="48">
        <f>SUM(C74:C77)</f>
        <v>2317.6485499999999</v>
      </c>
      <c r="D73" s="48">
        <f>SUM(D74:D77)</f>
        <v>445.46100000000001</v>
      </c>
      <c r="E73" s="34">
        <f t="shared" si="3"/>
        <v>19.220386110741426</v>
      </c>
      <c r="F73" s="34">
        <f t="shared" si="4"/>
        <v>-1872.1875499999999</v>
      </c>
    </row>
    <row r="74" spans="1:7" ht="17.25" customHeight="1">
      <c r="A74" s="35" t="s">
        <v>59</v>
      </c>
      <c r="B74" s="39" t="s">
        <v>60</v>
      </c>
      <c r="C74" s="49">
        <v>6.7024999999999997</v>
      </c>
      <c r="D74" s="37">
        <v>0</v>
      </c>
      <c r="E74" s="38">
        <f t="shared" si="3"/>
        <v>0</v>
      </c>
      <c r="F74" s="38">
        <f t="shared" si="4"/>
        <v>-6.7024999999999997</v>
      </c>
    </row>
    <row r="75" spans="1:7" s="6" customFormat="1" ht="19.5" customHeight="1">
      <c r="A75" s="35" t="s">
        <v>61</v>
      </c>
      <c r="B75" s="39" t="s">
        <v>62</v>
      </c>
      <c r="C75" s="49">
        <v>333.6</v>
      </c>
      <c r="D75" s="37">
        <v>151.46100000000001</v>
      </c>
      <c r="E75" s="38">
        <f t="shared" si="3"/>
        <v>45.401978417266186</v>
      </c>
      <c r="F75" s="38">
        <f t="shared" si="4"/>
        <v>-182.13900000000001</v>
      </c>
      <c r="G75" s="50"/>
    </row>
    <row r="76" spans="1:7">
      <c r="A76" s="35" t="s">
        <v>63</v>
      </c>
      <c r="B76" s="39" t="s">
        <v>64</v>
      </c>
      <c r="C76" s="49">
        <v>1977.3460500000001</v>
      </c>
      <c r="D76" s="37">
        <v>294</v>
      </c>
      <c r="E76" s="38">
        <f t="shared" si="3"/>
        <v>14.86841415542818</v>
      </c>
      <c r="F76" s="38">
        <f t="shared" si="4"/>
        <v>-1683.3460500000001</v>
      </c>
    </row>
    <row r="77" spans="1:7">
      <c r="A77" s="35" t="s">
        <v>65</v>
      </c>
      <c r="B77" s="39" t="s">
        <v>66</v>
      </c>
      <c r="C77" s="49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s="6" customFormat="1" ht="14.25" customHeight="1">
      <c r="A78" s="30" t="s">
        <v>67</v>
      </c>
      <c r="B78" s="31" t="s">
        <v>68</v>
      </c>
      <c r="C78" s="32">
        <f>SUM(C79:C81)</f>
        <v>504.66699999999997</v>
      </c>
      <c r="D78" s="32">
        <f>SUM(D79:D81)</f>
        <v>346.0136</v>
      </c>
      <c r="E78" s="34">
        <f t="shared" si="3"/>
        <v>68.562755242565899</v>
      </c>
      <c r="F78" s="34">
        <f t="shared" si="4"/>
        <v>-158.65339999999998</v>
      </c>
    </row>
    <row r="79" spans="1:7" hidden="1">
      <c r="A79" s="35" t="s">
        <v>69</v>
      </c>
      <c r="B79" s="51" t="s">
        <v>70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idden="1">
      <c r="A80" s="35" t="s">
        <v>71</v>
      </c>
      <c r="B80" s="51" t="s">
        <v>72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>
      <c r="A81" s="35" t="s">
        <v>73</v>
      </c>
      <c r="B81" s="39" t="s">
        <v>74</v>
      </c>
      <c r="C81" s="37">
        <v>504.66699999999997</v>
      </c>
      <c r="D81" s="37">
        <v>346.0136</v>
      </c>
      <c r="E81" s="38">
        <f t="shared" si="3"/>
        <v>68.562755242565899</v>
      </c>
      <c r="F81" s="38">
        <f t="shared" si="4"/>
        <v>-158.65339999999998</v>
      </c>
    </row>
    <row r="82" spans="1:6" s="6" customFormat="1">
      <c r="A82" s="30" t="s">
        <v>85</v>
      </c>
      <c r="B82" s="31" t="s">
        <v>86</v>
      </c>
      <c r="C82" s="32">
        <f>C83</f>
        <v>2697.1779999999999</v>
      </c>
      <c r="D82" s="32">
        <f>SUM(D83)</f>
        <v>1628.75828</v>
      </c>
      <c r="E82" s="34">
        <f t="shared" si="3"/>
        <v>60.38749685782696</v>
      </c>
      <c r="F82" s="34">
        <f t="shared" si="4"/>
        <v>-1068.4197199999999</v>
      </c>
    </row>
    <row r="83" spans="1:6" ht="15" customHeight="1">
      <c r="A83" s="35" t="s">
        <v>87</v>
      </c>
      <c r="B83" s="39" t="s">
        <v>233</v>
      </c>
      <c r="C83" s="37">
        <v>2697.1779999999999</v>
      </c>
      <c r="D83" s="37">
        <v>1628.75828</v>
      </c>
      <c r="E83" s="38">
        <f t="shared" si="3"/>
        <v>60.38749685782696</v>
      </c>
      <c r="F83" s="38">
        <f t="shared" si="4"/>
        <v>-1068.4197199999999</v>
      </c>
    </row>
    <row r="84" spans="1:6" s="6" customFormat="1" ht="15.75" hidden="1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.75" hidden="1" customHeight="1">
      <c r="A85" s="53">
        <v>1001</v>
      </c>
      <c r="B85" s="54" t="s">
        <v>89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90</v>
      </c>
      <c r="C86" s="96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1004</v>
      </c>
      <c r="B87" s="54" t="s">
        <v>91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5.75" hidden="1" customHeight="1">
      <c r="A88" s="35" t="s">
        <v>92</v>
      </c>
      <c r="B88" s="39" t="s">
        <v>93</v>
      </c>
      <c r="C88" s="37">
        <v>0</v>
      </c>
      <c r="D88" s="37">
        <v>0</v>
      </c>
      <c r="E88" s="38"/>
      <c r="F88" s="38">
        <f t="shared" si="4"/>
        <v>0</v>
      </c>
    </row>
    <row r="89" spans="1:6" ht="15.75" customHeight="1">
      <c r="A89" s="30" t="s">
        <v>94</v>
      </c>
      <c r="B89" s="31" t="s">
        <v>95</v>
      </c>
      <c r="C89" s="32">
        <f>C90</f>
        <v>27</v>
      </c>
      <c r="D89" s="32">
        <f>D90+D91+D92+D93+D94</f>
        <v>0</v>
      </c>
      <c r="E89" s="38"/>
      <c r="F89" s="22">
        <f>F90+F91+F92+F93+F94</f>
        <v>-27</v>
      </c>
    </row>
    <row r="90" spans="1:6" ht="16.5" customHeight="1">
      <c r="A90" s="35" t="s">
        <v>96</v>
      </c>
      <c r="B90" s="39" t="s">
        <v>97</v>
      </c>
      <c r="C90" s="37">
        <v>27</v>
      </c>
      <c r="D90" s="37">
        <v>0</v>
      </c>
      <c r="E90" s="38"/>
      <c r="F90" s="38">
        <f>SUM(D90-C90)</f>
        <v>-27</v>
      </c>
    </row>
    <row r="91" spans="1:6" ht="1.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21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14.25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19.5" hidden="1" customHeight="1">
      <c r="A95" s="52">
        <v>1400</v>
      </c>
      <c r="B95" s="56" t="s">
        <v>114</v>
      </c>
      <c r="C95" s="48">
        <f>C96+C97+C98</f>
        <v>0</v>
      </c>
      <c r="D95" s="23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5" hidden="1" customHeight="1">
      <c r="A96" s="53">
        <v>1401</v>
      </c>
      <c r="B96" s="54" t="s">
        <v>115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16.5" hidden="1" customHeight="1">
      <c r="A97" s="53">
        <v>1402</v>
      </c>
      <c r="B97" s="54" t="s">
        <v>116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20.25" hidden="1" customHeight="1">
      <c r="A98" s="53">
        <v>1403</v>
      </c>
      <c r="B98" s="54" t="s">
        <v>117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s="6" customFormat="1" ht="21" customHeight="1">
      <c r="A99" s="52"/>
      <c r="B99" s="57" t="s">
        <v>118</v>
      </c>
      <c r="C99" s="428">
        <f>C57+C65+C67+C73+C78+C82+C89+C84</f>
        <v>7029.57755</v>
      </c>
      <c r="D99" s="428">
        <f>D57+D65+D67+D73+D78+D82+D89+D84</f>
        <v>2962.9315900000001</v>
      </c>
      <c r="E99" s="34">
        <f t="shared" si="3"/>
        <v>42.14949716288428</v>
      </c>
      <c r="F99" s="34">
        <f t="shared" si="4"/>
        <v>-4066.6459599999998</v>
      </c>
    </row>
    <row r="100" spans="1:6">
      <c r="D100" s="242"/>
    </row>
    <row r="101" spans="1:6" s="65" customFormat="1" ht="18" customHeight="1">
      <c r="A101" s="63" t="s">
        <v>119</v>
      </c>
      <c r="B101" s="63"/>
      <c r="C101" s="131"/>
      <c r="D101" s="64"/>
      <c r="E101" s="64"/>
    </row>
    <row r="102" spans="1:6" s="65" customFormat="1" ht="12.75">
      <c r="A102" s="66" t="s">
        <v>120</v>
      </c>
      <c r="B102" s="66"/>
      <c r="C102" s="65" t="s">
        <v>121</v>
      </c>
    </row>
    <row r="103" spans="1:6">
      <c r="C103" s="120"/>
    </row>
    <row r="142" hidden="1"/>
  </sheetData>
  <customSheetViews>
    <customSheetView guid="{61528DAC-5C4C-48F4-ADE2-8A724B05A086}" scale="70" showPageBreaks="1" hiddenRows="1" view="pageBreakPreview">
      <selection activeCell="A72" sqref="A72:XFD72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32">
      <selection activeCell="J56" sqref="J56"/>
      <pageMargins left="0.7" right="0.7" top="0.75" bottom="0.75" header="0.3" footer="0.3"/>
      <pageSetup paperSize="9" scale="52" orientation="portrait" r:id="rId2"/>
    </customSheetView>
    <customSheetView guid="{1A52382B-3765-4E8C-903F-6B8919B7242E}" hiddenRows="1" topLeftCell="A35">
      <selection activeCell="D89" sqref="D89"/>
      <pageMargins left="0.7" right="0.7" top="0.75" bottom="0.75" header="0.3" footer="0.3"/>
      <pageSetup paperSize="9" scale="52" orientation="portrait" r:id="rId3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3DCB9AAA-F09C-4EA6-B992-F93E466D374A}" hiddenRows="1" topLeftCell="A38">
      <selection activeCell="J56" sqref="J56"/>
      <pageMargins left="0.7" right="0.7" top="0.75" bottom="0.75" header="0.3" footer="0.3"/>
      <pageSetup paperSize="9" scale="52" orientation="portrait" r:id="rId5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6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B31C8DB7-3E78-4144-A6B5-8DE36DE63F0E}" hiddenRows="1" topLeftCell="A32">
      <selection activeCell="D43" sqref="D43"/>
      <pageMargins left="0.7" right="0.7" top="0.75" bottom="0.75" header="0.3" footer="0.3"/>
      <pageSetup paperSize="9" scale="52" orientation="portrait" r:id="rId8"/>
    </customSheetView>
    <customSheetView guid="{B30CE22D-C12F-4E12-8BB9-3AAE0A6991CC}" scale="70" showPageBreaks="1" printArea="1" hiddenRows="1" view="pageBreakPreview" topLeftCell="A16">
      <selection activeCell="D53" sqref="C52:D53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43"/>
  <sheetViews>
    <sheetView tabSelected="1" view="pageBreakPreview" topLeftCell="A40" zoomScale="70" zoomScaleSheetLayoutView="70" workbookViewId="0">
      <selection activeCell="E48" sqref="E48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" style="62" customWidth="1"/>
    <col min="5" max="5" width="12.5703125" style="62" customWidth="1"/>
    <col min="6" max="6" width="12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25" t="s">
        <v>439</v>
      </c>
      <c r="B1" s="525"/>
      <c r="C1" s="525"/>
      <c r="D1" s="525"/>
      <c r="E1" s="525"/>
      <c r="F1" s="525"/>
    </row>
    <row r="2" spans="1:6">
      <c r="A2" s="525"/>
      <c r="B2" s="525"/>
      <c r="C2" s="525"/>
      <c r="D2" s="525"/>
      <c r="E2" s="525"/>
      <c r="F2" s="525"/>
    </row>
    <row r="3" spans="1:6" ht="64.5" customHeight="1">
      <c r="A3" s="2" t="s">
        <v>0</v>
      </c>
      <c r="B3" s="2" t="s">
        <v>1</v>
      </c>
      <c r="C3" s="72" t="s">
        <v>411</v>
      </c>
      <c r="D3" s="73" t="s">
        <v>422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2602.7242899999997</v>
      </c>
      <c r="D4" s="5">
        <f>D5+D12+D14+D17+D7</f>
        <v>580.58992000000001</v>
      </c>
      <c r="E4" s="5">
        <f>SUM(D4/C4*100)</f>
        <v>22.307008169505348</v>
      </c>
      <c r="F4" s="5">
        <f>SUM(D4-C4)</f>
        <v>-2022.1343699999998</v>
      </c>
    </row>
    <row r="5" spans="1:6" s="6" customFormat="1">
      <c r="A5" s="68">
        <v>1010000000</v>
      </c>
      <c r="B5" s="67" t="s">
        <v>5</v>
      </c>
      <c r="C5" s="5">
        <f>C6</f>
        <v>137.33699999999999</v>
      </c>
      <c r="D5" s="5">
        <f>D6</f>
        <v>49.93571</v>
      </c>
      <c r="E5" s="5">
        <f t="shared" ref="E5:E52" si="0">SUM(D5/C5*100)</f>
        <v>36.359983107247139</v>
      </c>
      <c r="F5" s="5">
        <f t="shared" ref="F5:F52" si="1">SUM(D5-C5)</f>
        <v>-87.401289999999989</v>
      </c>
    </row>
    <row r="6" spans="1:6">
      <c r="A6" s="7">
        <v>1010200001</v>
      </c>
      <c r="B6" s="8" t="s">
        <v>228</v>
      </c>
      <c r="C6" s="9">
        <v>137.33699999999999</v>
      </c>
      <c r="D6" s="10">
        <v>49.93571</v>
      </c>
      <c r="E6" s="9">
        <f t="shared" ref="E6:E11" si="2">SUM(D6/C6*100)</f>
        <v>36.359983107247139</v>
      </c>
      <c r="F6" s="9">
        <f t="shared" si="1"/>
        <v>-87.401289999999989</v>
      </c>
    </row>
    <row r="7" spans="1:6" ht="31.5">
      <c r="A7" s="3">
        <v>1030000000</v>
      </c>
      <c r="B7" s="13" t="s">
        <v>280</v>
      </c>
      <c r="C7" s="5">
        <f>C8+C10+C9</f>
        <v>737.00999999999988</v>
      </c>
      <c r="D7" s="5">
        <f>D8+D10+D9+D11</f>
        <v>357.09927999999996</v>
      </c>
      <c r="E7" s="5">
        <f t="shared" si="2"/>
        <v>48.452433481228205</v>
      </c>
      <c r="F7" s="5">
        <f t="shared" si="1"/>
        <v>-379.91071999999991</v>
      </c>
    </row>
    <row r="8" spans="1:6">
      <c r="A8" s="7">
        <v>1030223001</v>
      </c>
      <c r="B8" s="8" t="s">
        <v>282</v>
      </c>
      <c r="C8" s="9">
        <v>274.90499999999997</v>
      </c>
      <c r="D8" s="10">
        <v>161.32195999999999</v>
      </c>
      <c r="E8" s="9">
        <f t="shared" si="2"/>
        <v>58.682803150179154</v>
      </c>
      <c r="F8" s="9">
        <f t="shared" si="1"/>
        <v>-113.58303999999998</v>
      </c>
    </row>
    <row r="9" spans="1:6">
      <c r="A9" s="7">
        <v>1030224001</v>
      </c>
      <c r="B9" s="8" t="s">
        <v>288</v>
      </c>
      <c r="C9" s="9">
        <v>2.948</v>
      </c>
      <c r="D9" s="10">
        <v>1.2119</v>
      </c>
      <c r="E9" s="9">
        <f t="shared" si="2"/>
        <v>41.109226594301226</v>
      </c>
      <c r="F9" s="9">
        <f t="shared" si="1"/>
        <v>-1.7361</v>
      </c>
    </row>
    <row r="10" spans="1:6">
      <c r="A10" s="7">
        <v>1030225001</v>
      </c>
      <c r="B10" s="8" t="s">
        <v>281</v>
      </c>
      <c r="C10" s="9">
        <v>459.15699999999998</v>
      </c>
      <c r="D10" s="10">
        <v>223.90324000000001</v>
      </c>
      <c r="E10" s="9">
        <f t="shared" si="2"/>
        <v>48.763982690016711</v>
      </c>
      <c r="F10" s="9">
        <f>SUM(D10-C10)</f>
        <v>-235.25375999999997</v>
      </c>
    </row>
    <row r="11" spans="1:6">
      <c r="A11" s="7">
        <v>1030226001</v>
      </c>
      <c r="B11" s="8" t="s">
        <v>290</v>
      </c>
      <c r="C11" s="9">
        <v>0</v>
      </c>
      <c r="D11" s="10">
        <v>-29.337820000000001</v>
      </c>
      <c r="E11" s="9" t="e">
        <f t="shared" si="2"/>
        <v>#DIV/0!</v>
      </c>
      <c r="F11" s="9">
        <f>SUM(D11-C11)</f>
        <v>-29.337820000000001</v>
      </c>
    </row>
    <row r="12" spans="1:6" s="6" customFormat="1">
      <c r="A12" s="68">
        <v>1050000000</v>
      </c>
      <c r="B12" s="67" t="s">
        <v>6</v>
      </c>
      <c r="C12" s="5">
        <f>SUM(C13:C13)</f>
        <v>21</v>
      </c>
      <c r="D12" s="5">
        <f>SUM(D13:D13)</f>
        <v>18.549779999999998</v>
      </c>
      <c r="E12" s="5">
        <f t="shared" si="0"/>
        <v>88.332285714285703</v>
      </c>
      <c r="F12" s="5">
        <f t="shared" si="1"/>
        <v>-2.4502200000000016</v>
      </c>
    </row>
    <row r="13" spans="1:6" ht="15.75" customHeight="1">
      <c r="A13" s="7">
        <v>1050300000</v>
      </c>
      <c r="B13" s="11" t="s">
        <v>229</v>
      </c>
      <c r="C13" s="12">
        <v>21</v>
      </c>
      <c r="D13" s="10">
        <v>18.549779999999998</v>
      </c>
      <c r="E13" s="9">
        <f t="shared" si="0"/>
        <v>88.332285714285703</v>
      </c>
      <c r="F13" s="9">
        <f t="shared" si="1"/>
        <v>-2.4502200000000016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1695.3772899999999</v>
      </c>
      <c r="D14" s="5">
        <f>D15+D16</f>
        <v>150.73515</v>
      </c>
      <c r="E14" s="5">
        <f t="shared" si="0"/>
        <v>8.8909501672043749</v>
      </c>
      <c r="F14" s="5">
        <f t="shared" si="1"/>
        <v>-1544.6421399999999</v>
      </c>
    </row>
    <row r="15" spans="1:6" s="6" customFormat="1" ht="15.75" customHeight="1">
      <c r="A15" s="7">
        <v>1060100000</v>
      </c>
      <c r="B15" s="11" t="s">
        <v>8</v>
      </c>
      <c r="C15" s="9">
        <v>201</v>
      </c>
      <c r="D15" s="10">
        <v>21.514710000000001</v>
      </c>
      <c r="E15" s="9">
        <f t="shared" si="0"/>
        <v>10.703835820895522</v>
      </c>
      <c r="F15" s="9">
        <f>SUM(D15-C15)</f>
        <v>-179.48528999999999</v>
      </c>
    </row>
    <row r="16" spans="1:6" ht="15.75" customHeight="1">
      <c r="A16" s="7">
        <v>1060600000</v>
      </c>
      <c r="B16" s="11" t="s">
        <v>7</v>
      </c>
      <c r="C16" s="9">
        <v>1494.3772899999999</v>
      </c>
      <c r="D16" s="10">
        <v>129.22044</v>
      </c>
      <c r="E16" s="9">
        <f t="shared" si="0"/>
        <v>8.647109459218294</v>
      </c>
      <c r="F16" s="9">
        <f t="shared" si="1"/>
        <v>-1365.1568499999998</v>
      </c>
    </row>
    <row r="17" spans="1:6" s="6" customFormat="1">
      <c r="A17" s="3">
        <v>1080000000</v>
      </c>
      <c r="B17" s="4" t="s">
        <v>10</v>
      </c>
      <c r="C17" s="5">
        <f>C18</f>
        <v>12</v>
      </c>
      <c r="D17" s="5">
        <f>D18</f>
        <v>4.2699999999999996</v>
      </c>
      <c r="E17" s="5">
        <f t="shared" si="0"/>
        <v>35.583333333333329</v>
      </c>
      <c r="F17" s="5">
        <f t="shared" si="1"/>
        <v>-7.73</v>
      </c>
    </row>
    <row r="18" spans="1:6" ht="18" customHeight="1">
      <c r="A18" s="7">
        <v>1080400001</v>
      </c>
      <c r="B18" s="8" t="s">
        <v>227</v>
      </c>
      <c r="C18" s="9">
        <v>12</v>
      </c>
      <c r="D18" s="10">
        <v>4.2699999999999996</v>
      </c>
      <c r="E18" s="9">
        <f t="shared" si="0"/>
        <v>35.583333333333329</v>
      </c>
      <c r="F18" s="9">
        <f t="shared" si="1"/>
        <v>-7.73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232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C26+C30+C32+C37+C35</f>
        <v>440.58499999999998</v>
      </c>
      <c r="D25" s="5">
        <f>D30+D37+D26+D35</f>
        <v>82.525829999999999</v>
      </c>
      <c r="E25" s="5">
        <f t="shared" si="0"/>
        <v>18.730966782800142</v>
      </c>
      <c r="F25" s="5">
        <f t="shared" si="1"/>
        <v>-358.05916999999999</v>
      </c>
    </row>
    <row r="26" spans="1:6" s="6" customFormat="1" ht="30.75" customHeight="1">
      <c r="A26" s="68">
        <v>1110000000</v>
      </c>
      <c r="B26" s="69" t="s">
        <v>128</v>
      </c>
      <c r="C26" s="5">
        <f>C27+C28</f>
        <v>10</v>
      </c>
      <c r="D26" s="5">
        <f>D27+D28</f>
        <v>0.65500000000000003</v>
      </c>
      <c r="E26" s="5">
        <f t="shared" si="0"/>
        <v>6.5500000000000007</v>
      </c>
      <c r="F26" s="5">
        <f t="shared" si="1"/>
        <v>-9.3450000000000006</v>
      </c>
    </row>
    <row r="27" spans="1:6" ht="15.75" customHeight="1">
      <c r="A27" s="16">
        <v>1110502510</v>
      </c>
      <c r="B27" s="17" t="s">
        <v>225</v>
      </c>
      <c r="C27" s="12">
        <v>10</v>
      </c>
      <c r="D27" s="10">
        <v>0.65500000000000003</v>
      </c>
      <c r="E27" s="9">
        <f t="shared" si="0"/>
        <v>6.5500000000000007</v>
      </c>
      <c r="F27" s="9">
        <f t="shared" si="1"/>
        <v>-9.3450000000000006</v>
      </c>
    </row>
    <row r="28" spans="1:6" ht="15.75" customHeight="1">
      <c r="A28" s="7">
        <v>1110503510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customHeight="1">
      <c r="A29" s="7">
        <v>1110532510</v>
      </c>
      <c r="B29" s="11" t="s">
        <v>359</v>
      </c>
      <c r="C29" s="12">
        <v>0</v>
      </c>
      <c r="D29" s="242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>
      <c r="A30" s="68">
        <v>1130000000</v>
      </c>
      <c r="B30" s="69" t="s">
        <v>130</v>
      </c>
      <c r="C30" s="5">
        <f>C31</f>
        <v>0</v>
      </c>
      <c r="D30" s="5">
        <f>D31</f>
        <v>42.991239999999998</v>
      </c>
      <c r="E30" s="5" t="e">
        <f t="shared" si="0"/>
        <v>#DIV/0!</v>
      </c>
      <c r="F30" s="5">
        <f t="shared" si="1"/>
        <v>42.991239999999998</v>
      </c>
    </row>
    <row r="31" spans="1:6" ht="17.25" customHeight="1">
      <c r="A31" s="7">
        <v>1130206005</v>
      </c>
      <c r="B31" s="8" t="s">
        <v>223</v>
      </c>
      <c r="C31" s="9">
        <v>0</v>
      </c>
      <c r="D31" s="10">
        <v>42.991239999999998</v>
      </c>
      <c r="E31" s="9" t="e">
        <f t="shared" si="0"/>
        <v>#DIV/0!</v>
      </c>
      <c r="F31" s="9">
        <f t="shared" si="1"/>
        <v>42.991239999999998</v>
      </c>
    </row>
    <row r="32" spans="1:6" ht="35.25" customHeight="1">
      <c r="A32" s="70">
        <v>1140000000</v>
      </c>
      <c r="B32" s="71" t="s">
        <v>131</v>
      </c>
      <c r="C32" s="5">
        <f>C33+C34</f>
        <v>430.58499999999998</v>
      </c>
      <c r="D32" s="5">
        <f>D33+D34</f>
        <v>0</v>
      </c>
      <c r="E32" s="5">
        <f t="shared" si="0"/>
        <v>0</v>
      </c>
      <c r="F32" s="5">
        <f t="shared" si="1"/>
        <v>-430.58499999999998</v>
      </c>
    </row>
    <row r="33" spans="1:7" ht="34.5" customHeight="1">
      <c r="A33" s="16">
        <v>1140200000</v>
      </c>
      <c r="B33" s="18" t="s">
        <v>221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2.25" customHeight="1">
      <c r="A34" s="7">
        <v>1140600000</v>
      </c>
      <c r="B34" s="8" t="s">
        <v>222</v>
      </c>
      <c r="C34" s="9">
        <v>430.58499999999998</v>
      </c>
      <c r="D34" s="10">
        <v>0</v>
      </c>
      <c r="E34" s="9">
        <f t="shared" si="0"/>
        <v>0</v>
      </c>
      <c r="F34" s="9">
        <f t="shared" si="1"/>
        <v>-430.58499999999998</v>
      </c>
    </row>
    <row r="35" spans="1:7">
      <c r="A35" s="3">
        <v>1160000000</v>
      </c>
      <c r="B35" s="13" t="s">
        <v>251</v>
      </c>
      <c r="C35" s="5">
        <f>C36</f>
        <v>0</v>
      </c>
      <c r="D35" s="14">
        <f>D36</f>
        <v>38.87959</v>
      </c>
      <c r="E35" s="5" t="e">
        <f>SUM(D35/C35*100)</f>
        <v>#DIV/0!</v>
      </c>
      <c r="F35" s="5">
        <f>SUM(D35-C35)</f>
        <v>38.87959</v>
      </c>
    </row>
    <row r="36" spans="1:7" ht="47.25">
      <c r="A36" s="7">
        <v>1163305010</v>
      </c>
      <c r="B36" s="8" t="s">
        <v>267</v>
      </c>
      <c r="C36" s="9">
        <v>0</v>
      </c>
      <c r="D36" s="10">
        <v>38.87959</v>
      </c>
      <c r="E36" s="9" t="e">
        <f>SUM(D36/C36*100)</f>
        <v>#DIV/0!</v>
      </c>
      <c r="F36" s="9">
        <f>SUM(D36-C36)</f>
        <v>38.87959</v>
      </c>
    </row>
    <row r="37" spans="1:7">
      <c r="A37" s="3">
        <v>1170000000</v>
      </c>
      <c r="B37" s="13" t="s">
        <v>134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>
      <c r="A38" s="7">
        <v>1170105010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220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8" customHeight="1">
      <c r="A40" s="3">
        <v>1000000000</v>
      </c>
      <c r="B40" s="4" t="s">
        <v>18</v>
      </c>
      <c r="C40" s="127">
        <f>SUM(C4,C25)</f>
        <v>3043.3092899999997</v>
      </c>
      <c r="D40" s="127">
        <f>D4+D25</f>
        <v>663.11575000000005</v>
      </c>
      <c r="E40" s="5">
        <f t="shared" si="0"/>
        <v>21.789298648643108</v>
      </c>
      <c r="F40" s="5">
        <f t="shared" si="1"/>
        <v>-2380.1935399999998</v>
      </c>
    </row>
    <row r="41" spans="1:7" s="6" customFormat="1">
      <c r="A41" s="3">
        <v>2000000000</v>
      </c>
      <c r="B41" s="4" t="s">
        <v>19</v>
      </c>
      <c r="C41" s="5">
        <f>C42+C44+C45+C47+C48+C49+C43+C51</f>
        <v>10146.139289999999</v>
      </c>
      <c r="D41" s="5">
        <f>D42+D44+D45+D47+D48+D49+D43+D51</f>
        <v>1350.4244000000001</v>
      </c>
      <c r="E41" s="5">
        <f t="shared" si="0"/>
        <v>13.309736456417209</v>
      </c>
      <c r="F41" s="5">
        <f t="shared" si="1"/>
        <v>-8795.7148899999993</v>
      </c>
      <c r="G41" s="19"/>
    </row>
    <row r="42" spans="1:7" ht="17.25" customHeight="1">
      <c r="A42" s="16">
        <v>2021000000</v>
      </c>
      <c r="B42" s="17" t="s">
        <v>20</v>
      </c>
      <c r="C42" s="12">
        <v>1852.8</v>
      </c>
      <c r="D42" s="402">
        <v>772</v>
      </c>
      <c r="E42" s="9">
        <f t="shared" si="0"/>
        <v>41.666666666666671</v>
      </c>
      <c r="F42" s="9">
        <f t="shared" si="1"/>
        <v>-1080.8</v>
      </c>
    </row>
    <row r="43" spans="1:7" ht="17.25" customHeight="1">
      <c r="A43" s="16">
        <v>2021500200</v>
      </c>
      <c r="B43" s="17" t="s">
        <v>231</v>
      </c>
      <c r="C43" s="403">
        <v>494</v>
      </c>
      <c r="D43" s="20">
        <v>100</v>
      </c>
      <c r="E43" s="9">
        <f t="shared" si="0"/>
        <v>20.242914979757085</v>
      </c>
      <c r="F43" s="9">
        <f t="shared" si="1"/>
        <v>-394</v>
      </c>
    </row>
    <row r="44" spans="1:7">
      <c r="A44" s="16">
        <v>2022000000</v>
      </c>
      <c r="B44" s="17" t="s">
        <v>21</v>
      </c>
      <c r="C44" s="12">
        <v>4723.53629</v>
      </c>
      <c r="D44" s="10">
        <v>403.22800000000001</v>
      </c>
      <c r="E44" s="9">
        <f t="shared" si="0"/>
        <v>8.5365703837960769</v>
      </c>
      <c r="F44" s="9">
        <f t="shared" si="1"/>
        <v>-4320.3082899999999</v>
      </c>
    </row>
    <row r="45" spans="1:7" ht="15.75" customHeight="1">
      <c r="A45" s="16">
        <v>2023000000</v>
      </c>
      <c r="B45" s="17" t="s">
        <v>22</v>
      </c>
      <c r="C45" s="12">
        <v>182.04300000000001</v>
      </c>
      <c r="D45" s="248">
        <v>75.196399999999997</v>
      </c>
      <c r="E45" s="9">
        <f t="shared" si="0"/>
        <v>41.306943963788775</v>
      </c>
      <c r="F45" s="9">
        <f t="shared" si="1"/>
        <v>-106.84660000000001</v>
      </c>
    </row>
    <row r="46" spans="1:7" ht="15" hidden="1" customHeight="1">
      <c r="A46" s="16">
        <v>2070503010</v>
      </c>
      <c r="B46" s="17" t="s">
        <v>270</v>
      </c>
      <c r="C46" s="12">
        <v>0</v>
      </c>
      <c r="D46" s="248">
        <v>0</v>
      </c>
      <c r="E46" s="9" t="e">
        <f t="shared" si="0"/>
        <v>#DIV/0!</v>
      </c>
      <c r="F46" s="9">
        <f t="shared" si="1"/>
        <v>0</v>
      </c>
    </row>
    <row r="47" spans="1:7" ht="23.25" customHeight="1">
      <c r="A47" s="16">
        <v>2020400000</v>
      </c>
      <c r="B47" s="17" t="s">
        <v>23</v>
      </c>
      <c r="C47" s="12">
        <v>2893.76</v>
      </c>
      <c r="D47" s="249">
        <v>0</v>
      </c>
      <c r="E47" s="9">
        <f t="shared" si="0"/>
        <v>0</v>
      </c>
      <c r="F47" s="9">
        <f t="shared" si="1"/>
        <v>-2893.76</v>
      </c>
    </row>
    <row r="48" spans="1:7" ht="23.25" customHeight="1">
      <c r="A48" s="16">
        <v>2020900000</v>
      </c>
      <c r="B48" s="18" t="s">
        <v>24</v>
      </c>
      <c r="C48" s="12"/>
      <c r="D48" s="249"/>
      <c r="E48" s="9" t="e">
        <f t="shared" si="0"/>
        <v>#DIV/0!</v>
      </c>
      <c r="F48" s="9">
        <f t="shared" si="1"/>
        <v>0</v>
      </c>
    </row>
    <row r="49" spans="1:8" ht="21.75" customHeight="1">
      <c r="A49" s="7">
        <v>2190500005</v>
      </c>
      <c r="B49" s="11" t="s">
        <v>25</v>
      </c>
      <c r="C49" s="14"/>
      <c r="D49" s="14"/>
      <c r="E49" s="5"/>
      <c r="F49" s="5">
        <f>SUM(D49-C49)</f>
        <v>0</v>
      </c>
    </row>
    <row r="50" spans="1:8" s="6" customFormat="1" ht="19.5" customHeight="1">
      <c r="A50" s="3">
        <v>3000000000</v>
      </c>
      <c r="B50" s="13" t="s">
        <v>26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2070502010</v>
      </c>
      <c r="B51" s="8" t="s">
        <v>302</v>
      </c>
      <c r="C51" s="323">
        <v>0</v>
      </c>
      <c r="D51" s="324">
        <v>0</v>
      </c>
      <c r="E51" s="9" t="e">
        <f t="shared" si="0"/>
        <v>#DIV/0!</v>
      </c>
      <c r="F51" s="9">
        <f t="shared" si="1"/>
        <v>0</v>
      </c>
    </row>
    <row r="52" spans="1:8" s="6" customFormat="1">
      <c r="A52" s="3"/>
      <c r="B52" s="4" t="s">
        <v>27</v>
      </c>
      <c r="C52" s="93">
        <f>SUM(C40,C41,C50)</f>
        <v>13189.448579999998</v>
      </c>
      <c r="D52" s="425">
        <f>D40+D41</f>
        <v>2013.5401500000003</v>
      </c>
      <c r="E52" s="5">
        <f t="shared" si="0"/>
        <v>15.266295158489488</v>
      </c>
      <c r="F52" s="5">
        <f t="shared" si="1"/>
        <v>-11175.908429999998</v>
      </c>
      <c r="G52" s="94"/>
      <c r="H52" s="290"/>
    </row>
    <row r="53" spans="1:8" s="6" customFormat="1">
      <c r="A53" s="3"/>
      <c r="B53" s="21" t="s">
        <v>320</v>
      </c>
      <c r="C53" s="466">
        <f>C52-C99</f>
        <v>-1214.8990599999997</v>
      </c>
      <c r="D53" s="466">
        <f>D52-D99</f>
        <v>-183.1575699999994</v>
      </c>
      <c r="E53" s="22"/>
      <c r="F53" s="22"/>
    </row>
    <row r="54" spans="1:8" ht="32.25" customHeight="1">
      <c r="A54" s="23"/>
      <c r="B54" s="24"/>
      <c r="C54" s="244"/>
      <c r="D54" s="25"/>
      <c r="E54" s="26"/>
      <c r="F54" s="27"/>
    </row>
    <row r="55" spans="1:8" ht="63">
      <c r="A55" s="28" t="s">
        <v>0</v>
      </c>
      <c r="B55" s="28" t="s">
        <v>28</v>
      </c>
      <c r="C55" s="72" t="s">
        <v>411</v>
      </c>
      <c r="D55" s="73" t="s">
        <v>419</v>
      </c>
      <c r="E55" s="72" t="s">
        <v>2</v>
      </c>
      <c r="F55" s="74" t="s">
        <v>3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6.5" customHeight="1">
      <c r="A57" s="30" t="s">
        <v>29</v>
      </c>
      <c r="B57" s="31" t="s">
        <v>30</v>
      </c>
      <c r="C57" s="32">
        <f>C58+C59+C60+C61+C62+C64+C63</f>
        <v>1320</v>
      </c>
      <c r="D57" s="33">
        <f>D58+D59+D60+D61+D62+D64+D63</f>
        <v>512.36355000000003</v>
      </c>
      <c r="E57" s="34">
        <f>SUM(D57/C57*100)</f>
        <v>38.81542045454546</v>
      </c>
      <c r="F57" s="34">
        <f>SUM(D57-C57)</f>
        <v>-807.63644999999997</v>
      </c>
    </row>
    <row r="58" spans="1:8" s="6" customFormat="1" ht="31.5" hidden="1">
      <c r="A58" s="35" t="s">
        <v>31</v>
      </c>
      <c r="B58" s="36" t="s">
        <v>32</v>
      </c>
      <c r="C58" s="37"/>
      <c r="D58" s="37"/>
      <c r="E58" s="38"/>
      <c r="F58" s="38"/>
    </row>
    <row r="59" spans="1:8" ht="18.75" customHeight="1">
      <c r="A59" s="35" t="s">
        <v>33</v>
      </c>
      <c r="B59" s="39" t="s">
        <v>34</v>
      </c>
      <c r="C59" s="37">
        <v>1267.0999999999999</v>
      </c>
      <c r="D59" s="37">
        <v>504.59404999999998</v>
      </c>
      <c r="E59" s="38">
        <f t="shared" ref="E59:E99" si="3">SUM(D59/C59*100)</f>
        <v>39.822748796464367</v>
      </c>
      <c r="F59" s="38">
        <f t="shared" ref="F59:F99" si="4">SUM(D59-C59)</f>
        <v>-762.50594999999998</v>
      </c>
    </row>
    <row r="60" spans="1:8" ht="16.5" hidden="1" customHeight="1">
      <c r="A60" s="35" t="s">
        <v>35</v>
      </c>
      <c r="B60" s="39" t="s">
        <v>36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37</v>
      </c>
      <c r="B61" s="39" t="s">
        <v>38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21.75" customHeight="1">
      <c r="A62" s="35" t="s">
        <v>39</v>
      </c>
      <c r="B62" s="39" t="s">
        <v>40</v>
      </c>
      <c r="C62" s="37">
        <v>20.13</v>
      </c>
      <c r="D62" s="37">
        <v>0</v>
      </c>
      <c r="E62" s="38">
        <f t="shared" si="3"/>
        <v>0</v>
      </c>
      <c r="F62" s="38">
        <f t="shared" si="4"/>
        <v>-20.13</v>
      </c>
    </row>
    <row r="63" spans="1:8" ht="15.75" customHeight="1">
      <c r="A63" s="35" t="s">
        <v>41</v>
      </c>
      <c r="B63" s="39" t="s">
        <v>42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5" customHeight="1">
      <c r="A64" s="35" t="s">
        <v>43</v>
      </c>
      <c r="B64" s="39" t="s">
        <v>44</v>
      </c>
      <c r="C64" s="37">
        <v>27.77</v>
      </c>
      <c r="D64" s="37">
        <v>7.7694999999999999</v>
      </c>
      <c r="E64" s="38">
        <f t="shared" si="3"/>
        <v>27.97803384947785</v>
      </c>
      <c r="F64" s="38">
        <f t="shared" si="4"/>
        <v>-20.000499999999999</v>
      </c>
    </row>
    <row r="65" spans="1:7" s="6" customFormat="1">
      <c r="A65" s="41" t="s">
        <v>45</v>
      </c>
      <c r="B65" s="42" t="s">
        <v>46</v>
      </c>
      <c r="C65" s="32">
        <f>C66</f>
        <v>179.892</v>
      </c>
      <c r="D65" s="32">
        <f>D66</f>
        <v>63.244230000000002</v>
      </c>
      <c r="E65" s="34">
        <f t="shared" si="3"/>
        <v>35.156777399773198</v>
      </c>
      <c r="F65" s="34">
        <f t="shared" si="4"/>
        <v>-116.64776999999999</v>
      </c>
    </row>
    <row r="66" spans="1:7">
      <c r="A66" s="43" t="s">
        <v>47</v>
      </c>
      <c r="B66" s="44" t="s">
        <v>48</v>
      </c>
      <c r="C66" s="37">
        <v>179.892</v>
      </c>
      <c r="D66" s="37">
        <v>63.244230000000002</v>
      </c>
      <c r="E66" s="38">
        <f t="shared" si="3"/>
        <v>35.156777399773198</v>
      </c>
      <c r="F66" s="38">
        <f t="shared" si="4"/>
        <v>-116.64776999999999</v>
      </c>
    </row>
    <row r="67" spans="1:7" s="6" customFormat="1" ht="16.5" customHeight="1">
      <c r="A67" s="30" t="s">
        <v>49</v>
      </c>
      <c r="B67" s="31" t="s">
        <v>50</v>
      </c>
      <c r="C67" s="32">
        <f>C71+C70+C72</f>
        <v>12.175000000000001</v>
      </c>
      <c r="D67" s="32">
        <f>D71+D70+D72</f>
        <v>1.175</v>
      </c>
      <c r="E67" s="34">
        <f t="shared" si="3"/>
        <v>9.6509240246406574</v>
      </c>
      <c r="F67" s="34">
        <f t="shared" si="4"/>
        <v>-11</v>
      </c>
    </row>
    <row r="68" spans="1:7" hidden="1">
      <c r="A68" s="3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53</v>
      </c>
      <c r="B69" s="39" t="s">
        <v>54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55</v>
      </c>
      <c r="B70" s="47" t="s">
        <v>56</v>
      </c>
      <c r="C70" s="96">
        <v>1</v>
      </c>
      <c r="D70" s="37">
        <v>0</v>
      </c>
      <c r="E70" s="34">
        <f t="shared" si="3"/>
        <v>0</v>
      </c>
      <c r="F70" s="34">
        <f t="shared" si="4"/>
        <v>-1</v>
      </c>
    </row>
    <row r="71" spans="1:7" ht="15.75" customHeight="1">
      <c r="A71" s="46" t="s">
        <v>218</v>
      </c>
      <c r="B71" s="47" t="s">
        <v>219</v>
      </c>
      <c r="C71" s="37">
        <v>9.1750000000000007</v>
      </c>
      <c r="D71" s="37">
        <v>1.175</v>
      </c>
      <c r="E71" s="34">
        <f t="shared" si="3"/>
        <v>12.806539509536785</v>
      </c>
      <c r="F71" s="34">
        <f t="shared" si="4"/>
        <v>-8</v>
      </c>
    </row>
    <row r="72" spans="1:7" ht="15.75" customHeight="1">
      <c r="A72" s="46" t="s">
        <v>357</v>
      </c>
      <c r="B72" s="47" t="s">
        <v>360</v>
      </c>
      <c r="C72" s="37">
        <v>2</v>
      </c>
      <c r="D72" s="37">
        <v>0</v>
      </c>
      <c r="E72" s="34">
        <f>SUM(D72/C72*100)</f>
        <v>0</v>
      </c>
      <c r="F72" s="34">
        <f>SUM(D72-C72)</f>
        <v>-2</v>
      </c>
    </row>
    <row r="73" spans="1:7" s="6" customFormat="1" ht="24" customHeight="1">
      <c r="A73" s="30" t="s">
        <v>57</v>
      </c>
      <c r="B73" s="31" t="s">
        <v>58</v>
      </c>
      <c r="C73" s="48">
        <f>C74+C75+C76+C77</f>
        <v>5523.0478000000003</v>
      </c>
      <c r="D73" s="48">
        <f>SUM(D74:D77)</f>
        <v>507.36457999999999</v>
      </c>
      <c r="E73" s="34">
        <f t="shared" si="3"/>
        <v>9.1863152080631991</v>
      </c>
      <c r="F73" s="34">
        <f t="shared" si="4"/>
        <v>-5015.6832199999999</v>
      </c>
    </row>
    <row r="74" spans="1:7" ht="16.5" customHeight="1">
      <c r="A74" s="35" t="s">
        <v>59</v>
      </c>
      <c r="B74" s="39" t="s">
        <v>60</v>
      </c>
      <c r="C74" s="49">
        <v>5.3620000000000001</v>
      </c>
      <c r="D74" s="37">
        <v>1.3405</v>
      </c>
      <c r="E74" s="38">
        <f t="shared" si="3"/>
        <v>25</v>
      </c>
      <c r="F74" s="38">
        <f t="shared" si="4"/>
        <v>-4.0214999999999996</v>
      </c>
    </row>
    <row r="75" spans="1:7" s="6" customFormat="1" ht="17.25" customHeight="1">
      <c r="A75" s="35" t="s">
        <v>61</v>
      </c>
      <c r="B75" s="39" t="s">
        <v>62</v>
      </c>
      <c r="C75" s="49">
        <v>220</v>
      </c>
      <c r="D75" s="37">
        <v>8.8089999999999993</v>
      </c>
      <c r="E75" s="38">
        <f t="shared" si="3"/>
        <v>4.0040909090909089</v>
      </c>
      <c r="F75" s="38">
        <f t="shared" si="4"/>
        <v>-211.191</v>
      </c>
      <c r="G75" s="50"/>
    </row>
    <row r="76" spans="1:7" ht="18" customHeight="1">
      <c r="A76" s="35" t="s">
        <v>63</v>
      </c>
      <c r="B76" s="39" t="s">
        <v>64</v>
      </c>
      <c r="C76" s="49">
        <v>5137.6858000000002</v>
      </c>
      <c r="D76" s="37">
        <v>458.21508</v>
      </c>
      <c r="E76" s="38">
        <f t="shared" si="3"/>
        <v>8.9187057721591305</v>
      </c>
      <c r="F76" s="38">
        <f t="shared" si="4"/>
        <v>-4679.4707200000003</v>
      </c>
    </row>
    <row r="77" spans="1:7">
      <c r="A77" s="35" t="s">
        <v>65</v>
      </c>
      <c r="B77" s="39" t="s">
        <v>66</v>
      </c>
      <c r="C77" s="49">
        <v>160</v>
      </c>
      <c r="D77" s="37">
        <v>39</v>
      </c>
      <c r="E77" s="38">
        <f t="shared" si="3"/>
        <v>24.375</v>
      </c>
      <c r="F77" s="38">
        <f t="shared" si="4"/>
        <v>-121</v>
      </c>
    </row>
    <row r="78" spans="1:7" s="6" customFormat="1" ht="15.75" customHeight="1">
      <c r="A78" s="30" t="s">
        <v>67</v>
      </c>
      <c r="B78" s="31" t="s">
        <v>68</v>
      </c>
      <c r="C78" s="32">
        <f>SUM(C79:C81)</f>
        <v>770.34400000000005</v>
      </c>
      <c r="D78" s="32">
        <f>SUM(D79:D81)</f>
        <v>203.01786000000001</v>
      </c>
      <c r="E78" s="34">
        <f t="shared" si="3"/>
        <v>26.354182027769411</v>
      </c>
      <c r="F78" s="34">
        <f t="shared" si="4"/>
        <v>-567.32614000000001</v>
      </c>
    </row>
    <row r="79" spans="1:7" hidden="1">
      <c r="A79" s="35" t="s">
        <v>69</v>
      </c>
      <c r="B79" s="51" t="s">
        <v>70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8" hidden="1" customHeight="1">
      <c r="A80" s="35" t="s">
        <v>71</v>
      </c>
      <c r="B80" s="51" t="s">
        <v>72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>
      <c r="A81" s="35" t="s">
        <v>73</v>
      </c>
      <c r="B81" s="39" t="s">
        <v>74</v>
      </c>
      <c r="C81" s="37">
        <v>770.34400000000005</v>
      </c>
      <c r="D81" s="37">
        <v>203.01786000000001</v>
      </c>
      <c r="E81" s="38">
        <f>SUM(D81/C81*100)</f>
        <v>26.354182027769411</v>
      </c>
      <c r="F81" s="38">
        <f t="shared" si="4"/>
        <v>-567.32614000000001</v>
      </c>
    </row>
    <row r="82" spans="1:6" s="6" customFormat="1">
      <c r="A82" s="30" t="s">
        <v>85</v>
      </c>
      <c r="B82" s="31" t="s">
        <v>86</v>
      </c>
      <c r="C82" s="32">
        <f>C83</f>
        <v>6565.6698399999996</v>
      </c>
      <c r="D82" s="32">
        <f>D83</f>
        <v>883.76350000000002</v>
      </c>
      <c r="E82" s="34">
        <f t="shared" si="3"/>
        <v>13.460370709106506</v>
      </c>
      <c r="F82" s="34">
        <f t="shared" si="4"/>
        <v>-5681.9063399999995</v>
      </c>
    </row>
    <row r="83" spans="1:6" ht="18.75" customHeight="1">
      <c r="A83" s="35" t="s">
        <v>87</v>
      </c>
      <c r="B83" s="39" t="s">
        <v>233</v>
      </c>
      <c r="C83" s="37">
        <v>6565.6698399999996</v>
      </c>
      <c r="D83" s="37">
        <v>883.76350000000002</v>
      </c>
      <c r="E83" s="38">
        <f t="shared" si="3"/>
        <v>13.460370709106506</v>
      </c>
      <c r="F83" s="38">
        <f t="shared" si="4"/>
        <v>-5681.9063399999995</v>
      </c>
    </row>
    <row r="84" spans="1:6" s="6" customFormat="1" ht="0.75" hidden="1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89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90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1004</v>
      </c>
      <c r="B87" s="54" t="s">
        <v>91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5.25" hidden="1" customHeight="1">
      <c r="A88" s="35" t="s">
        <v>92</v>
      </c>
      <c r="B88" s="39" t="s">
        <v>93</v>
      </c>
      <c r="C88" s="37"/>
      <c r="D88" s="37"/>
      <c r="E88" s="38"/>
      <c r="F88" s="38">
        <f t="shared" si="4"/>
        <v>0</v>
      </c>
    </row>
    <row r="89" spans="1:6">
      <c r="A89" s="30" t="s">
        <v>94</v>
      </c>
      <c r="B89" s="31" t="s">
        <v>95</v>
      </c>
      <c r="C89" s="32">
        <f>C90+C91+C92+C93+C94</f>
        <v>33.219000000000001</v>
      </c>
      <c r="D89" s="32">
        <f>D90+D91+D92+D93+D94</f>
        <v>25.768999999999998</v>
      </c>
      <c r="E89" s="38">
        <f t="shared" si="3"/>
        <v>77.573075649477701</v>
      </c>
      <c r="F89" s="22">
        <f>F90+F91+F92+F93+F94</f>
        <v>-7.4500000000000028</v>
      </c>
    </row>
    <row r="90" spans="1:6" ht="17.25" customHeight="1">
      <c r="A90" s="35" t="s">
        <v>96</v>
      </c>
      <c r="B90" s="39" t="s">
        <v>97</v>
      </c>
      <c r="C90" s="37">
        <v>33.219000000000001</v>
      </c>
      <c r="D90" s="37">
        <v>25.768999999999998</v>
      </c>
      <c r="E90" s="38">
        <f t="shared" si="3"/>
        <v>77.573075649477701</v>
      </c>
      <c r="F90" s="38">
        <f>SUM(D90-C90)</f>
        <v>-7.4500000000000028</v>
      </c>
    </row>
    <row r="91" spans="1:6" ht="15.7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15.75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114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115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116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117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118</v>
      </c>
      <c r="C99" s="33">
        <f>C57+C65+C67+C73+C78+C82+C84+C89+C95</f>
        <v>14404.347639999998</v>
      </c>
      <c r="D99" s="33">
        <f>D57+D65+D67+D73+D78+D82+D84+D89+D95</f>
        <v>2196.6977199999997</v>
      </c>
      <c r="E99" s="34">
        <f t="shared" si="3"/>
        <v>15.25024093350749</v>
      </c>
      <c r="F99" s="34">
        <f t="shared" si="4"/>
        <v>-12207.649919999998</v>
      </c>
      <c r="G99" s="290">
        <f>13760.58764-C99</f>
        <v>-643.7599999999984</v>
      </c>
      <c r="H99" s="151">
        <f>D99-2015.50722</f>
        <v>181.1904999999997</v>
      </c>
    </row>
    <row r="100" spans="1:8" ht="13.5" customHeight="1">
      <c r="C100" s="117"/>
      <c r="D100" s="61"/>
    </row>
    <row r="101" spans="1:8" s="65" customFormat="1" ht="12.75">
      <c r="A101" s="63" t="s">
        <v>119</v>
      </c>
      <c r="B101" s="63"/>
      <c r="C101" s="134"/>
      <c r="D101" s="134"/>
    </row>
    <row r="102" spans="1:8" s="65" customFormat="1" ht="12.75">
      <c r="A102" s="66" t="s">
        <v>120</v>
      </c>
      <c r="B102" s="66"/>
      <c r="C102" s="119" t="s">
        <v>121</v>
      </c>
    </row>
    <row r="104" spans="1:8" ht="5.25" customHeight="1"/>
    <row r="143" hidden="1"/>
  </sheetData>
  <customSheetViews>
    <customSheetView guid="{61528DAC-5C4C-48F4-ADE2-8A724B05A086}" scale="70" showPageBreaks="1" printArea="1" hiddenRows="1" view="pageBreakPreview">
      <selection activeCell="D63" sqref="D63"/>
      <pageMargins left="0.70866141732283472" right="0.70866141732283472" top="0.74803149606299213" bottom="0.74803149606299213" header="0.31496062992125984" footer="0.31496062992125984"/>
      <pageSetup paperSize="9" scale="59" orientation="portrait" r:id="rId1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2"/>
    </customSheetView>
    <customSheetView guid="{1A52382B-3765-4E8C-903F-6B8919B7242E}" showPageBreaks="1" printArea="1" hiddenRows="1" topLeftCell="A47">
      <selection activeCell="C57" sqref="C57:D99"/>
      <pageMargins left="0.7" right="0.7" top="0.75" bottom="0.75" header="0.3" footer="0.3"/>
      <pageSetup paperSize="9" scale="54" orientation="portrait" r:id="rId3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4"/>
    </customSheetView>
    <customSheetView guid="{3DCB9AAA-F09C-4EA6-B992-F93E466D374A}" hiddenRows="1" topLeftCell="A51">
      <selection activeCell="B100" sqref="B100"/>
      <pageMargins left="0.7" right="0.7" top="0.75" bottom="0.75" header="0.3" footer="0.3"/>
      <pageSetup paperSize="9" scale="54" orientation="portrait" r:id="rId5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6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B31C8DB7-3E78-4144-A6B5-8DE36DE63F0E}" showPageBreaks="1" printArea="1" hiddenRows="1" topLeftCell="A30">
      <selection activeCell="D43" sqref="D43"/>
      <pageMargins left="0.7" right="0.7" top="0.75" bottom="0.75" header="0.3" footer="0.3"/>
      <pageSetup paperSize="9" scale="54" orientation="portrait" r:id="rId8"/>
    </customSheetView>
    <customSheetView guid="{B30CE22D-C12F-4E12-8BB9-3AAE0A6991CC}" scale="70" showPageBreaks="1" printArea="1" hiddenRows="1" view="pageBreakPreview" topLeftCell="A40">
      <selection activeCell="C99" sqref="C99:D99"/>
      <pageMargins left="0.70866141732283472" right="0.70866141732283472" top="0.74803149606299213" bottom="0.74803149606299213" header="0.31496062992125984" footer="0.31496062992125984"/>
      <pageSetup paperSize="9" scale="55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00"/>
  <sheetViews>
    <sheetView tabSelected="1" view="pageBreakPreview" topLeftCell="A29" zoomScale="70" zoomScaleSheetLayoutView="70" workbookViewId="0">
      <selection activeCell="E48" sqref="E48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25" t="s">
        <v>440</v>
      </c>
      <c r="B1" s="525"/>
      <c r="C1" s="525"/>
      <c r="D1" s="525"/>
      <c r="E1" s="525"/>
      <c r="F1" s="525"/>
    </row>
    <row r="2" spans="1:6">
      <c r="A2" s="525"/>
      <c r="B2" s="525"/>
      <c r="C2" s="525"/>
      <c r="D2" s="525"/>
      <c r="E2" s="525"/>
      <c r="F2" s="525"/>
    </row>
    <row r="3" spans="1:6" ht="64.5" customHeight="1">
      <c r="A3" s="2" t="s">
        <v>0</v>
      </c>
      <c r="B3" s="2" t="s">
        <v>1</v>
      </c>
      <c r="C3" s="72" t="s">
        <v>411</v>
      </c>
      <c r="D3" s="73" t="s">
        <v>422</v>
      </c>
      <c r="E3" s="72" t="s">
        <v>2</v>
      </c>
      <c r="F3" s="74" t="s">
        <v>3</v>
      </c>
    </row>
    <row r="4" spans="1:6" s="6" customFormat="1" ht="17.25" customHeight="1">
      <c r="A4" s="3"/>
      <c r="B4" s="4" t="s">
        <v>4</v>
      </c>
      <c r="C4" s="5">
        <f>C5+C12+C14+C17+C7</f>
        <v>1798.069</v>
      </c>
      <c r="D4" s="5">
        <f>D5+D12+D14+D17+D7</f>
        <v>427.67564000000004</v>
      </c>
      <c r="E4" s="5">
        <f>SUM(D4/C4*100)</f>
        <v>23.78527409126124</v>
      </c>
      <c r="F4" s="5">
        <f>SUM(D4-C4)</f>
        <v>-1370.39336</v>
      </c>
    </row>
    <row r="5" spans="1:6" s="6" customFormat="1">
      <c r="A5" s="3">
        <v>1010000000</v>
      </c>
      <c r="B5" s="4" t="s">
        <v>5</v>
      </c>
      <c r="C5" s="5">
        <f>C6</f>
        <v>109.68899999999999</v>
      </c>
      <c r="D5" s="5">
        <f>D6</f>
        <v>41.512410000000003</v>
      </c>
      <c r="E5" s="5">
        <f t="shared" ref="E5:E48" si="0">SUM(D5/C5*100)</f>
        <v>37.845554248830794</v>
      </c>
      <c r="F5" s="5">
        <f t="shared" ref="F5:F48" si="1">SUM(D5-C5)</f>
        <v>-68.17658999999999</v>
      </c>
    </row>
    <row r="6" spans="1:6">
      <c r="A6" s="7">
        <v>1010200001</v>
      </c>
      <c r="B6" s="8" t="s">
        <v>228</v>
      </c>
      <c r="C6" s="9">
        <v>109.68899999999999</v>
      </c>
      <c r="D6" s="10">
        <v>41.512410000000003</v>
      </c>
      <c r="E6" s="9">
        <f t="shared" ref="E6:E11" si="2">SUM(D6/C6*100)</f>
        <v>37.845554248830794</v>
      </c>
      <c r="F6" s="9">
        <f t="shared" si="1"/>
        <v>-68.17658999999999</v>
      </c>
    </row>
    <row r="7" spans="1:6" ht="31.5">
      <c r="A7" s="3">
        <v>1030000000</v>
      </c>
      <c r="B7" s="13" t="s">
        <v>280</v>
      </c>
      <c r="C7" s="5">
        <f>C8+C10+C9</f>
        <v>422.38</v>
      </c>
      <c r="D7" s="5">
        <f>D8+D10+D9+D11</f>
        <v>204.65340999999998</v>
      </c>
      <c r="E7" s="5">
        <f t="shared" si="2"/>
        <v>48.452438562431929</v>
      </c>
      <c r="F7" s="5">
        <f t="shared" si="1"/>
        <v>-217.72659000000002</v>
      </c>
    </row>
    <row r="8" spans="1:6">
      <c r="A8" s="7">
        <v>1030223001</v>
      </c>
      <c r="B8" s="8" t="s">
        <v>282</v>
      </c>
      <c r="C8" s="9">
        <v>157.55000000000001</v>
      </c>
      <c r="D8" s="10">
        <v>92.453519999999997</v>
      </c>
      <c r="E8" s="9">
        <f t="shared" si="2"/>
        <v>58.682018406854965</v>
      </c>
      <c r="F8" s="9">
        <f t="shared" si="1"/>
        <v>-65.096480000000014</v>
      </c>
    </row>
    <row r="9" spans="1:6">
      <c r="A9" s="7">
        <v>1030224001</v>
      </c>
      <c r="B9" s="8" t="s">
        <v>288</v>
      </c>
      <c r="C9" s="9">
        <v>1.69</v>
      </c>
      <c r="D9" s="10">
        <v>0.69454000000000005</v>
      </c>
      <c r="E9" s="9">
        <f t="shared" si="2"/>
        <v>41.097041420118344</v>
      </c>
      <c r="F9" s="9">
        <f t="shared" si="1"/>
        <v>-0.9954599999999999</v>
      </c>
    </row>
    <row r="10" spans="1:6">
      <c r="A10" s="7">
        <v>1030225001</v>
      </c>
      <c r="B10" s="8" t="s">
        <v>281</v>
      </c>
      <c r="C10" s="9">
        <v>263.14</v>
      </c>
      <c r="D10" s="10">
        <v>128.31883999999999</v>
      </c>
      <c r="E10" s="9">
        <f t="shared" si="2"/>
        <v>48.764475184312531</v>
      </c>
      <c r="F10" s="9">
        <f t="shared" si="1"/>
        <v>-134.82115999999999</v>
      </c>
    </row>
    <row r="11" spans="1:6">
      <c r="A11" s="7">
        <v>1030226001</v>
      </c>
      <c r="B11" s="8" t="s">
        <v>290</v>
      </c>
      <c r="C11" s="9">
        <v>0</v>
      </c>
      <c r="D11" s="10">
        <v>-16.813490000000002</v>
      </c>
      <c r="E11" s="9" t="e">
        <f t="shared" si="2"/>
        <v>#DIV/0!</v>
      </c>
      <c r="F11" s="9">
        <f t="shared" si="1"/>
        <v>-16.813490000000002</v>
      </c>
    </row>
    <row r="12" spans="1:6" s="6" customFormat="1">
      <c r="A12" s="3">
        <v>1050000000</v>
      </c>
      <c r="B12" s="4" t="s">
        <v>6</v>
      </c>
      <c r="C12" s="5">
        <f>SUM(C13:C13)</f>
        <v>5</v>
      </c>
      <c r="D12" s="5">
        <f>SUM(D13:D13)</f>
        <v>0.77749999999999997</v>
      </c>
      <c r="E12" s="5">
        <f t="shared" si="0"/>
        <v>15.55</v>
      </c>
      <c r="F12" s="5">
        <f t="shared" si="1"/>
        <v>-4.2225000000000001</v>
      </c>
    </row>
    <row r="13" spans="1:6" ht="15.75" customHeight="1">
      <c r="A13" s="7">
        <v>1050300000</v>
      </c>
      <c r="B13" s="11" t="s">
        <v>229</v>
      </c>
      <c r="C13" s="12">
        <v>5</v>
      </c>
      <c r="D13" s="10">
        <v>0.77749999999999997</v>
      </c>
      <c r="E13" s="9">
        <f t="shared" si="0"/>
        <v>15.55</v>
      </c>
      <c r="F13" s="9">
        <f t="shared" si="1"/>
        <v>-4.2225000000000001</v>
      </c>
    </row>
    <row r="14" spans="1:6" s="6" customFormat="1" ht="15.75" customHeight="1">
      <c r="A14" s="3">
        <v>1060000000</v>
      </c>
      <c r="B14" s="4" t="s">
        <v>135</v>
      </c>
      <c r="C14" s="5">
        <f>C15+C16</f>
        <v>1256</v>
      </c>
      <c r="D14" s="5">
        <f>D15+D16</f>
        <v>177.98232000000002</v>
      </c>
      <c r="E14" s="5">
        <f t="shared" si="0"/>
        <v>14.170566878980893</v>
      </c>
      <c r="F14" s="5">
        <f t="shared" si="1"/>
        <v>-1078.0176799999999</v>
      </c>
    </row>
    <row r="15" spans="1:6" s="6" customFormat="1" ht="15.75" customHeight="1">
      <c r="A15" s="7">
        <v>1060100000</v>
      </c>
      <c r="B15" s="11" t="s">
        <v>8</v>
      </c>
      <c r="C15" s="9">
        <v>228</v>
      </c>
      <c r="D15" s="10">
        <v>94.584710000000001</v>
      </c>
      <c r="E15" s="9">
        <f t="shared" si="0"/>
        <v>41.484521929824567</v>
      </c>
      <c r="F15" s="9">
        <f>SUM(D15-C15)</f>
        <v>-133.41529</v>
      </c>
    </row>
    <row r="16" spans="1:6" ht="15.75" customHeight="1">
      <c r="A16" s="7">
        <v>1060600000</v>
      </c>
      <c r="B16" s="11" t="s">
        <v>7</v>
      </c>
      <c r="C16" s="9">
        <v>1028</v>
      </c>
      <c r="D16" s="10">
        <v>83.39761</v>
      </c>
      <c r="E16" s="9">
        <f t="shared" si="0"/>
        <v>8.1126079766536954</v>
      </c>
      <c r="F16" s="9">
        <f t="shared" si="1"/>
        <v>-944.60239000000001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2.75</v>
      </c>
      <c r="E17" s="5">
        <f t="shared" si="0"/>
        <v>55.000000000000007</v>
      </c>
      <c r="F17" s="5">
        <f t="shared" si="1"/>
        <v>-2.25</v>
      </c>
    </row>
    <row r="18" spans="1:6">
      <c r="A18" s="7">
        <v>1080400001</v>
      </c>
      <c r="B18" s="8" t="s">
        <v>227</v>
      </c>
      <c r="C18" s="9">
        <v>5</v>
      </c>
      <c r="D18" s="10">
        <v>2.75</v>
      </c>
      <c r="E18" s="9">
        <f t="shared" si="0"/>
        <v>55.000000000000007</v>
      </c>
      <c r="F18" s="9">
        <f t="shared" si="1"/>
        <v>-2.25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232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317.59127999999998</v>
      </c>
      <c r="D25" s="5">
        <f>D26+D29+D31+D34</f>
        <v>101.32995000000001</v>
      </c>
      <c r="E25" s="5">
        <f t="shared" si="0"/>
        <v>31.905772098024865</v>
      </c>
      <c r="F25" s="5">
        <f t="shared" si="1"/>
        <v>-216.26132999999999</v>
      </c>
    </row>
    <row r="26" spans="1:6" s="6" customFormat="1" ht="32.25" customHeight="1">
      <c r="A26" s="3">
        <v>1110000000</v>
      </c>
      <c r="B26" s="13" t="s">
        <v>128</v>
      </c>
      <c r="C26" s="5">
        <f>C27+C28</f>
        <v>300</v>
      </c>
      <c r="D26" s="5">
        <f>D27</f>
        <v>89.837950000000006</v>
      </c>
      <c r="E26" s="5">
        <f t="shared" si="0"/>
        <v>29.945983333333338</v>
      </c>
      <c r="F26" s="5">
        <f t="shared" si="1"/>
        <v>-210.16204999999999</v>
      </c>
    </row>
    <row r="27" spans="1:6" ht="15" customHeight="1">
      <c r="A27" s="16">
        <v>1110502510</v>
      </c>
      <c r="B27" s="17" t="s">
        <v>225</v>
      </c>
      <c r="C27" s="12">
        <v>300</v>
      </c>
      <c r="D27" s="10">
        <v>89.837950000000006</v>
      </c>
      <c r="E27" s="5">
        <f t="shared" si="0"/>
        <v>29.945983333333338</v>
      </c>
      <c r="F27" s="9">
        <f t="shared" si="1"/>
        <v>-210.16204999999999</v>
      </c>
    </row>
    <row r="28" spans="1:6" ht="19.5" hidden="1" customHeight="1">
      <c r="A28" s="7">
        <v>1110503505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" customHeight="1">
      <c r="A29" s="3">
        <v>1130000000</v>
      </c>
      <c r="B29" s="13" t="s">
        <v>130</v>
      </c>
      <c r="C29" s="5">
        <f>C30</f>
        <v>0</v>
      </c>
      <c r="D29" s="5">
        <f>D30</f>
        <v>5.093</v>
      </c>
      <c r="E29" s="5" t="e">
        <f t="shared" si="0"/>
        <v>#DIV/0!</v>
      </c>
      <c r="F29" s="5">
        <f t="shared" si="1"/>
        <v>5.093</v>
      </c>
    </row>
    <row r="30" spans="1:6" ht="50.25" customHeight="1">
      <c r="A30" s="7">
        <v>1130305005</v>
      </c>
      <c r="B30" s="8" t="s">
        <v>223</v>
      </c>
      <c r="C30" s="9">
        <v>0</v>
      </c>
      <c r="D30" s="10">
        <v>5.093</v>
      </c>
      <c r="E30" s="9" t="e">
        <f t="shared" si="0"/>
        <v>#DIV/0!</v>
      </c>
      <c r="F30" s="9">
        <f t="shared" si="1"/>
        <v>5.093</v>
      </c>
    </row>
    <row r="31" spans="1:6" ht="33" customHeight="1">
      <c r="A31" s="109">
        <v>1140000000</v>
      </c>
      <c r="B31" s="110" t="s">
        <v>131</v>
      </c>
      <c r="C31" s="5">
        <f>C33</f>
        <v>17.591280000000001</v>
      </c>
      <c r="D31" s="5">
        <f>D32+D33</f>
        <v>6.399</v>
      </c>
      <c r="E31" s="5">
        <f t="shared" si="0"/>
        <v>36.37597718869803</v>
      </c>
      <c r="F31" s="5">
        <f t="shared" si="1"/>
        <v>-11.19228</v>
      </c>
    </row>
    <row r="32" spans="1:6" ht="27" customHeight="1">
      <c r="A32" s="16">
        <v>1140200000</v>
      </c>
      <c r="B32" s="18" t="s">
        <v>221</v>
      </c>
      <c r="C32" s="9">
        <v>0</v>
      </c>
      <c r="D32" s="10">
        <v>6.399</v>
      </c>
      <c r="E32" s="9" t="e">
        <f t="shared" si="0"/>
        <v>#DIV/0!</v>
      </c>
      <c r="F32" s="9">
        <f t="shared" si="1"/>
        <v>6.399</v>
      </c>
    </row>
    <row r="33" spans="1:8" ht="27" customHeight="1">
      <c r="A33" s="7">
        <v>1140600000</v>
      </c>
      <c r="B33" s="8" t="s">
        <v>222</v>
      </c>
      <c r="C33" s="9">
        <v>17.591280000000001</v>
      </c>
      <c r="D33" s="10">
        <v>0</v>
      </c>
      <c r="E33" s="9">
        <f t="shared" si="0"/>
        <v>0</v>
      </c>
      <c r="F33" s="9">
        <f t="shared" si="1"/>
        <v>-17.591280000000001</v>
      </c>
    </row>
    <row r="34" spans="1:8" ht="27" customHeight="1">
      <c r="A34" s="3">
        <v>1170000000</v>
      </c>
      <c r="B34" s="13" t="s">
        <v>134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8" ht="23.25" customHeight="1">
      <c r="A35" s="7">
        <v>1170105005</v>
      </c>
      <c r="B35" s="8" t="s">
        <v>17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8" ht="32.25" customHeight="1">
      <c r="A36" s="7">
        <v>1170505005</v>
      </c>
      <c r="B36" s="11" t="s">
        <v>220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8" s="6" customFormat="1" ht="15" customHeight="1">
      <c r="A37" s="3">
        <v>1000000000</v>
      </c>
      <c r="B37" s="4" t="s">
        <v>18</v>
      </c>
      <c r="C37" s="450">
        <f>SUM(C4,C25)</f>
        <v>2115.6602800000001</v>
      </c>
      <c r="D37" s="450">
        <f>D4+D25</f>
        <v>529.0055900000001</v>
      </c>
      <c r="E37" s="5">
        <f t="shared" si="0"/>
        <v>25.004278569714423</v>
      </c>
      <c r="F37" s="5">
        <f t="shared" si="1"/>
        <v>-1586.6546899999998</v>
      </c>
    </row>
    <row r="38" spans="1:8" s="6" customFormat="1">
      <c r="A38" s="3">
        <v>2000000000</v>
      </c>
      <c r="B38" s="4" t="s">
        <v>19</v>
      </c>
      <c r="C38" s="451">
        <f>C39+C41+C42+C44+C45+C46+C40</f>
        <v>10059.70217</v>
      </c>
      <c r="D38" s="451">
        <f>D39+D41+D42+D44+D45+D46+D40</f>
        <v>2117.1516799999999</v>
      </c>
      <c r="E38" s="5">
        <f t="shared" si="0"/>
        <v>21.045868398706279</v>
      </c>
      <c r="F38" s="5">
        <f t="shared" si="1"/>
        <v>-7942.5504900000005</v>
      </c>
      <c r="G38" s="19"/>
    </row>
    <row r="39" spans="1:8">
      <c r="A39" s="16">
        <v>2021000000</v>
      </c>
      <c r="B39" s="17" t="s">
        <v>20</v>
      </c>
      <c r="C39" s="12">
        <v>550.70000000000005</v>
      </c>
      <c r="D39" s="402">
        <v>229.46</v>
      </c>
      <c r="E39" s="9">
        <f t="shared" si="0"/>
        <v>41.666969311785003</v>
      </c>
      <c r="F39" s="9">
        <f t="shared" si="1"/>
        <v>-321.24</v>
      </c>
    </row>
    <row r="40" spans="1:8" ht="15.75" customHeight="1">
      <c r="A40" s="16">
        <v>2021500200</v>
      </c>
      <c r="B40" s="17" t="s">
        <v>231</v>
      </c>
      <c r="C40" s="12">
        <v>3415</v>
      </c>
      <c r="D40" s="20">
        <v>1340</v>
      </c>
      <c r="E40" s="9">
        <f t="shared" si="0"/>
        <v>39.238653001464129</v>
      </c>
      <c r="F40" s="9">
        <f t="shared" si="1"/>
        <v>-2075</v>
      </c>
    </row>
    <row r="41" spans="1:8">
      <c r="A41" s="16">
        <v>2022000000</v>
      </c>
      <c r="B41" s="17" t="s">
        <v>21</v>
      </c>
      <c r="C41" s="12">
        <v>5600.5004900000004</v>
      </c>
      <c r="D41" s="10">
        <v>269.904</v>
      </c>
      <c r="E41" s="9">
        <f t="shared" si="0"/>
        <v>4.8192835708510042</v>
      </c>
      <c r="F41" s="9">
        <f t="shared" si="1"/>
        <v>-5330.5964899999999</v>
      </c>
    </row>
    <row r="42" spans="1:8" ht="13.5" customHeight="1">
      <c r="A42" s="16">
        <v>2023000000</v>
      </c>
      <c r="B42" s="17" t="s">
        <v>22</v>
      </c>
      <c r="C42" s="12">
        <v>93.018000000000001</v>
      </c>
      <c r="D42" s="248">
        <v>37.304000000000002</v>
      </c>
      <c r="E42" s="9">
        <f t="shared" si="0"/>
        <v>40.104065879722206</v>
      </c>
      <c r="F42" s="9">
        <f t="shared" si="1"/>
        <v>-55.713999999999999</v>
      </c>
    </row>
    <row r="43" spans="1:8" hidden="1">
      <c r="A43" s="16">
        <v>2070503010</v>
      </c>
      <c r="B43" s="17" t="s">
        <v>270</v>
      </c>
      <c r="C43" s="12">
        <v>0</v>
      </c>
      <c r="D43" s="248">
        <v>0</v>
      </c>
      <c r="E43" s="9" t="e">
        <f t="shared" si="0"/>
        <v>#DIV/0!</v>
      </c>
      <c r="F43" s="9">
        <f t="shared" si="1"/>
        <v>0</v>
      </c>
    </row>
    <row r="44" spans="1:8" ht="27.75" customHeight="1">
      <c r="A44" s="16">
        <v>2020400000</v>
      </c>
      <c r="B44" s="17" t="s">
        <v>23</v>
      </c>
      <c r="C44" s="12">
        <v>160</v>
      </c>
      <c r="D44" s="249">
        <v>0</v>
      </c>
      <c r="E44" s="9">
        <f t="shared" si="0"/>
        <v>0</v>
      </c>
      <c r="F44" s="9">
        <f t="shared" si="1"/>
        <v>-160</v>
      </c>
    </row>
    <row r="45" spans="1:8" ht="19.5" customHeight="1">
      <c r="A45" s="16">
        <v>2070000000</v>
      </c>
      <c r="B45" s="18" t="s">
        <v>297</v>
      </c>
      <c r="C45" s="12">
        <v>240.48367999999999</v>
      </c>
      <c r="D45" s="249">
        <v>240.48367999999999</v>
      </c>
      <c r="E45" s="9">
        <v>922</v>
      </c>
      <c r="F45" s="9">
        <f t="shared" si="1"/>
        <v>0</v>
      </c>
      <c r="G45" s="352"/>
      <c r="H45" s="352"/>
    </row>
    <row r="46" spans="1:8" ht="30.75" customHeight="1">
      <c r="A46" s="7">
        <v>2190500005</v>
      </c>
      <c r="B46" s="11" t="s">
        <v>25</v>
      </c>
      <c r="C46" s="14"/>
      <c r="D46" s="14"/>
      <c r="E46" s="5"/>
      <c r="F46" s="5">
        <f>SUM(D46-C46)</f>
        <v>0</v>
      </c>
    </row>
    <row r="47" spans="1:8" s="6" customFormat="1" ht="31.5">
      <c r="A47" s="3">
        <v>3000000000</v>
      </c>
      <c r="B47" s="13" t="s">
        <v>26</v>
      </c>
      <c r="C47" s="274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8" s="6" customFormat="1" ht="15" customHeight="1">
      <c r="A48" s="3"/>
      <c r="B48" s="4" t="s">
        <v>27</v>
      </c>
      <c r="C48" s="452">
        <f>SUM(C37,C38,C47)</f>
        <v>12175.362450000001</v>
      </c>
      <c r="D48" s="453">
        <f>D37+D38</f>
        <v>2646.1572700000002</v>
      </c>
      <c r="E48" s="5">
        <f t="shared" si="0"/>
        <v>21.733704280811779</v>
      </c>
      <c r="F48" s="5">
        <f t="shared" si="1"/>
        <v>-9529.2051800000008</v>
      </c>
      <c r="G48" s="290"/>
      <c r="H48" s="290"/>
    </row>
    <row r="49" spans="1:6" s="6" customFormat="1">
      <c r="A49" s="3"/>
      <c r="B49" s="21" t="s">
        <v>320</v>
      </c>
      <c r="C49" s="93">
        <f>C48-C95</f>
        <v>-52.274429999997665</v>
      </c>
      <c r="D49" s="93">
        <f>D48-D95</f>
        <v>74.906990000000405</v>
      </c>
      <c r="E49" s="22"/>
      <c r="F49" s="22"/>
    </row>
    <row r="50" spans="1:6" ht="23.25" customHeight="1">
      <c r="A50" s="23"/>
      <c r="B50" s="24"/>
      <c r="C50" s="322"/>
      <c r="D50" s="322"/>
      <c r="E50" s="26"/>
      <c r="F50" s="27"/>
    </row>
    <row r="51" spans="1:6" ht="63">
      <c r="A51" s="28" t="s">
        <v>0</v>
      </c>
      <c r="B51" s="28" t="s">
        <v>28</v>
      </c>
      <c r="C51" s="72" t="s">
        <v>411</v>
      </c>
      <c r="D51" s="73" t="s">
        <v>419</v>
      </c>
      <c r="E51" s="72" t="s">
        <v>2</v>
      </c>
      <c r="F51" s="74" t="s">
        <v>3</v>
      </c>
    </row>
    <row r="52" spans="1:6" ht="18" customHeight="1">
      <c r="A52" s="29">
        <v>1</v>
      </c>
      <c r="B52" s="28">
        <v>2</v>
      </c>
      <c r="C52" s="87">
        <v>3</v>
      </c>
      <c r="D52" s="87">
        <v>4</v>
      </c>
      <c r="E52" s="87">
        <v>5</v>
      </c>
      <c r="F52" s="87">
        <v>6</v>
      </c>
    </row>
    <row r="53" spans="1:6" s="6" customFormat="1">
      <c r="A53" s="30" t="s">
        <v>29</v>
      </c>
      <c r="B53" s="31" t="s">
        <v>30</v>
      </c>
      <c r="C53" s="32">
        <f>C54+C55+C56+C57+C58+C60+C59</f>
        <v>1294.6619999999998</v>
      </c>
      <c r="D53" s="32">
        <f>D54+D55+D56+D57+D58+D60+D59</f>
        <v>451.75274999999999</v>
      </c>
      <c r="E53" s="34">
        <f>SUM(D53/C53*100)</f>
        <v>34.893489574885187</v>
      </c>
      <c r="F53" s="34">
        <f>SUM(D53-C53)</f>
        <v>-842.90924999999982</v>
      </c>
    </row>
    <row r="54" spans="1:6" s="6" customFormat="1" ht="31.5" hidden="1">
      <c r="A54" s="35" t="s">
        <v>31</v>
      </c>
      <c r="B54" s="36" t="s">
        <v>32</v>
      </c>
      <c r="C54" s="37"/>
      <c r="D54" s="37"/>
      <c r="E54" s="38"/>
      <c r="F54" s="38"/>
    </row>
    <row r="55" spans="1:6" ht="20.25" customHeight="1">
      <c r="A55" s="35" t="s">
        <v>33</v>
      </c>
      <c r="B55" s="39" t="s">
        <v>34</v>
      </c>
      <c r="C55" s="37">
        <v>1286.5719999999999</v>
      </c>
      <c r="D55" s="37">
        <v>448.66325000000001</v>
      </c>
      <c r="E55" s="38">
        <f t="shared" ref="E55:E95" si="3">SUM(D55/C55*100)</f>
        <v>34.872766545517855</v>
      </c>
      <c r="F55" s="38">
        <f t="shared" ref="F55:F95" si="4">SUM(D55-C55)</f>
        <v>-837.90874999999983</v>
      </c>
    </row>
    <row r="56" spans="1:6" ht="16.5" hidden="1" customHeight="1">
      <c r="A56" s="35" t="s">
        <v>35</v>
      </c>
      <c r="B56" s="39" t="s">
        <v>36</v>
      </c>
      <c r="C56" s="37"/>
      <c r="D56" s="37"/>
      <c r="E56" s="38"/>
      <c r="F56" s="38">
        <f t="shared" si="4"/>
        <v>0</v>
      </c>
    </row>
    <row r="57" spans="1:6" ht="31.5" hidden="1" customHeight="1">
      <c r="A57" s="35" t="s">
        <v>37</v>
      </c>
      <c r="B57" s="39" t="s">
        <v>38</v>
      </c>
      <c r="C57" s="37"/>
      <c r="D57" s="37"/>
      <c r="E57" s="38" t="e">
        <f t="shared" si="3"/>
        <v>#DIV/0!</v>
      </c>
      <c r="F57" s="38">
        <f t="shared" si="4"/>
        <v>0</v>
      </c>
    </row>
    <row r="58" spans="1:6" ht="0.75" hidden="1" customHeight="1">
      <c r="A58" s="35" t="s">
        <v>39</v>
      </c>
      <c r="B58" s="39" t="s">
        <v>40</v>
      </c>
      <c r="C58" s="37">
        <v>0</v>
      </c>
      <c r="D58" s="37">
        <v>0</v>
      </c>
      <c r="E58" s="38" t="e">
        <f t="shared" si="3"/>
        <v>#DIV/0!</v>
      </c>
      <c r="F58" s="38">
        <f t="shared" si="4"/>
        <v>0</v>
      </c>
    </row>
    <row r="59" spans="1:6" ht="18" customHeight="1">
      <c r="A59" s="35" t="s">
        <v>41</v>
      </c>
      <c r="B59" s="39" t="s">
        <v>42</v>
      </c>
      <c r="C59" s="40">
        <v>5</v>
      </c>
      <c r="D59" s="40">
        <v>0</v>
      </c>
      <c r="E59" s="38">
        <f t="shared" si="3"/>
        <v>0</v>
      </c>
      <c r="F59" s="38">
        <f t="shared" si="4"/>
        <v>-5</v>
      </c>
    </row>
    <row r="60" spans="1:6" ht="15.75" customHeight="1">
      <c r="A60" s="35" t="s">
        <v>43</v>
      </c>
      <c r="B60" s="39" t="s">
        <v>44</v>
      </c>
      <c r="C60" s="37">
        <v>3.09</v>
      </c>
      <c r="D60" s="37">
        <v>3.0895000000000001</v>
      </c>
      <c r="E60" s="38">
        <f t="shared" si="3"/>
        <v>99.983818770226549</v>
      </c>
      <c r="F60" s="38">
        <f t="shared" si="4"/>
        <v>-4.9999999999972289E-4</v>
      </c>
    </row>
    <row r="61" spans="1:6" s="6" customFormat="1">
      <c r="A61" s="41" t="s">
        <v>45</v>
      </c>
      <c r="B61" s="42" t="s">
        <v>46</v>
      </c>
      <c r="C61" s="32">
        <f>C62</f>
        <v>89.944999999999993</v>
      </c>
      <c r="D61" s="32">
        <f>D62</f>
        <v>24.889849999999999</v>
      </c>
      <c r="E61" s="34">
        <f t="shared" si="3"/>
        <v>27.672299738729222</v>
      </c>
      <c r="F61" s="34">
        <f t="shared" si="4"/>
        <v>-65.055149999999998</v>
      </c>
    </row>
    <row r="62" spans="1:6">
      <c r="A62" s="43" t="s">
        <v>47</v>
      </c>
      <c r="B62" s="44" t="s">
        <v>48</v>
      </c>
      <c r="C62" s="37">
        <v>89.944999999999993</v>
      </c>
      <c r="D62" s="37">
        <v>24.889849999999999</v>
      </c>
      <c r="E62" s="38">
        <f t="shared" si="3"/>
        <v>27.672299738729222</v>
      </c>
      <c r="F62" s="38">
        <f t="shared" si="4"/>
        <v>-65.055149999999998</v>
      </c>
    </row>
    <row r="63" spans="1:6" s="6" customFormat="1" ht="16.5" customHeight="1">
      <c r="A63" s="30" t="s">
        <v>49</v>
      </c>
      <c r="B63" s="31" t="s">
        <v>50</v>
      </c>
      <c r="C63" s="32">
        <f>C67+C66+C68</f>
        <v>18.399999999999999</v>
      </c>
      <c r="D63" s="32">
        <f>D67+D66</f>
        <v>4.6354300000000004</v>
      </c>
      <c r="E63" s="34">
        <f t="shared" si="3"/>
        <v>25.192554347826089</v>
      </c>
      <c r="F63" s="34">
        <f t="shared" si="4"/>
        <v>-13.764569999999999</v>
      </c>
    </row>
    <row r="64" spans="1:6" hidden="1">
      <c r="A64" s="35" t="s">
        <v>51</v>
      </c>
      <c r="B64" s="39" t="s">
        <v>52</v>
      </c>
      <c r="C64" s="37"/>
      <c r="D64" s="37"/>
      <c r="E64" s="34" t="e">
        <f t="shared" si="3"/>
        <v>#DIV/0!</v>
      </c>
      <c r="F64" s="34">
        <f t="shared" si="4"/>
        <v>0</v>
      </c>
    </row>
    <row r="65" spans="1:7" ht="19.5" hidden="1" customHeight="1">
      <c r="A65" s="45" t="s">
        <v>53</v>
      </c>
      <c r="B65" s="39" t="s">
        <v>54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8" customHeight="1">
      <c r="A66" s="46" t="s">
        <v>55</v>
      </c>
      <c r="B66" s="47" t="s">
        <v>56</v>
      </c>
      <c r="C66" s="96">
        <v>2.4</v>
      </c>
      <c r="D66" s="37">
        <v>0</v>
      </c>
      <c r="E66" s="34">
        <f t="shared" si="3"/>
        <v>0</v>
      </c>
      <c r="F66" s="34">
        <f t="shared" si="4"/>
        <v>-2.4</v>
      </c>
    </row>
    <row r="67" spans="1:7" ht="15.75" customHeight="1">
      <c r="A67" s="46" t="s">
        <v>218</v>
      </c>
      <c r="B67" s="47" t="s">
        <v>219</v>
      </c>
      <c r="C67" s="37">
        <v>14</v>
      </c>
      <c r="D67" s="37">
        <v>4.6354300000000004</v>
      </c>
      <c r="E67" s="34">
        <f t="shared" si="3"/>
        <v>33.110214285714292</v>
      </c>
      <c r="F67" s="34">
        <f t="shared" si="4"/>
        <v>-9.3645700000000005</v>
      </c>
    </row>
    <row r="68" spans="1:7" ht="15.75" customHeight="1">
      <c r="A68" s="46" t="s">
        <v>357</v>
      </c>
      <c r="B68" s="47" t="s">
        <v>358</v>
      </c>
      <c r="C68" s="37">
        <v>2</v>
      </c>
      <c r="D68" s="37"/>
      <c r="E68" s="34"/>
      <c r="F68" s="34"/>
    </row>
    <row r="69" spans="1:7" s="6" customFormat="1">
      <c r="A69" s="30" t="s">
        <v>57</v>
      </c>
      <c r="B69" s="31" t="s">
        <v>58</v>
      </c>
      <c r="C69" s="48">
        <f>SUM(C70:C73)</f>
        <v>4192.95093</v>
      </c>
      <c r="D69" s="48">
        <f>SUM(D70:D73)</f>
        <v>1615.8894</v>
      </c>
      <c r="E69" s="34">
        <f t="shared" si="3"/>
        <v>38.538237794259139</v>
      </c>
      <c r="F69" s="34">
        <f t="shared" si="4"/>
        <v>-2577.0615299999999</v>
      </c>
    </row>
    <row r="70" spans="1:7" ht="15" customHeight="1">
      <c r="A70" s="35" t="s">
        <v>59</v>
      </c>
      <c r="B70" s="39" t="s">
        <v>60</v>
      </c>
      <c r="C70" s="49">
        <v>8.0429999999999993</v>
      </c>
      <c r="D70" s="37">
        <v>0</v>
      </c>
      <c r="E70" s="38">
        <f t="shared" si="3"/>
        <v>0</v>
      </c>
      <c r="F70" s="38">
        <f t="shared" si="4"/>
        <v>-8.0429999999999993</v>
      </c>
    </row>
    <row r="71" spans="1:7" s="6" customFormat="1" ht="18" customHeight="1">
      <c r="A71" s="35" t="s">
        <v>61</v>
      </c>
      <c r="B71" s="39" t="s">
        <v>62</v>
      </c>
      <c r="C71" s="49">
        <v>1231.0358699999999</v>
      </c>
      <c r="D71" s="37">
        <v>1229.20525</v>
      </c>
      <c r="E71" s="38">
        <f t="shared" si="3"/>
        <v>99.851294341244497</v>
      </c>
      <c r="F71" s="38">
        <f t="shared" si="4"/>
        <v>-1.8306199999999535</v>
      </c>
      <c r="G71" s="50"/>
    </row>
    <row r="72" spans="1:7">
      <c r="A72" s="35" t="s">
        <v>63</v>
      </c>
      <c r="B72" s="39" t="s">
        <v>64</v>
      </c>
      <c r="C72" s="49">
        <v>2723.8720600000001</v>
      </c>
      <c r="D72" s="37">
        <v>326.72953000000001</v>
      </c>
      <c r="E72" s="38">
        <f t="shared" si="3"/>
        <v>11.995039517384674</v>
      </c>
      <c r="F72" s="38">
        <f t="shared" si="4"/>
        <v>-2397.1425300000001</v>
      </c>
    </row>
    <row r="73" spans="1:7">
      <c r="A73" s="35" t="s">
        <v>65</v>
      </c>
      <c r="B73" s="39" t="s">
        <v>66</v>
      </c>
      <c r="C73" s="49">
        <v>230</v>
      </c>
      <c r="D73" s="37">
        <v>59.954619999999998</v>
      </c>
      <c r="E73" s="38">
        <f t="shared" si="3"/>
        <v>26.06722608695652</v>
      </c>
      <c r="F73" s="38">
        <f t="shared" si="4"/>
        <v>-170.04537999999999</v>
      </c>
    </row>
    <row r="74" spans="1:7" s="6" customFormat="1" ht="16.5" customHeight="1">
      <c r="A74" s="30" t="s">
        <v>67</v>
      </c>
      <c r="B74" s="31" t="s">
        <v>68</v>
      </c>
      <c r="C74" s="32">
        <f>SUM(C75:C77)</f>
        <v>243.59333000000001</v>
      </c>
      <c r="D74" s="32">
        <f>SUM(D76:D77)</f>
        <v>132.79785000000001</v>
      </c>
      <c r="E74" s="34">
        <f t="shared" si="3"/>
        <v>54.516209454503539</v>
      </c>
      <c r="F74" s="34">
        <f t="shared" si="4"/>
        <v>-110.79548</v>
      </c>
    </row>
    <row r="75" spans="1:7" hidden="1">
      <c r="A75" s="35" t="s">
        <v>69</v>
      </c>
      <c r="B75" s="51" t="s">
        <v>70</v>
      </c>
      <c r="C75" s="37">
        <v>0</v>
      </c>
      <c r="D75" s="37">
        <v>0</v>
      </c>
      <c r="E75" s="38" t="e">
        <f t="shared" si="3"/>
        <v>#DIV/0!</v>
      </c>
      <c r="F75" s="38">
        <f t="shared" si="4"/>
        <v>0</v>
      </c>
    </row>
    <row r="76" spans="1:7" ht="17.25" customHeight="1">
      <c r="A76" s="35" t="s">
        <v>71</v>
      </c>
      <c r="B76" s="51" t="s">
        <v>72</v>
      </c>
      <c r="C76" s="37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>
      <c r="A77" s="35" t="s">
        <v>73</v>
      </c>
      <c r="B77" s="39" t="s">
        <v>74</v>
      </c>
      <c r="C77" s="37">
        <v>243.59333000000001</v>
      </c>
      <c r="D77" s="37">
        <v>132.79785000000001</v>
      </c>
      <c r="E77" s="38">
        <f>SUM(D77/C77*100)</f>
        <v>54.516209454503539</v>
      </c>
      <c r="F77" s="38">
        <f t="shared" si="4"/>
        <v>-110.79548</v>
      </c>
    </row>
    <row r="78" spans="1:7" s="6" customFormat="1">
      <c r="A78" s="30" t="s">
        <v>85</v>
      </c>
      <c r="B78" s="31" t="s">
        <v>86</v>
      </c>
      <c r="C78" s="32">
        <f>C79</f>
        <v>6384.80062</v>
      </c>
      <c r="D78" s="32">
        <f>SUM(D79)</f>
        <v>340</v>
      </c>
      <c r="E78" s="34">
        <f t="shared" si="3"/>
        <v>5.3251467075568604</v>
      </c>
      <c r="F78" s="34">
        <f t="shared" si="4"/>
        <v>-6044.80062</v>
      </c>
    </row>
    <row r="79" spans="1:7" ht="20.25" customHeight="1">
      <c r="A79" s="35" t="s">
        <v>87</v>
      </c>
      <c r="B79" s="39" t="s">
        <v>233</v>
      </c>
      <c r="C79" s="37">
        <v>6384.80062</v>
      </c>
      <c r="D79" s="37">
        <v>340</v>
      </c>
      <c r="E79" s="38">
        <f t="shared" si="3"/>
        <v>5.3251467075568604</v>
      </c>
      <c r="F79" s="38">
        <f t="shared" si="4"/>
        <v>-6044.80062</v>
      </c>
    </row>
    <row r="80" spans="1:7" s="6" customFormat="1" ht="0.75" hidden="1" customHeight="1">
      <c r="A80" s="52">
        <v>1000</v>
      </c>
      <c r="B80" s="31" t="s">
        <v>88</v>
      </c>
      <c r="C80" s="32">
        <f>SUM(C81:C84)</f>
        <v>0</v>
      </c>
      <c r="D80" s="32">
        <f>SUM(D81:D84)</f>
        <v>0</v>
      </c>
      <c r="E80" s="34" t="e">
        <f t="shared" si="3"/>
        <v>#DIV/0!</v>
      </c>
      <c r="F80" s="34">
        <f t="shared" si="4"/>
        <v>0</v>
      </c>
    </row>
    <row r="81" spans="1:6" ht="1.5" hidden="1" customHeight="1">
      <c r="A81" s="53">
        <v>1001</v>
      </c>
      <c r="B81" s="54" t="s">
        <v>89</v>
      </c>
      <c r="C81" s="37"/>
      <c r="D81" s="37"/>
      <c r="E81" s="38" t="e">
        <f t="shared" si="3"/>
        <v>#DIV/0!</v>
      </c>
      <c r="F81" s="38">
        <f t="shared" si="4"/>
        <v>0</v>
      </c>
    </row>
    <row r="82" spans="1:6" ht="27" hidden="1" customHeight="1">
      <c r="A82" s="53">
        <v>1003</v>
      </c>
      <c r="B82" s="54" t="s">
        <v>90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ht="27.75" hidden="1" customHeight="1">
      <c r="A83" s="53">
        <v>1004</v>
      </c>
      <c r="B83" s="54" t="s">
        <v>91</v>
      </c>
      <c r="C83" s="37"/>
      <c r="D83" s="55"/>
      <c r="E83" s="38" t="e">
        <f t="shared" si="3"/>
        <v>#DIV/0!</v>
      </c>
      <c r="F83" s="38">
        <f t="shared" si="4"/>
        <v>0</v>
      </c>
    </row>
    <row r="84" spans="1:6" ht="23.25" hidden="1" customHeight="1">
      <c r="A84" s="35" t="s">
        <v>92</v>
      </c>
      <c r="B84" s="39" t="s">
        <v>93</v>
      </c>
      <c r="C84" s="37">
        <v>0</v>
      </c>
      <c r="D84" s="37">
        <v>0</v>
      </c>
      <c r="E84" s="38"/>
      <c r="F84" s="38">
        <f t="shared" si="4"/>
        <v>0</v>
      </c>
    </row>
    <row r="85" spans="1:6" ht="17.25" customHeight="1">
      <c r="A85" s="30" t="s">
        <v>94</v>
      </c>
      <c r="B85" s="31" t="s">
        <v>95</v>
      </c>
      <c r="C85" s="32">
        <f>C86+C87+C88+C89+C90</f>
        <v>3.2850000000000001</v>
      </c>
      <c r="D85" s="32">
        <f>D86+D87+D88+D89+D90</f>
        <v>1.2849999999999999</v>
      </c>
      <c r="E85" s="38">
        <f t="shared" si="3"/>
        <v>39.117199391171994</v>
      </c>
      <c r="F85" s="22">
        <f>F86+F87+F88+F89+F90</f>
        <v>-2</v>
      </c>
    </row>
    <row r="86" spans="1:6" ht="15" customHeight="1">
      <c r="A86" s="35" t="s">
        <v>96</v>
      </c>
      <c r="B86" s="39" t="s">
        <v>97</v>
      </c>
      <c r="C86" s="342">
        <v>3.2850000000000001</v>
      </c>
      <c r="D86" s="342">
        <v>1.2849999999999999</v>
      </c>
      <c r="E86" s="38">
        <f t="shared" si="3"/>
        <v>39.117199391171994</v>
      </c>
      <c r="F86" s="38">
        <f>SUM(D86-C86)</f>
        <v>-2</v>
      </c>
    </row>
    <row r="87" spans="1:6" ht="15.75" hidden="1" customHeight="1">
      <c r="A87" s="35" t="s">
        <v>98</v>
      </c>
      <c r="B87" s="39" t="s">
        <v>99</v>
      </c>
      <c r="C87" s="342"/>
      <c r="D87" s="342"/>
      <c r="E87" s="38" t="e">
        <f t="shared" si="3"/>
        <v>#DIV/0!</v>
      </c>
      <c r="F87" s="38">
        <f>SUM(D87-C87)</f>
        <v>0</v>
      </c>
    </row>
    <row r="88" spans="1:6" ht="15.75" hidden="1" customHeight="1">
      <c r="A88" s="35" t="s">
        <v>100</v>
      </c>
      <c r="B88" s="39" t="s">
        <v>101</v>
      </c>
      <c r="C88" s="342"/>
      <c r="D88" s="342"/>
      <c r="E88" s="38" t="e">
        <f t="shared" si="3"/>
        <v>#DIV/0!</v>
      </c>
      <c r="F88" s="38"/>
    </row>
    <row r="89" spans="1:6" ht="15.75" hidden="1" customHeight="1">
      <c r="A89" s="35" t="s">
        <v>102</v>
      </c>
      <c r="B89" s="39" t="s">
        <v>103</v>
      </c>
      <c r="C89" s="342"/>
      <c r="D89" s="342"/>
      <c r="E89" s="38" t="e">
        <f t="shared" si="3"/>
        <v>#DIV/0!</v>
      </c>
      <c r="F89" s="38"/>
    </row>
    <row r="90" spans="1:6" ht="15.75" hidden="1" customHeight="1">
      <c r="A90" s="35" t="s">
        <v>104</v>
      </c>
      <c r="B90" s="39" t="s">
        <v>105</v>
      </c>
      <c r="C90" s="342"/>
      <c r="D90" s="342"/>
      <c r="E90" s="38" t="e">
        <f t="shared" si="3"/>
        <v>#DIV/0!</v>
      </c>
      <c r="F90" s="38"/>
    </row>
    <row r="91" spans="1:6" s="6" customFormat="1" ht="16.5" customHeight="1">
      <c r="A91" s="52">
        <v>1400</v>
      </c>
      <c r="B91" s="56" t="s">
        <v>114</v>
      </c>
      <c r="C91" s="343">
        <f>C92+C93+C94</f>
        <v>0</v>
      </c>
      <c r="D91" s="343">
        <f>SUM(D92:D94)</f>
        <v>0</v>
      </c>
      <c r="E91" s="34" t="e">
        <f t="shared" si="3"/>
        <v>#DIV/0!</v>
      </c>
      <c r="F91" s="34">
        <f t="shared" si="4"/>
        <v>0</v>
      </c>
    </row>
    <row r="92" spans="1:6" ht="23.25" hidden="1" customHeight="1">
      <c r="A92" s="53">
        <v>1401</v>
      </c>
      <c r="B92" s="54" t="s">
        <v>115</v>
      </c>
      <c r="C92" s="344"/>
      <c r="D92" s="342"/>
      <c r="E92" s="38" t="e">
        <f t="shared" si="3"/>
        <v>#DIV/0!</v>
      </c>
      <c r="F92" s="38">
        <f t="shared" si="4"/>
        <v>0</v>
      </c>
    </row>
    <row r="93" spans="1:6" ht="19.5" hidden="1" customHeight="1">
      <c r="A93" s="53">
        <v>1402</v>
      </c>
      <c r="B93" s="54" t="s">
        <v>116</v>
      </c>
      <c r="C93" s="344"/>
      <c r="D93" s="342"/>
      <c r="E93" s="38" t="e">
        <f t="shared" si="3"/>
        <v>#DIV/0!</v>
      </c>
      <c r="F93" s="38">
        <f t="shared" si="4"/>
        <v>0</v>
      </c>
    </row>
    <row r="94" spans="1:6" ht="17.25" hidden="1" customHeight="1">
      <c r="A94" s="53">
        <v>1403</v>
      </c>
      <c r="B94" s="54" t="s">
        <v>117</v>
      </c>
      <c r="C94" s="345">
        <v>0</v>
      </c>
      <c r="D94" s="346">
        <v>0</v>
      </c>
      <c r="E94" s="38" t="e">
        <f t="shared" si="3"/>
        <v>#DIV/0!</v>
      </c>
      <c r="F94" s="38">
        <f t="shared" si="4"/>
        <v>0</v>
      </c>
    </row>
    <row r="95" spans="1:6" s="6" customFormat="1" ht="15.75" customHeight="1">
      <c r="A95" s="52"/>
      <c r="B95" s="57" t="s">
        <v>118</v>
      </c>
      <c r="C95" s="453">
        <f>C53+C61+C63+C69+C74+C78+C85</f>
        <v>12227.636879999998</v>
      </c>
      <c r="D95" s="453">
        <f>D53+D61+D63+D69+D74+D78+D85</f>
        <v>2571.2502799999997</v>
      </c>
      <c r="E95" s="34">
        <f t="shared" si="3"/>
        <v>21.028186437279942</v>
      </c>
      <c r="F95" s="34">
        <f t="shared" si="4"/>
        <v>-9656.386599999998</v>
      </c>
    </row>
    <row r="96" spans="1:6" ht="16.5" customHeight="1">
      <c r="C96" s="126"/>
      <c r="D96" s="101"/>
    </row>
    <row r="97" spans="1:4" s="113" customFormat="1" ht="20.25" customHeight="1">
      <c r="A97" s="111" t="s">
        <v>119</v>
      </c>
      <c r="B97" s="111"/>
      <c r="C97" s="129"/>
      <c r="D97" s="112"/>
    </row>
    <row r="98" spans="1:4" s="113" customFormat="1" ht="13.5" customHeight="1">
      <c r="A98" s="114" t="s">
        <v>120</v>
      </c>
      <c r="B98" s="114"/>
      <c r="C98" s="118" t="s">
        <v>121</v>
      </c>
    </row>
    <row r="100" spans="1:4" ht="5.25" customHeight="1"/>
  </sheetData>
  <customSheetViews>
    <customSheetView guid="{61528DAC-5C4C-48F4-ADE2-8A724B05A086}" scale="70" showPageBreaks="1" hiddenRows="1" view="pageBreakPreview">
      <selection activeCell="D30" sqref="D30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6">
      <selection activeCell="D28" sqref="D28"/>
      <pageMargins left="0.7" right="0.7" top="0.75" bottom="0.75" header="0.3" footer="0.3"/>
      <pageSetup paperSize="9" scale="62" orientation="portrait" r:id="rId2"/>
    </customSheetView>
    <customSheetView guid="{1A52382B-3765-4E8C-903F-6B8919B7242E}" hiddenRows="1" topLeftCell="A31">
      <selection activeCell="H48" sqref="G48:H48"/>
      <pageMargins left="0.7" right="0.7" top="0.75" bottom="0.75" header="0.3" footer="0.3"/>
      <pageSetup paperSize="9" scale="62" orientation="portrait" r:id="rId3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5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6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7"/>
    </customSheetView>
    <customSheetView guid="{B31C8DB7-3E78-4144-A6B5-8DE36DE63F0E}" hiddenRows="1" topLeftCell="A6">
      <selection activeCell="D28" sqref="D28"/>
      <pageMargins left="0.7" right="0.7" top="0.75" bottom="0.75" header="0.3" footer="0.3"/>
      <pageSetup paperSize="9" scale="62" orientation="portrait" r:id="rId8"/>
    </customSheetView>
    <customSheetView guid="{B30CE22D-C12F-4E12-8BB9-3AAE0A6991CC}" scale="70" showPageBreaks="1" hiddenRows="1" view="pageBreakPreview" topLeftCell="A40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51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FN35"/>
  <sheetViews>
    <sheetView view="pageBreakPreview" zoomScale="75" zoomScaleSheetLayoutView="75" workbookViewId="0">
      <selection activeCell="C31" sqref="C31:EY31"/>
    </sheetView>
  </sheetViews>
  <sheetFormatPr defaultRowHeight="15"/>
  <cols>
    <col min="1" max="1" width="6.140625" style="153" customWidth="1"/>
    <col min="2" max="2" width="26.42578125" style="153" customWidth="1"/>
    <col min="3" max="3" width="18.7109375" style="153" bestFit="1" customWidth="1"/>
    <col min="4" max="4" width="20.7109375" style="154" bestFit="1" customWidth="1"/>
    <col min="5" max="5" width="13.28515625" style="153" bestFit="1" customWidth="1"/>
    <col min="6" max="6" width="17.42578125" style="153" customWidth="1"/>
    <col min="7" max="7" width="16.85546875" style="153" customWidth="1"/>
    <col min="8" max="8" width="13" style="153" bestFit="1" customWidth="1"/>
    <col min="9" max="9" width="15.5703125" style="153" customWidth="1"/>
    <col min="10" max="10" width="18.140625" style="153" customWidth="1"/>
    <col min="11" max="11" width="13" style="153" bestFit="1" customWidth="1"/>
    <col min="12" max="12" width="15.140625" style="153" customWidth="1"/>
    <col min="13" max="13" width="17.28515625" style="153" bestFit="1" customWidth="1"/>
    <col min="14" max="14" width="13" style="153" bestFit="1" customWidth="1"/>
    <col min="15" max="15" width="14" style="153" bestFit="1" customWidth="1"/>
    <col min="16" max="16" width="15.7109375" style="153" customWidth="1"/>
    <col min="17" max="17" width="13" style="153" bestFit="1" customWidth="1"/>
    <col min="18" max="18" width="16.7109375" style="153" bestFit="1" customWidth="1"/>
    <col min="19" max="19" width="17.28515625" style="153" bestFit="1" customWidth="1"/>
    <col min="20" max="20" width="10" style="153" customWidth="1"/>
    <col min="21" max="21" width="13.5703125" style="153" customWidth="1"/>
    <col min="22" max="22" width="14.7109375" style="153" customWidth="1"/>
    <col min="23" max="23" width="12.28515625" style="153" customWidth="1"/>
    <col min="24" max="24" width="15.140625" style="153" customWidth="1"/>
    <col min="25" max="25" width="15.42578125" style="153" bestFit="1" customWidth="1"/>
    <col min="26" max="26" width="12.5703125" style="153" customWidth="1"/>
    <col min="27" max="27" width="17.5703125" style="153" customWidth="1"/>
    <col min="28" max="28" width="14.85546875" style="153" customWidth="1"/>
    <col min="29" max="29" width="15.5703125" style="153" customWidth="1"/>
    <col min="30" max="30" width="19.7109375" style="153" bestFit="1" customWidth="1"/>
    <col min="31" max="31" width="15.7109375" style="153" customWidth="1"/>
    <col min="32" max="32" width="10" style="153" customWidth="1"/>
    <col min="33" max="33" width="13.85546875" style="153" customWidth="1"/>
    <col min="34" max="34" width="15.28515625" style="153" customWidth="1"/>
    <col min="35" max="35" width="10" style="153" customWidth="1"/>
    <col min="36" max="36" width="14.7109375" style="153" customWidth="1"/>
    <col min="37" max="37" width="14.5703125" style="153" customWidth="1"/>
    <col min="38" max="38" width="10" style="153" customWidth="1"/>
    <col min="39" max="39" width="15.42578125" style="153" customWidth="1"/>
    <col min="40" max="40" width="16" style="153" customWidth="1"/>
    <col min="41" max="41" width="16.28515625" style="153" customWidth="1"/>
    <col min="42" max="43" width="17.28515625" style="153" bestFit="1" customWidth="1"/>
    <col min="44" max="44" width="13.85546875" style="153" customWidth="1"/>
    <col min="45" max="45" width="16" style="153" customWidth="1"/>
    <col min="46" max="46" width="17.5703125" style="153" customWidth="1"/>
    <col min="47" max="47" width="10.140625" style="153" customWidth="1"/>
    <col min="48" max="48" width="9.42578125" style="153" hidden="1" customWidth="1"/>
    <col min="49" max="49" width="9.7109375" style="153" hidden="1" customWidth="1"/>
    <col min="50" max="50" width="11.85546875" style="153" hidden="1" customWidth="1"/>
    <col min="51" max="51" width="15.7109375" style="153" customWidth="1"/>
    <col min="52" max="52" width="16.140625" style="153" customWidth="1"/>
    <col min="53" max="53" width="9.85546875" style="153" customWidth="1"/>
    <col min="54" max="56" width="9.85546875" style="153" hidden="1" customWidth="1"/>
    <col min="57" max="57" width="17" style="153" customWidth="1"/>
    <col min="58" max="58" width="15" style="153" customWidth="1"/>
    <col min="59" max="59" width="12" style="153" customWidth="1"/>
    <col min="60" max="61" width="9.7109375" style="153" hidden="1" customWidth="1"/>
    <col min="62" max="62" width="12.85546875" style="153" hidden="1" customWidth="1"/>
    <col min="63" max="63" width="13" style="153" hidden="1" customWidth="1"/>
    <col min="64" max="64" width="12.85546875" style="153" hidden="1" customWidth="1"/>
    <col min="65" max="65" width="12.5703125" style="153" hidden="1" customWidth="1"/>
    <col min="66" max="66" width="17.28515625" style="153" hidden="1" customWidth="1"/>
    <col min="67" max="67" width="13.28515625" style="153" hidden="1" customWidth="1"/>
    <col min="68" max="68" width="10.7109375" style="153" hidden="1" customWidth="1"/>
    <col min="69" max="69" width="15.28515625" style="153" customWidth="1"/>
    <col min="70" max="70" width="15" style="153" customWidth="1"/>
    <col min="71" max="71" width="10" style="153" customWidth="1"/>
    <col min="72" max="73" width="9.7109375" style="153" hidden="1" customWidth="1"/>
    <col min="74" max="74" width="9.5703125" style="153" hidden="1" customWidth="1"/>
    <col min="75" max="75" width="9.42578125" style="153" hidden="1" customWidth="1"/>
    <col min="76" max="76" width="9.7109375" style="153" hidden="1" customWidth="1"/>
    <col min="77" max="77" width="10.140625" style="153" hidden="1" customWidth="1"/>
    <col min="78" max="78" width="18.140625" style="153" customWidth="1"/>
    <col min="79" max="79" width="20.140625" style="153" customWidth="1"/>
    <col min="80" max="80" width="10" style="153" customWidth="1"/>
    <col min="81" max="81" width="16.42578125" style="153" customWidth="1"/>
    <col min="82" max="82" width="15.7109375" style="153" customWidth="1"/>
    <col min="83" max="83" width="10" style="153" customWidth="1"/>
    <col min="84" max="84" width="14.140625" style="153" customWidth="1"/>
    <col min="85" max="85" width="15.28515625" style="153" customWidth="1"/>
    <col min="86" max="86" width="12.28515625" style="153" customWidth="1"/>
    <col min="87" max="87" width="17.42578125" style="153" customWidth="1"/>
    <col min="88" max="88" width="16.5703125" style="153" customWidth="1"/>
    <col min="89" max="89" width="10" style="153" customWidth="1"/>
    <col min="90" max="90" width="19.85546875" style="153" customWidth="1"/>
    <col min="91" max="91" width="18" style="153" customWidth="1"/>
    <col min="92" max="92" width="13.28515625" style="153" customWidth="1"/>
    <col min="93" max="93" width="16.85546875" style="153" customWidth="1"/>
    <col min="94" max="95" width="14.85546875" style="153" customWidth="1"/>
    <col min="96" max="96" width="16.7109375" style="153" customWidth="1"/>
    <col min="97" max="97" width="16.85546875" style="153" customWidth="1"/>
    <col min="98" max="98" width="14.42578125" style="153" bestFit="1" customWidth="1"/>
    <col min="99" max="99" width="9.85546875" style="153" bestFit="1" customWidth="1"/>
    <col min="100" max="100" width="14.42578125" style="153" customWidth="1"/>
    <col min="101" max="101" width="14.28515625" style="153" customWidth="1"/>
    <col min="102" max="103" width="9.85546875" style="153" hidden="1" customWidth="1"/>
    <col min="104" max="104" width="14.42578125" style="153" hidden="1" customWidth="1"/>
    <col min="105" max="106" width="9.85546875" style="153" hidden="1" customWidth="1"/>
    <col min="107" max="107" width="14.42578125" style="153" hidden="1" customWidth="1"/>
    <col min="108" max="109" width="9.85546875" style="153" hidden="1" customWidth="1"/>
    <col min="110" max="110" width="14.42578125" style="153" hidden="1" customWidth="1"/>
    <col min="111" max="111" width="17.5703125" style="153" customWidth="1"/>
    <col min="112" max="112" width="20.28515625" style="153" customWidth="1"/>
    <col min="113" max="113" width="13" style="153" bestFit="1" customWidth="1"/>
    <col min="114" max="114" width="18" style="153" bestFit="1" customWidth="1"/>
    <col min="115" max="115" width="20.5703125" style="153" customWidth="1"/>
    <col min="116" max="116" width="13.28515625" style="153" customWidth="1"/>
    <col min="117" max="117" width="16.7109375" style="153" customWidth="1"/>
    <col min="118" max="118" width="16.85546875" style="153" customWidth="1"/>
    <col min="119" max="119" width="12.28515625" style="153" customWidth="1"/>
    <col min="120" max="120" width="15.28515625" style="153" customWidth="1"/>
    <col min="121" max="121" width="14.28515625" style="153" customWidth="1"/>
    <col min="122" max="122" width="13.85546875" style="153" customWidth="1"/>
    <col min="123" max="123" width="15.42578125" style="153" customWidth="1"/>
    <col min="124" max="124" width="13.7109375" style="153" customWidth="1"/>
    <col min="125" max="125" width="10.140625" style="153" customWidth="1"/>
    <col min="126" max="126" width="16" style="153" customWidth="1"/>
    <col min="127" max="127" width="14.28515625" style="153" customWidth="1"/>
    <col min="128" max="128" width="10.140625" style="153" customWidth="1"/>
    <col min="129" max="129" width="15.140625" style="153" customWidth="1"/>
    <col min="130" max="130" width="18.5703125" style="153" customWidth="1"/>
    <col min="131" max="131" width="10.140625" style="153" customWidth="1"/>
    <col min="132" max="132" width="15.28515625" style="153" customWidth="1"/>
    <col min="133" max="133" width="14" style="153" bestFit="1" customWidth="1"/>
    <col min="134" max="134" width="10.140625" style="153" customWidth="1"/>
    <col min="135" max="135" width="15.42578125" style="153" customWidth="1"/>
    <col min="136" max="136" width="17.28515625" style="153" customWidth="1"/>
    <col min="137" max="137" width="12.42578125" style="153" customWidth="1"/>
    <col min="138" max="138" width="19.42578125" style="153" bestFit="1" customWidth="1"/>
    <col min="139" max="139" width="15.140625" style="153" customWidth="1"/>
    <col min="140" max="140" width="10.140625" style="153" customWidth="1"/>
    <col min="141" max="142" width="15.7109375" style="153" customWidth="1"/>
    <col min="143" max="143" width="10.140625" style="153" customWidth="1"/>
    <col min="144" max="144" width="13.42578125" style="153" customWidth="1"/>
    <col min="145" max="145" width="10.85546875" style="153" customWidth="1"/>
    <col min="146" max="146" width="10.140625" style="153" customWidth="1"/>
    <col min="147" max="147" width="14.42578125" style="153" customWidth="1"/>
    <col min="148" max="148" width="14.7109375" style="153" customWidth="1"/>
    <col min="149" max="149" width="10" style="153" customWidth="1"/>
    <col min="150" max="150" width="14.140625" style="153" customWidth="1"/>
    <col min="151" max="151" width="14.28515625" style="153" customWidth="1"/>
    <col min="152" max="152" width="9.85546875" style="153" customWidth="1"/>
    <col min="153" max="153" width="15.42578125" style="153" customWidth="1"/>
    <col min="154" max="154" width="16" style="153" customWidth="1"/>
    <col min="155" max="155" width="12.42578125" style="153" customWidth="1"/>
    <col min="156" max="156" width="14.85546875" style="153" customWidth="1"/>
    <col min="157" max="16384" width="9.140625" style="153"/>
  </cols>
  <sheetData>
    <row r="1" spans="1:159" ht="18" customHeight="1">
      <c r="X1" s="517" t="s">
        <v>136</v>
      </c>
      <c r="Y1" s="517"/>
      <c r="Z1" s="517"/>
      <c r="AA1" s="156"/>
      <c r="AB1" s="156"/>
      <c r="AC1" s="156"/>
      <c r="AD1" s="512"/>
      <c r="AE1" s="512"/>
      <c r="AF1" s="512"/>
      <c r="AG1" s="157"/>
      <c r="AH1" s="157"/>
      <c r="AI1" s="157"/>
      <c r="AJ1" s="157"/>
      <c r="AK1" s="157"/>
      <c r="AL1" s="157"/>
    </row>
    <row r="2" spans="1:159" ht="19.5" customHeight="1">
      <c r="X2" s="157" t="s">
        <v>137</v>
      </c>
      <c r="Y2" s="157"/>
      <c r="Z2" s="157"/>
      <c r="AA2" s="155"/>
      <c r="AB2" s="155"/>
      <c r="AC2" s="155"/>
      <c r="AD2" s="512"/>
      <c r="AE2" s="512"/>
      <c r="AF2" s="512"/>
      <c r="AG2" s="157"/>
      <c r="AH2" s="157"/>
      <c r="AI2" s="157"/>
      <c r="AJ2" s="157"/>
      <c r="AK2" s="157"/>
      <c r="AL2" s="157"/>
    </row>
    <row r="3" spans="1:159" ht="30.75" customHeight="1">
      <c r="A3" s="158"/>
      <c r="B3" s="158"/>
      <c r="C3" s="158"/>
      <c r="D3" s="159"/>
      <c r="E3" s="158"/>
      <c r="F3" s="158"/>
      <c r="G3" s="158"/>
      <c r="H3" s="158"/>
      <c r="I3" s="158"/>
      <c r="X3" s="516" t="s">
        <v>138</v>
      </c>
      <c r="Y3" s="516"/>
      <c r="Z3" s="516"/>
      <c r="AA3" s="158"/>
      <c r="AB3" s="158"/>
      <c r="AC3" s="158"/>
      <c r="AD3" s="516"/>
      <c r="AE3" s="516"/>
      <c r="AF3" s="516"/>
      <c r="AG3" s="160"/>
      <c r="AH3" s="160"/>
      <c r="AI3" s="160"/>
      <c r="AJ3" s="160"/>
      <c r="AK3" s="160"/>
      <c r="AL3" s="160"/>
      <c r="AM3" s="158"/>
      <c r="AN3" s="158"/>
      <c r="AO3" s="158"/>
      <c r="AP3" s="158"/>
      <c r="AQ3" s="158"/>
      <c r="AR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</row>
    <row r="4" spans="1:159" ht="24" customHeight="1">
      <c r="B4" s="520" t="s">
        <v>139</v>
      </c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0"/>
      <c r="Y4" s="520"/>
      <c r="Z4" s="520"/>
      <c r="AA4" s="161"/>
      <c r="AB4" s="161"/>
      <c r="AC4" s="161"/>
      <c r="AD4" s="161"/>
      <c r="AE4" s="161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</row>
    <row r="5" spans="1:159" ht="15" customHeight="1">
      <c r="B5" s="518" t="s">
        <v>420</v>
      </c>
      <c r="C5" s="518"/>
      <c r="D5" s="518"/>
      <c r="E5" s="518"/>
      <c r="F5" s="518"/>
      <c r="G5" s="518"/>
      <c r="H5" s="518"/>
      <c r="I5" s="518"/>
      <c r="J5" s="518"/>
      <c r="K5" s="518"/>
      <c r="L5" s="518"/>
      <c r="M5" s="518"/>
      <c r="N5" s="518"/>
      <c r="O5" s="518"/>
      <c r="P5" s="518"/>
      <c r="Q5" s="518"/>
      <c r="R5" s="518"/>
      <c r="S5" s="518"/>
      <c r="T5" s="518"/>
      <c r="U5" s="518"/>
      <c r="V5" s="518"/>
      <c r="W5" s="518"/>
      <c r="X5" s="518"/>
      <c r="Y5" s="518"/>
      <c r="Z5" s="518"/>
      <c r="AA5" s="162"/>
      <c r="AB5" s="162"/>
      <c r="AC5" s="162"/>
      <c r="AD5" s="162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</row>
    <row r="6" spans="1:159" ht="15" customHeight="1">
      <c r="A6" s="158"/>
      <c r="B6" s="158"/>
      <c r="C6" s="163"/>
      <c r="D6" s="164"/>
      <c r="E6" s="158"/>
      <c r="F6" s="158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W6" s="158"/>
      <c r="EX6" s="158"/>
      <c r="EY6" s="158"/>
    </row>
    <row r="7" spans="1:159" s="169" customFormat="1" ht="15" customHeight="1">
      <c r="A7" s="497" t="s">
        <v>140</v>
      </c>
      <c r="B7" s="497" t="s">
        <v>141</v>
      </c>
      <c r="C7" s="488" t="s">
        <v>142</v>
      </c>
      <c r="D7" s="489"/>
      <c r="E7" s="490"/>
      <c r="F7" s="166" t="s">
        <v>143</v>
      </c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8"/>
      <c r="DD7" s="167"/>
      <c r="DE7" s="167"/>
      <c r="DF7" s="168"/>
      <c r="DG7" s="488" t="s">
        <v>144</v>
      </c>
      <c r="DH7" s="489"/>
      <c r="DI7" s="490"/>
      <c r="DJ7" s="488"/>
      <c r="DK7" s="489"/>
      <c r="DL7" s="489"/>
      <c r="DM7" s="489"/>
      <c r="DN7" s="489"/>
      <c r="DO7" s="489"/>
      <c r="DP7" s="489"/>
      <c r="DQ7" s="489"/>
      <c r="DR7" s="489"/>
      <c r="DS7" s="489"/>
      <c r="DT7" s="489"/>
      <c r="DU7" s="489"/>
      <c r="DV7" s="489"/>
      <c r="DW7" s="489"/>
      <c r="DX7" s="489"/>
      <c r="DY7" s="489"/>
      <c r="DZ7" s="489"/>
      <c r="EA7" s="489"/>
      <c r="EB7" s="489"/>
      <c r="EC7" s="489"/>
      <c r="ED7" s="489"/>
      <c r="EE7" s="489"/>
      <c r="EF7" s="489"/>
      <c r="EG7" s="489"/>
      <c r="EH7" s="489"/>
      <c r="EI7" s="489"/>
      <c r="EJ7" s="489"/>
      <c r="EK7" s="489"/>
      <c r="EL7" s="489"/>
      <c r="EM7" s="489"/>
      <c r="EN7" s="489"/>
      <c r="EO7" s="489"/>
      <c r="EP7" s="489"/>
      <c r="EQ7" s="489"/>
      <c r="ER7" s="489"/>
      <c r="ES7" s="489"/>
      <c r="ET7" s="489"/>
      <c r="EU7" s="489"/>
      <c r="EV7" s="490"/>
      <c r="EW7" s="488" t="s">
        <v>145</v>
      </c>
      <c r="EX7" s="489"/>
      <c r="EY7" s="490"/>
    </row>
    <row r="8" spans="1:159" s="169" customFormat="1" ht="15" customHeight="1">
      <c r="A8" s="497"/>
      <c r="B8" s="497"/>
      <c r="C8" s="491"/>
      <c r="D8" s="492"/>
      <c r="E8" s="493"/>
      <c r="F8" s="491" t="s">
        <v>146</v>
      </c>
      <c r="G8" s="492"/>
      <c r="H8" s="493"/>
      <c r="I8" s="513" t="s">
        <v>147</v>
      </c>
      <c r="J8" s="514"/>
      <c r="K8" s="514"/>
      <c r="L8" s="514"/>
      <c r="M8" s="514"/>
      <c r="N8" s="514"/>
      <c r="O8" s="514"/>
      <c r="P8" s="514"/>
      <c r="Q8" s="514"/>
      <c r="R8" s="514"/>
      <c r="S8" s="514"/>
      <c r="T8" s="514"/>
      <c r="U8" s="514"/>
      <c r="V8" s="514"/>
      <c r="W8" s="514"/>
      <c r="X8" s="514"/>
      <c r="Y8" s="514"/>
      <c r="Z8" s="514"/>
      <c r="AA8" s="514"/>
      <c r="AB8" s="514"/>
      <c r="AC8" s="514"/>
      <c r="AD8" s="514"/>
      <c r="AE8" s="514"/>
      <c r="AF8" s="514"/>
      <c r="AG8" s="514"/>
      <c r="AH8" s="514"/>
      <c r="AI8" s="514"/>
      <c r="AJ8" s="514"/>
      <c r="AK8" s="514"/>
      <c r="AL8" s="514"/>
      <c r="AM8" s="514"/>
      <c r="AN8" s="514"/>
      <c r="AO8" s="514"/>
      <c r="AP8" s="514"/>
      <c r="AQ8" s="514"/>
      <c r="AR8" s="514"/>
      <c r="AS8" s="514"/>
      <c r="AT8" s="514"/>
      <c r="AU8" s="514"/>
      <c r="AV8" s="514"/>
      <c r="AW8" s="514"/>
      <c r="AX8" s="515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1"/>
      <c r="BT8" s="173"/>
      <c r="BU8" s="173"/>
      <c r="BV8" s="173"/>
      <c r="BW8" s="174"/>
      <c r="BX8" s="174"/>
      <c r="BY8" s="174"/>
      <c r="BZ8" s="497" t="s">
        <v>148</v>
      </c>
      <c r="CA8" s="497"/>
      <c r="CB8" s="497"/>
      <c r="CC8" s="494" t="s">
        <v>147</v>
      </c>
      <c r="CD8" s="495"/>
      <c r="CE8" s="495"/>
      <c r="CF8" s="495"/>
      <c r="CG8" s="495"/>
      <c r="CH8" s="495"/>
      <c r="CI8" s="495"/>
      <c r="CJ8" s="495"/>
      <c r="CK8" s="495"/>
      <c r="CL8" s="495"/>
      <c r="CM8" s="495"/>
      <c r="CN8" s="495"/>
      <c r="CO8" s="170"/>
      <c r="CP8" s="170"/>
      <c r="CQ8" s="170"/>
      <c r="CR8" s="170"/>
      <c r="CS8" s="170"/>
      <c r="CT8" s="170"/>
      <c r="CU8" s="175"/>
      <c r="CV8" s="175"/>
      <c r="CW8" s="176"/>
      <c r="CX8" s="491" t="s">
        <v>149</v>
      </c>
      <c r="CY8" s="492"/>
      <c r="CZ8" s="493"/>
      <c r="DA8" s="522"/>
      <c r="DB8" s="523"/>
      <c r="DC8" s="524"/>
      <c r="DD8" s="522"/>
      <c r="DE8" s="523"/>
      <c r="DF8" s="524"/>
      <c r="DG8" s="491"/>
      <c r="DH8" s="492"/>
      <c r="DI8" s="493"/>
      <c r="DJ8" s="491" t="s">
        <v>147</v>
      </c>
      <c r="DK8" s="492"/>
      <c r="DL8" s="492"/>
      <c r="DM8" s="492"/>
      <c r="DN8" s="492"/>
      <c r="DO8" s="492"/>
      <c r="DP8" s="492"/>
      <c r="DQ8" s="492"/>
      <c r="DR8" s="492"/>
      <c r="DS8" s="492"/>
      <c r="DT8" s="492"/>
      <c r="DU8" s="492"/>
      <c r="DV8" s="492"/>
      <c r="DW8" s="492"/>
      <c r="DX8" s="492"/>
      <c r="DY8" s="492"/>
      <c r="DZ8" s="492"/>
      <c r="EA8" s="492"/>
      <c r="EB8" s="492"/>
      <c r="EC8" s="492"/>
      <c r="ED8" s="492"/>
      <c r="EE8" s="492"/>
      <c r="EF8" s="492"/>
      <c r="EG8" s="492"/>
      <c r="EH8" s="492"/>
      <c r="EI8" s="492"/>
      <c r="EJ8" s="492"/>
      <c r="EK8" s="492"/>
      <c r="EL8" s="492"/>
      <c r="EM8" s="492"/>
      <c r="EN8" s="492"/>
      <c r="EO8" s="492"/>
      <c r="EP8" s="492"/>
      <c r="EQ8" s="492"/>
      <c r="ER8" s="492"/>
      <c r="ES8" s="492"/>
      <c r="ET8" s="492"/>
      <c r="EU8" s="492"/>
      <c r="EV8" s="493"/>
      <c r="EW8" s="491"/>
      <c r="EX8" s="492"/>
      <c r="EY8" s="493"/>
    </row>
    <row r="9" spans="1:159" s="169" customFormat="1" ht="15" customHeight="1">
      <c r="A9" s="497"/>
      <c r="B9" s="497"/>
      <c r="C9" s="491"/>
      <c r="D9" s="492"/>
      <c r="E9" s="493"/>
      <c r="F9" s="491"/>
      <c r="G9" s="492"/>
      <c r="H9" s="493"/>
      <c r="I9" s="488" t="s">
        <v>150</v>
      </c>
      <c r="J9" s="489"/>
      <c r="K9" s="490"/>
      <c r="L9" s="488" t="s">
        <v>292</v>
      </c>
      <c r="M9" s="489"/>
      <c r="N9" s="490"/>
      <c r="O9" s="488" t="s">
        <v>295</v>
      </c>
      <c r="P9" s="489"/>
      <c r="Q9" s="490"/>
      <c r="R9" s="488" t="s">
        <v>293</v>
      </c>
      <c r="S9" s="489"/>
      <c r="T9" s="490"/>
      <c r="U9" s="488" t="s">
        <v>294</v>
      </c>
      <c r="V9" s="489"/>
      <c r="W9" s="490"/>
      <c r="X9" s="488" t="s">
        <v>151</v>
      </c>
      <c r="Y9" s="489"/>
      <c r="Z9" s="490"/>
      <c r="AA9" s="488" t="s">
        <v>152</v>
      </c>
      <c r="AB9" s="489"/>
      <c r="AC9" s="490"/>
      <c r="AD9" s="488" t="s">
        <v>153</v>
      </c>
      <c r="AE9" s="489"/>
      <c r="AF9" s="490"/>
      <c r="AG9" s="497" t="s">
        <v>154</v>
      </c>
      <c r="AH9" s="497"/>
      <c r="AI9" s="497"/>
      <c r="AJ9" s="488" t="s">
        <v>254</v>
      </c>
      <c r="AK9" s="489"/>
      <c r="AL9" s="490"/>
      <c r="AM9" s="488" t="s">
        <v>155</v>
      </c>
      <c r="AN9" s="489"/>
      <c r="AO9" s="490"/>
      <c r="AP9" s="488" t="s">
        <v>345</v>
      </c>
      <c r="AQ9" s="489"/>
      <c r="AR9" s="490"/>
      <c r="AS9" s="488" t="s">
        <v>156</v>
      </c>
      <c r="AT9" s="489"/>
      <c r="AU9" s="490"/>
      <c r="AV9" s="488" t="s">
        <v>157</v>
      </c>
      <c r="AW9" s="489"/>
      <c r="AX9" s="490"/>
      <c r="AY9" s="488" t="s">
        <v>256</v>
      </c>
      <c r="AZ9" s="489"/>
      <c r="BA9" s="490"/>
      <c r="BB9" s="488" t="s">
        <v>355</v>
      </c>
      <c r="BC9" s="489"/>
      <c r="BD9" s="490"/>
      <c r="BE9" s="488" t="s">
        <v>158</v>
      </c>
      <c r="BF9" s="489"/>
      <c r="BG9" s="490"/>
      <c r="BH9" s="488" t="s">
        <v>159</v>
      </c>
      <c r="BI9" s="489"/>
      <c r="BJ9" s="490"/>
      <c r="BK9" s="488" t="s">
        <v>285</v>
      </c>
      <c r="BL9" s="489"/>
      <c r="BM9" s="490"/>
      <c r="BN9" s="488" t="s">
        <v>252</v>
      </c>
      <c r="BO9" s="489"/>
      <c r="BP9" s="490"/>
      <c r="BQ9" s="488" t="s">
        <v>160</v>
      </c>
      <c r="BR9" s="489"/>
      <c r="BS9" s="490"/>
      <c r="BT9" s="488" t="s">
        <v>161</v>
      </c>
      <c r="BU9" s="489"/>
      <c r="BV9" s="490"/>
      <c r="BW9" s="491" t="s">
        <v>162</v>
      </c>
      <c r="BX9" s="492"/>
      <c r="BY9" s="492"/>
      <c r="BZ9" s="497"/>
      <c r="CA9" s="497"/>
      <c r="CB9" s="497"/>
      <c r="CC9" s="488" t="s">
        <v>346</v>
      </c>
      <c r="CD9" s="489"/>
      <c r="CE9" s="490"/>
      <c r="CF9" s="488" t="s">
        <v>347</v>
      </c>
      <c r="CG9" s="489"/>
      <c r="CH9" s="490"/>
      <c r="CI9" s="488" t="s">
        <v>163</v>
      </c>
      <c r="CJ9" s="489"/>
      <c r="CK9" s="490"/>
      <c r="CL9" s="488" t="s">
        <v>164</v>
      </c>
      <c r="CM9" s="489"/>
      <c r="CN9" s="490"/>
      <c r="CO9" s="488" t="s">
        <v>23</v>
      </c>
      <c r="CP9" s="489"/>
      <c r="CQ9" s="490"/>
      <c r="CR9" s="488" t="s">
        <v>302</v>
      </c>
      <c r="CS9" s="489"/>
      <c r="CT9" s="490"/>
      <c r="CU9" s="488" t="s">
        <v>348</v>
      </c>
      <c r="CV9" s="489"/>
      <c r="CW9" s="490"/>
      <c r="CX9" s="491"/>
      <c r="CY9" s="492"/>
      <c r="CZ9" s="493"/>
      <c r="DA9" s="488" t="s">
        <v>270</v>
      </c>
      <c r="DB9" s="489"/>
      <c r="DC9" s="490"/>
      <c r="DD9" s="497" t="s">
        <v>165</v>
      </c>
      <c r="DE9" s="497"/>
      <c r="DF9" s="497"/>
      <c r="DG9" s="491"/>
      <c r="DH9" s="492"/>
      <c r="DI9" s="493"/>
      <c r="DJ9" s="498" t="s">
        <v>166</v>
      </c>
      <c r="DK9" s="499"/>
      <c r="DL9" s="500"/>
      <c r="DM9" s="507" t="s">
        <v>143</v>
      </c>
      <c r="DN9" s="508"/>
      <c r="DO9" s="508"/>
      <c r="DP9" s="508"/>
      <c r="DQ9" s="508"/>
      <c r="DR9" s="508"/>
      <c r="DS9" s="508"/>
      <c r="DT9" s="508"/>
      <c r="DU9" s="508"/>
      <c r="DV9" s="508"/>
      <c r="DW9" s="508"/>
      <c r="DX9" s="509"/>
      <c r="DY9" s="498" t="s">
        <v>167</v>
      </c>
      <c r="DZ9" s="499"/>
      <c r="EA9" s="500"/>
      <c r="EB9" s="498" t="s">
        <v>168</v>
      </c>
      <c r="EC9" s="499"/>
      <c r="ED9" s="500"/>
      <c r="EE9" s="498" t="s">
        <v>169</v>
      </c>
      <c r="EF9" s="499"/>
      <c r="EG9" s="500"/>
      <c r="EH9" s="498" t="s">
        <v>170</v>
      </c>
      <c r="EI9" s="499"/>
      <c r="EJ9" s="500"/>
      <c r="EK9" s="488" t="s">
        <v>296</v>
      </c>
      <c r="EL9" s="489"/>
      <c r="EM9" s="490"/>
      <c r="EN9" s="488" t="s">
        <v>171</v>
      </c>
      <c r="EO9" s="489"/>
      <c r="EP9" s="490"/>
      <c r="EQ9" s="488" t="s">
        <v>328</v>
      </c>
      <c r="ER9" s="489"/>
      <c r="ES9" s="490"/>
      <c r="ET9" s="497" t="s">
        <v>298</v>
      </c>
      <c r="EU9" s="497"/>
      <c r="EV9" s="497"/>
      <c r="EW9" s="491"/>
      <c r="EX9" s="492"/>
      <c r="EY9" s="493"/>
    </row>
    <row r="10" spans="1:159" s="169" customFormat="1" ht="38.25" customHeight="1">
      <c r="A10" s="497"/>
      <c r="B10" s="497"/>
      <c r="C10" s="491"/>
      <c r="D10" s="492"/>
      <c r="E10" s="493"/>
      <c r="F10" s="491"/>
      <c r="G10" s="492"/>
      <c r="H10" s="493"/>
      <c r="I10" s="491"/>
      <c r="J10" s="492"/>
      <c r="K10" s="493"/>
      <c r="L10" s="491"/>
      <c r="M10" s="492"/>
      <c r="N10" s="493"/>
      <c r="O10" s="491"/>
      <c r="P10" s="492"/>
      <c r="Q10" s="493"/>
      <c r="R10" s="491"/>
      <c r="S10" s="492"/>
      <c r="T10" s="493"/>
      <c r="U10" s="491"/>
      <c r="V10" s="492"/>
      <c r="W10" s="493"/>
      <c r="X10" s="491"/>
      <c r="Y10" s="492"/>
      <c r="Z10" s="493"/>
      <c r="AA10" s="491"/>
      <c r="AB10" s="492"/>
      <c r="AC10" s="493"/>
      <c r="AD10" s="491"/>
      <c r="AE10" s="492"/>
      <c r="AF10" s="493"/>
      <c r="AG10" s="497"/>
      <c r="AH10" s="497"/>
      <c r="AI10" s="497"/>
      <c r="AJ10" s="491"/>
      <c r="AK10" s="492"/>
      <c r="AL10" s="493"/>
      <c r="AM10" s="491"/>
      <c r="AN10" s="492"/>
      <c r="AO10" s="493"/>
      <c r="AP10" s="491"/>
      <c r="AQ10" s="492"/>
      <c r="AR10" s="493"/>
      <c r="AS10" s="491"/>
      <c r="AT10" s="492"/>
      <c r="AU10" s="493"/>
      <c r="AV10" s="491"/>
      <c r="AW10" s="492"/>
      <c r="AX10" s="493"/>
      <c r="AY10" s="491"/>
      <c r="AZ10" s="492"/>
      <c r="BA10" s="493"/>
      <c r="BB10" s="491"/>
      <c r="BC10" s="492"/>
      <c r="BD10" s="493"/>
      <c r="BE10" s="491"/>
      <c r="BF10" s="492"/>
      <c r="BG10" s="493"/>
      <c r="BH10" s="491"/>
      <c r="BI10" s="492"/>
      <c r="BJ10" s="493"/>
      <c r="BK10" s="491"/>
      <c r="BL10" s="492"/>
      <c r="BM10" s="493"/>
      <c r="BN10" s="491"/>
      <c r="BO10" s="492"/>
      <c r="BP10" s="493"/>
      <c r="BQ10" s="491"/>
      <c r="BR10" s="492"/>
      <c r="BS10" s="493"/>
      <c r="BT10" s="491"/>
      <c r="BU10" s="492"/>
      <c r="BV10" s="493"/>
      <c r="BW10" s="491"/>
      <c r="BX10" s="492"/>
      <c r="BY10" s="492"/>
      <c r="BZ10" s="497"/>
      <c r="CA10" s="497"/>
      <c r="CB10" s="497"/>
      <c r="CC10" s="491"/>
      <c r="CD10" s="492"/>
      <c r="CE10" s="493"/>
      <c r="CF10" s="491"/>
      <c r="CG10" s="492"/>
      <c r="CH10" s="493"/>
      <c r="CI10" s="491"/>
      <c r="CJ10" s="492"/>
      <c r="CK10" s="493"/>
      <c r="CL10" s="491"/>
      <c r="CM10" s="492"/>
      <c r="CN10" s="493"/>
      <c r="CO10" s="491"/>
      <c r="CP10" s="492"/>
      <c r="CQ10" s="493"/>
      <c r="CR10" s="491"/>
      <c r="CS10" s="492"/>
      <c r="CT10" s="493"/>
      <c r="CU10" s="491"/>
      <c r="CV10" s="492"/>
      <c r="CW10" s="493"/>
      <c r="CX10" s="491"/>
      <c r="CY10" s="492"/>
      <c r="CZ10" s="493"/>
      <c r="DA10" s="491"/>
      <c r="DB10" s="492"/>
      <c r="DC10" s="493"/>
      <c r="DD10" s="497"/>
      <c r="DE10" s="497"/>
      <c r="DF10" s="497"/>
      <c r="DG10" s="491"/>
      <c r="DH10" s="492"/>
      <c r="DI10" s="493"/>
      <c r="DJ10" s="501"/>
      <c r="DK10" s="502"/>
      <c r="DL10" s="503"/>
      <c r="DM10" s="313"/>
      <c r="DN10" s="314"/>
      <c r="DO10" s="314"/>
      <c r="DP10" s="316"/>
      <c r="DQ10" s="316"/>
      <c r="DR10" s="316"/>
      <c r="DS10" s="314"/>
      <c r="DT10" s="314"/>
      <c r="DU10" s="314"/>
      <c r="DV10" s="314"/>
      <c r="DW10" s="314"/>
      <c r="DX10" s="315"/>
      <c r="DY10" s="501"/>
      <c r="DZ10" s="502"/>
      <c r="EA10" s="503"/>
      <c r="EB10" s="501"/>
      <c r="EC10" s="502"/>
      <c r="ED10" s="503"/>
      <c r="EE10" s="501"/>
      <c r="EF10" s="502"/>
      <c r="EG10" s="503"/>
      <c r="EH10" s="501"/>
      <c r="EI10" s="502"/>
      <c r="EJ10" s="503"/>
      <c r="EK10" s="491"/>
      <c r="EL10" s="492"/>
      <c r="EM10" s="493"/>
      <c r="EN10" s="491"/>
      <c r="EO10" s="492"/>
      <c r="EP10" s="493"/>
      <c r="EQ10" s="491"/>
      <c r="ER10" s="492"/>
      <c r="ES10" s="493"/>
      <c r="ET10" s="497"/>
      <c r="EU10" s="497"/>
      <c r="EV10" s="497"/>
      <c r="EW10" s="491"/>
      <c r="EX10" s="492"/>
      <c r="EY10" s="493"/>
    </row>
    <row r="11" spans="1:159" s="169" customFormat="1" ht="177.75" customHeight="1">
      <c r="A11" s="497"/>
      <c r="B11" s="497"/>
      <c r="C11" s="494"/>
      <c r="D11" s="495"/>
      <c r="E11" s="521"/>
      <c r="F11" s="494"/>
      <c r="G11" s="495"/>
      <c r="H11" s="496"/>
      <c r="I11" s="494"/>
      <c r="J11" s="495"/>
      <c r="K11" s="496"/>
      <c r="L11" s="494"/>
      <c r="M11" s="495"/>
      <c r="N11" s="496"/>
      <c r="O11" s="494"/>
      <c r="P11" s="495"/>
      <c r="Q11" s="496"/>
      <c r="R11" s="494"/>
      <c r="S11" s="495"/>
      <c r="T11" s="496"/>
      <c r="U11" s="494"/>
      <c r="V11" s="495"/>
      <c r="W11" s="496"/>
      <c r="X11" s="494"/>
      <c r="Y11" s="495"/>
      <c r="Z11" s="496"/>
      <c r="AA11" s="494"/>
      <c r="AB11" s="495"/>
      <c r="AC11" s="496"/>
      <c r="AD11" s="494"/>
      <c r="AE11" s="495"/>
      <c r="AF11" s="496"/>
      <c r="AG11" s="497"/>
      <c r="AH11" s="497"/>
      <c r="AI11" s="497"/>
      <c r="AJ11" s="494"/>
      <c r="AK11" s="495"/>
      <c r="AL11" s="496"/>
      <c r="AM11" s="494"/>
      <c r="AN11" s="495"/>
      <c r="AO11" s="496"/>
      <c r="AP11" s="494"/>
      <c r="AQ11" s="495"/>
      <c r="AR11" s="496"/>
      <c r="AS11" s="494"/>
      <c r="AT11" s="495"/>
      <c r="AU11" s="496"/>
      <c r="AV11" s="494"/>
      <c r="AW11" s="495"/>
      <c r="AX11" s="496"/>
      <c r="AY11" s="494"/>
      <c r="AZ11" s="495"/>
      <c r="BA11" s="496"/>
      <c r="BB11" s="494"/>
      <c r="BC11" s="495"/>
      <c r="BD11" s="496"/>
      <c r="BE11" s="494"/>
      <c r="BF11" s="495"/>
      <c r="BG11" s="496"/>
      <c r="BH11" s="494"/>
      <c r="BI11" s="495"/>
      <c r="BJ11" s="496"/>
      <c r="BK11" s="494"/>
      <c r="BL11" s="495"/>
      <c r="BM11" s="496"/>
      <c r="BN11" s="494"/>
      <c r="BO11" s="495"/>
      <c r="BP11" s="496"/>
      <c r="BQ11" s="494"/>
      <c r="BR11" s="495"/>
      <c r="BS11" s="496"/>
      <c r="BT11" s="494"/>
      <c r="BU11" s="495"/>
      <c r="BV11" s="496"/>
      <c r="BW11" s="494"/>
      <c r="BX11" s="495"/>
      <c r="BY11" s="495"/>
      <c r="BZ11" s="497"/>
      <c r="CA11" s="497"/>
      <c r="CB11" s="497"/>
      <c r="CC11" s="494"/>
      <c r="CD11" s="495"/>
      <c r="CE11" s="496"/>
      <c r="CF11" s="494"/>
      <c r="CG11" s="495"/>
      <c r="CH11" s="496"/>
      <c r="CI11" s="494"/>
      <c r="CJ11" s="495"/>
      <c r="CK11" s="496"/>
      <c r="CL11" s="494"/>
      <c r="CM11" s="495"/>
      <c r="CN11" s="496"/>
      <c r="CO11" s="494"/>
      <c r="CP11" s="495"/>
      <c r="CQ11" s="496"/>
      <c r="CR11" s="494"/>
      <c r="CS11" s="495"/>
      <c r="CT11" s="496"/>
      <c r="CU11" s="494"/>
      <c r="CV11" s="495"/>
      <c r="CW11" s="496"/>
      <c r="CX11" s="494"/>
      <c r="CY11" s="495"/>
      <c r="CZ11" s="496"/>
      <c r="DA11" s="494"/>
      <c r="DB11" s="495"/>
      <c r="DC11" s="496"/>
      <c r="DD11" s="497"/>
      <c r="DE11" s="497"/>
      <c r="DF11" s="497"/>
      <c r="DG11" s="494"/>
      <c r="DH11" s="495"/>
      <c r="DI11" s="496"/>
      <c r="DJ11" s="504"/>
      <c r="DK11" s="505"/>
      <c r="DL11" s="506"/>
      <c r="DM11" s="504" t="s">
        <v>172</v>
      </c>
      <c r="DN11" s="505"/>
      <c r="DO11" s="506"/>
      <c r="DP11" s="507" t="s">
        <v>173</v>
      </c>
      <c r="DQ11" s="508"/>
      <c r="DR11" s="509"/>
      <c r="DS11" s="504" t="s">
        <v>174</v>
      </c>
      <c r="DT11" s="505"/>
      <c r="DU11" s="506"/>
      <c r="DV11" s="504" t="s">
        <v>249</v>
      </c>
      <c r="DW11" s="505"/>
      <c r="DX11" s="506"/>
      <c r="DY11" s="504"/>
      <c r="DZ11" s="505"/>
      <c r="EA11" s="506"/>
      <c r="EB11" s="504"/>
      <c r="EC11" s="505"/>
      <c r="ED11" s="506"/>
      <c r="EE11" s="504"/>
      <c r="EF11" s="505"/>
      <c r="EG11" s="506"/>
      <c r="EH11" s="504"/>
      <c r="EI11" s="505"/>
      <c r="EJ11" s="506"/>
      <c r="EK11" s="494"/>
      <c r="EL11" s="495"/>
      <c r="EM11" s="496"/>
      <c r="EN11" s="494"/>
      <c r="EO11" s="495"/>
      <c r="EP11" s="496"/>
      <c r="EQ11" s="494"/>
      <c r="ER11" s="495"/>
      <c r="ES11" s="496"/>
      <c r="ET11" s="497"/>
      <c r="EU11" s="497"/>
      <c r="EV11" s="497"/>
      <c r="EW11" s="494"/>
      <c r="EX11" s="495"/>
      <c r="EY11" s="496"/>
      <c r="FA11" s="174"/>
      <c r="FB11" s="174"/>
      <c r="FC11" s="174"/>
    </row>
    <row r="12" spans="1:159" s="169" customFormat="1" ht="42.75" customHeight="1">
      <c r="A12" s="497"/>
      <c r="B12" s="497"/>
      <c r="C12" s="177" t="s">
        <v>175</v>
      </c>
      <c r="D12" s="178" t="s">
        <v>176</v>
      </c>
      <c r="E12" s="177" t="s">
        <v>177</v>
      </c>
      <c r="F12" s="177" t="s">
        <v>175</v>
      </c>
      <c r="G12" s="177" t="s">
        <v>176</v>
      </c>
      <c r="H12" s="177" t="s">
        <v>177</v>
      </c>
      <c r="I12" s="177" t="s">
        <v>175</v>
      </c>
      <c r="J12" s="177" t="s">
        <v>176</v>
      </c>
      <c r="K12" s="177" t="s">
        <v>177</v>
      </c>
      <c r="L12" s="177" t="s">
        <v>175</v>
      </c>
      <c r="M12" s="177" t="s">
        <v>176</v>
      </c>
      <c r="N12" s="177" t="s">
        <v>177</v>
      </c>
      <c r="O12" s="177" t="s">
        <v>175</v>
      </c>
      <c r="P12" s="177" t="s">
        <v>176</v>
      </c>
      <c r="Q12" s="177" t="s">
        <v>177</v>
      </c>
      <c r="R12" s="177" t="s">
        <v>175</v>
      </c>
      <c r="S12" s="177" t="s">
        <v>176</v>
      </c>
      <c r="T12" s="177" t="s">
        <v>177</v>
      </c>
      <c r="U12" s="177" t="s">
        <v>175</v>
      </c>
      <c r="V12" s="177" t="s">
        <v>176</v>
      </c>
      <c r="W12" s="177" t="s">
        <v>177</v>
      </c>
      <c r="X12" s="177" t="s">
        <v>175</v>
      </c>
      <c r="Y12" s="177" t="s">
        <v>176</v>
      </c>
      <c r="Z12" s="177" t="s">
        <v>177</v>
      </c>
      <c r="AA12" s="177" t="s">
        <v>175</v>
      </c>
      <c r="AB12" s="177" t="s">
        <v>176</v>
      </c>
      <c r="AC12" s="177" t="s">
        <v>177</v>
      </c>
      <c r="AD12" s="177" t="s">
        <v>175</v>
      </c>
      <c r="AE12" s="177" t="s">
        <v>176</v>
      </c>
      <c r="AF12" s="177" t="s">
        <v>177</v>
      </c>
      <c r="AG12" s="177" t="s">
        <v>175</v>
      </c>
      <c r="AH12" s="177" t="s">
        <v>176</v>
      </c>
      <c r="AI12" s="177" t="s">
        <v>177</v>
      </c>
      <c r="AJ12" s="177" t="s">
        <v>175</v>
      </c>
      <c r="AK12" s="177" t="s">
        <v>176</v>
      </c>
      <c r="AL12" s="177" t="s">
        <v>177</v>
      </c>
      <c r="AM12" s="177" t="s">
        <v>175</v>
      </c>
      <c r="AN12" s="177" t="s">
        <v>176</v>
      </c>
      <c r="AO12" s="177" t="s">
        <v>177</v>
      </c>
      <c r="AP12" s="177" t="s">
        <v>175</v>
      </c>
      <c r="AQ12" s="177" t="s">
        <v>176</v>
      </c>
      <c r="AR12" s="177" t="s">
        <v>177</v>
      </c>
      <c r="AS12" s="177" t="s">
        <v>175</v>
      </c>
      <c r="AT12" s="177" t="s">
        <v>176</v>
      </c>
      <c r="AU12" s="177" t="s">
        <v>177</v>
      </c>
      <c r="AV12" s="177" t="s">
        <v>175</v>
      </c>
      <c r="AW12" s="177" t="s">
        <v>176</v>
      </c>
      <c r="AX12" s="177" t="s">
        <v>177</v>
      </c>
      <c r="AY12" s="177" t="s">
        <v>175</v>
      </c>
      <c r="AZ12" s="177" t="s">
        <v>176</v>
      </c>
      <c r="BA12" s="177" t="s">
        <v>177</v>
      </c>
      <c r="BB12" s="177"/>
      <c r="BC12" s="177"/>
      <c r="BD12" s="177"/>
      <c r="BE12" s="177" t="s">
        <v>178</v>
      </c>
      <c r="BF12" s="177" t="s">
        <v>176</v>
      </c>
      <c r="BG12" s="177" t="s">
        <v>177</v>
      </c>
      <c r="BH12" s="177" t="s">
        <v>175</v>
      </c>
      <c r="BI12" s="177" t="s">
        <v>176</v>
      </c>
      <c r="BJ12" s="177" t="s">
        <v>177</v>
      </c>
      <c r="BK12" s="177" t="s">
        <v>175</v>
      </c>
      <c r="BL12" s="177" t="s">
        <v>176</v>
      </c>
      <c r="BM12" s="177" t="s">
        <v>177</v>
      </c>
      <c r="BN12" s="177" t="s">
        <v>178</v>
      </c>
      <c r="BO12" s="177" t="s">
        <v>176</v>
      </c>
      <c r="BP12" s="177" t="s">
        <v>177</v>
      </c>
      <c r="BQ12" s="177" t="s">
        <v>178</v>
      </c>
      <c r="BR12" s="177" t="s">
        <v>176</v>
      </c>
      <c r="BS12" s="177" t="s">
        <v>177</v>
      </c>
      <c r="BT12" s="177" t="s">
        <v>178</v>
      </c>
      <c r="BU12" s="177" t="s">
        <v>176</v>
      </c>
      <c r="BV12" s="177" t="s">
        <v>177</v>
      </c>
      <c r="BW12" s="177" t="s">
        <v>178</v>
      </c>
      <c r="BX12" s="177" t="s">
        <v>176</v>
      </c>
      <c r="BY12" s="177" t="s">
        <v>177</v>
      </c>
      <c r="BZ12" s="177" t="s">
        <v>175</v>
      </c>
      <c r="CA12" s="177" t="s">
        <v>176</v>
      </c>
      <c r="CB12" s="177" t="s">
        <v>177</v>
      </c>
      <c r="CC12" s="177" t="s">
        <v>175</v>
      </c>
      <c r="CD12" s="177" t="s">
        <v>176</v>
      </c>
      <c r="CE12" s="177" t="s">
        <v>177</v>
      </c>
      <c r="CF12" s="177" t="s">
        <v>175</v>
      </c>
      <c r="CG12" s="177" t="s">
        <v>176</v>
      </c>
      <c r="CH12" s="177" t="s">
        <v>177</v>
      </c>
      <c r="CI12" s="177" t="s">
        <v>175</v>
      </c>
      <c r="CJ12" s="177" t="s">
        <v>176</v>
      </c>
      <c r="CK12" s="177" t="s">
        <v>177</v>
      </c>
      <c r="CL12" s="177" t="s">
        <v>175</v>
      </c>
      <c r="CM12" s="177" t="s">
        <v>176</v>
      </c>
      <c r="CN12" s="177" t="s">
        <v>177</v>
      </c>
      <c r="CO12" s="177" t="s">
        <v>175</v>
      </c>
      <c r="CP12" s="177" t="s">
        <v>176</v>
      </c>
      <c r="CQ12" s="177" t="s">
        <v>177</v>
      </c>
      <c r="CR12" s="177" t="s">
        <v>175</v>
      </c>
      <c r="CS12" s="177" t="s">
        <v>176</v>
      </c>
      <c r="CT12" s="177" t="s">
        <v>177</v>
      </c>
      <c r="CU12" s="177" t="s">
        <v>175</v>
      </c>
      <c r="CV12" s="177" t="s">
        <v>176</v>
      </c>
      <c r="CW12" s="177" t="s">
        <v>177</v>
      </c>
      <c r="CX12" s="177" t="s">
        <v>175</v>
      </c>
      <c r="CY12" s="177" t="s">
        <v>176</v>
      </c>
      <c r="CZ12" s="177" t="s">
        <v>177</v>
      </c>
      <c r="DA12" s="177" t="s">
        <v>175</v>
      </c>
      <c r="DB12" s="177" t="s">
        <v>176</v>
      </c>
      <c r="DC12" s="177" t="s">
        <v>177</v>
      </c>
      <c r="DD12" s="177" t="s">
        <v>175</v>
      </c>
      <c r="DE12" s="177" t="s">
        <v>176</v>
      </c>
      <c r="DF12" s="177" t="s">
        <v>177</v>
      </c>
      <c r="DG12" s="177" t="s">
        <v>175</v>
      </c>
      <c r="DH12" s="177" t="s">
        <v>176</v>
      </c>
      <c r="DI12" s="177" t="s">
        <v>177</v>
      </c>
      <c r="DJ12" s="177" t="s">
        <v>175</v>
      </c>
      <c r="DK12" s="177" t="s">
        <v>176</v>
      </c>
      <c r="DL12" s="177" t="s">
        <v>177</v>
      </c>
      <c r="DM12" s="177" t="s">
        <v>175</v>
      </c>
      <c r="DN12" s="177" t="s">
        <v>176</v>
      </c>
      <c r="DO12" s="177" t="s">
        <v>177</v>
      </c>
      <c r="DP12" s="177" t="s">
        <v>175</v>
      </c>
      <c r="DQ12" s="177" t="s">
        <v>176</v>
      </c>
      <c r="DR12" s="177" t="s">
        <v>177</v>
      </c>
      <c r="DS12" s="177" t="s">
        <v>175</v>
      </c>
      <c r="DT12" s="177" t="s">
        <v>176</v>
      </c>
      <c r="DU12" s="177" t="s">
        <v>177</v>
      </c>
      <c r="DV12" s="177" t="s">
        <v>175</v>
      </c>
      <c r="DW12" s="177" t="s">
        <v>176</v>
      </c>
      <c r="DX12" s="177" t="s">
        <v>177</v>
      </c>
      <c r="DY12" s="177" t="s">
        <v>175</v>
      </c>
      <c r="DZ12" s="177" t="s">
        <v>176</v>
      </c>
      <c r="EA12" s="177" t="s">
        <v>177</v>
      </c>
      <c r="EB12" s="177" t="s">
        <v>175</v>
      </c>
      <c r="EC12" s="177" t="s">
        <v>176</v>
      </c>
      <c r="ED12" s="177" t="s">
        <v>177</v>
      </c>
      <c r="EE12" s="177" t="s">
        <v>175</v>
      </c>
      <c r="EF12" s="177" t="s">
        <v>176</v>
      </c>
      <c r="EG12" s="177" t="s">
        <v>177</v>
      </c>
      <c r="EH12" s="177" t="s">
        <v>175</v>
      </c>
      <c r="EI12" s="177" t="s">
        <v>176</v>
      </c>
      <c r="EJ12" s="177" t="s">
        <v>177</v>
      </c>
      <c r="EK12" s="177" t="s">
        <v>175</v>
      </c>
      <c r="EL12" s="177" t="s">
        <v>176</v>
      </c>
      <c r="EM12" s="177" t="s">
        <v>177</v>
      </c>
      <c r="EN12" s="177" t="s">
        <v>175</v>
      </c>
      <c r="EO12" s="177" t="s">
        <v>176</v>
      </c>
      <c r="EP12" s="177" t="s">
        <v>177</v>
      </c>
      <c r="EQ12" s="177" t="s">
        <v>175</v>
      </c>
      <c r="ER12" s="177" t="s">
        <v>176</v>
      </c>
      <c r="ES12" s="177" t="s">
        <v>177</v>
      </c>
      <c r="ET12" s="177" t="s">
        <v>175</v>
      </c>
      <c r="EU12" s="177" t="s">
        <v>176</v>
      </c>
      <c r="EV12" s="177" t="s">
        <v>177</v>
      </c>
      <c r="EW12" s="177" t="s">
        <v>175</v>
      </c>
      <c r="EX12" s="177" t="s">
        <v>176</v>
      </c>
      <c r="EY12" s="177" t="s">
        <v>177</v>
      </c>
      <c r="FA12" s="174"/>
      <c r="FB12" s="174"/>
      <c r="FC12" s="174"/>
    </row>
    <row r="13" spans="1:159" s="169" customFormat="1" ht="14.25" customHeight="1">
      <c r="A13" s="165">
        <v>1</v>
      </c>
      <c r="B13" s="177">
        <v>2</v>
      </c>
      <c r="C13" s="165">
        <v>3</v>
      </c>
      <c r="D13" s="178">
        <v>4</v>
      </c>
      <c r="E13" s="165">
        <v>5</v>
      </c>
      <c r="F13" s="177">
        <v>6</v>
      </c>
      <c r="G13" s="165">
        <v>7</v>
      </c>
      <c r="H13" s="177">
        <v>8</v>
      </c>
      <c r="I13" s="165">
        <v>9</v>
      </c>
      <c r="J13" s="177">
        <v>10</v>
      </c>
      <c r="K13" s="165">
        <v>11</v>
      </c>
      <c r="L13" s="165">
        <v>12</v>
      </c>
      <c r="M13" s="165">
        <v>13</v>
      </c>
      <c r="N13" s="165">
        <v>14</v>
      </c>
      <c r="O13" s="165">
        <v>15</v>
      </c>
      <c r="P13" s="165">
        <v>16</v>
      </c>
      <c r="Q13" s="165">
        <v>17</v>
      </c>
      <c r="R13" s="165">
        <v>18</v>
      </c>
      <c r="S13" s="165">
        <v>19</v>
      </c>
      <c r="T13" s="165">
        <v>20</v>
      </c>
      <c r="U13" s="165">
        <v>21</v>
      </c>
      <c r="V13" s="165">
        <v>22</v>
      </c>
      <c r="W13" s="165">
        <v>23</v>
      </c>
      <c r="X13" s="177">
        <v>24</v>
      </c>
      <c r="Y13" s="165">
        <v>25</v>
      </c>
      <c r="Z13" s="177">
        <v>26</v>
      </c>
      <c r="AA13" s="165">
        <v>27</v>
      </c>
      <c r="AB13" s="177">
        <v>28</v>
      </c>
      <c r="AC13" s="165">
        <v>29</v>
      </c>
      <c r="AD13" s="177">
        <v>30</v>
      </c>
      <c r="AE13" s="165">
        <v>31</v>
      </c>
      <c r="AF13" s="177">
        <v>32</v>
      </c>
      <c r="AG13" s="165">
        <v>33</v>
      </c>
      <c r="AH13" s="177">
        <v>34</v>
      </c>
      <c r="AI13" s="165">
        <v>35</v>
      </c>
      <c r="AJ13" s="165">
        <v>36</v>
      </c>
      <c r="AK13" s="165">
        <v>37</v>
      </c>
      <c r="AL13" s="165">
        <v>38</v>
      </c>
      <c r="AM13" s="177">
        <v>39</v>
      </c>
      <c r="AN13" s="165">
        <v>40</v>
      </c>
      <c r="AO13" s="177">
        <v>41</v>
      </c>
      <c r="AP13" s="165">
        <v>42</v>
      </c>
      <c r="AQ13" s="177">
        <v>43</v>
      </c>
      <c r="AR13" s="165">
        <v>44</v>
      </c>
      <c r="AS13" s="165">
        <v>45</v>
      </c>
      <c r="AT13" s="177">
        <v>46</v>
      </c>
      <c r="AU13" s="165">
        <v>47</v>
      </c>
      <c r="AV13" s="165">
        <v>48</v>
      </c>
      <c r="AW13" s="177">
        <v>49</v>
      </c>
      <c r="AX13" s="165">
        <v>50</v>
      </c>
      <c r="AY13" s="165">
        <v>48</v>
      </c>
      <c r="AZ13" s="177">
        <v>49</v>
      </c>
      <c r="BA13" s="165">
        <v>50</v>
      </c>
      <c r="BB13" s="165">
        <v>51</v>
      </c>
      <c r="BC13" s="165">
        <v>52</v>
      </c>
      <c r="BD13" s="165">
        <v>56</v>
      </c>
      <c r="BE13" s="177">
        <v>51</v>
      </c>
      <c r="BF13" s="165">
        <v>52</v>
      </c>
      <c r="BG13" s="177">
        <v>53</v>
      </c>
      <c r="BH13" s="165">
        <v>60</v>
      </c>
      <c r="BI13" s="179">
        <v>61</v>
      </c>
      <c r="BJ13" s="180">
        <v>62</v>
      </c>
      <c r="BK13" s="165">
        <v>63</v>
      </c>
      <c r="BL13" s="165">
        <v>64</v>
      </c>
      <c r="BM13" s="165">
        <v>65</v>
      </c>
      <c r="BN13" s="165">
        <v>66</v>
      </c>
      <c r="BO13" s="165">
        <v>67</v>
      </c>
      <c r="BP13" s="165">
        <v>68</v>
      </c>
      <c r="BQ13" s="177">
        <v>54</v>
      </c>
      <c r="BR13" s="165">
        <v>55</v>
      </c>
      <c r="BS13" s="177">
        <v>56</v>
      </c>
      <c r="BT13" s="165">
        <v>72</v>
      </c>
      <c r="BU13" s="177">
        <v>73</v>
      </c>
      <c r="BV13" s="165">
        <v>74</v>
      </c>
      <c r="BW13" s="177">
        <v>75</v>
      </c>
      <c r="BX13" s="165">
        <v>76</v>
      </c>
      <c r="BY13" s="177">
        <v>77</v>
      </c>
      <c r="BZ13" s="165">
        <v>57</v>
      </c>
      <c r="CA13" s="177">
        <v>58</v>
      </c>
      <c r="CB13" s="165">
        <v>59</v>
      </c>
      <c r="CC13" s="177">
        <v>60</v>
      </c>
      <c r="CD13" s="165">
        <v>61</v>
      </c>
      <c r="CE13" s="177">
        <v>62</v>
      </c>
      <c r="CF13" s="165">
        <v>63</v>
      </c>
      <c r="CG13" s="177">
        <v>64</v>
      </c>
      <c r="CH13" s="165">
        <v>65</v>
      </c>
      <c r="CI13" s="177">
        <v>66</v>
      </c>
      <c r="CJ13" s="165">
        <v>67</v>
      </c>
      <c r="CK13" s="177">
        <v>68</v>
      </c>
      <c r="CL13" s="165">
        <v>69</v>
      </c>
      <c r="CM13" s="177">
        <v>70</v>
      </c>
      <c r="CN13" s="165">
        <v>71</v>
      </c>
      <c r="CO13" s="165">
        <v>72</v>
      </c>
      <c r="CP13" s="165">
        <v>73</v>
      </c>
      <c r="CQ13" s="165">
        <v>74</v>
      </c>
      <c r="CR13" s="165">
        <v>75</v>
      </c>
      <c r="CS13" s="165">
        <v>76</v>
      </c>
      <c r="CT13" s="165">
        <v>77</v>
      </c>
      <c r="CU13" s="165">
        <v>78</v>
      </c>
      <c r="CV13" s="165">
        <v>79</v>
      </c>
      <c r="CW13" s="165">
        <v>80</v>
      </c>
      <c r="CX13" s="177">
        <v>96</v>
      </c>
      <c r="CY13" s="165">
        <v>97</v>
      </c>
      <c r="CZ13" s="177">
        <v>98</v>
      </c>
      <c r="DA13" s="177">
        <v>99</v>
      </c>
      <c r="DB13" s="177">
        <v>100</v>
      </c>
      <c r="DC13" s="177">
        <v>101</v>
      </c>
      <c r="DD13" s="177">
        <v>102</v>
      </c>
      <c r="DE13" s="177">
        <v>103</v>
      </c>
      <c r="DF13" s="177">
        <v>104</v>
      </c>
      <c r="DG13" s="165">
        <v>81</v>
      </c>
      <c r="DH13" s="177">
        <v>82</v>
      </c>
      <c r="DI13" s="165">
        <v>83</v>
      </c>
      <c r="DJ13" s="177">
        <v>84</v>
      </c>
      <c r="DK13" s="165">
        <v>85</v>
      </c>
      <c r="DL13" s="177">
        <v>86</v>
      </c>
      <c r="DM13" s="165">
        <v>87</v>
      </c>
      <c r="DN13" s="177">
        <v>88</v>
      </c>
      <c r="DO13" s="165">
        <v>89</v>
      </c>
      <c r="DP13" s="177">
        <v>90</v>
      </c>
      <c r="DQ13" s="165">
        <v>91</v>
      </c>
      <c r="DR13" s="177">
        <v>92</v>
      </c>
      <c r="DS13" s="165">
        <v>93</v>
      </c>
      <c r="DT13" s="177">
        <v>94</v>
      </c>
      <c r="DU13" s="165">
        <v>95</v>
      </c>
      <c r="DV13" s="177">
        <v>96</v>
      </c>
      <c r="DW13" s="177">
        <v>97</v>
      </c>
      <c r="DX13" s="177">
        <v>98</v>
      </c>
      <c r="DY13" s="165">
        <v>99</v>
      </c>
      <c r="DZ13" s="177">
        <v>100</v>
      </c>
      <c r="EA13" s="165">
        <v>101</v>
      </c>
      <c r="EB13" s="177">
        <v>102</v>
      </c>
      <c r="EC13" s="165">
        <v>103</v>
      </c>
      <c r="ED13" s="177">
        <v>104</v>
      </c>
      <c r="EE13" s="165">
        <v>105</v>
      </c>
      <c r="EF13" s="177">
        <v>106</v>
      </c>
      <c r="EG13" s="165">
        <v>107</v>
      </c>
      <c r="EH13" s="177">
        <v>108</v>
      </c>
      <c r="EI13" s="165">
        <v>109</v>
      </c>
      <c r="EJ13" s="177">
        <v>110</v>
      </c>
      <c r="EK13" s="165">
        <v>111</v>
      </c>
      <c r="EL13" s="177">
        <v>112</v>
      </c>
      <c r="EM13" s="165">
        <v>113</v>
      </c>
      <c r="EN13" s="177">
        <v>114</v>
      </c>
      <c r="EO13" s="165">
        <v>115</v>
      </c>
      <c r="EP13" s="177">
        <v>116</v>
      </c>
      <c r="EQ13" s="165">
        <v>117</v>
      </c>
      <c r="ER13" s="177">
        <v>118</v>
      </c>
      <c r="ES13" s="165">
        <v>119</v>
      </c>
      <c r="ET13" s="177">
        <v>120</v>
      </c>
      <c r="EU13" s="165">
        <v>121</v>
      </c>
      <c r="EV13" s="177">
        <v>122</v>
      </c>
      <c r="EW13" s="165">
        <v>123</v>
      </c>
      <c r="EX13" s="177">
        <v>124</v>
      </c>
      <c r="EY13" s="165">
        <v>125</v>
      </c>
    </row>
    <row r="14" spans="1:159" s="169" customFormat="1" ht="15" customHeight="1">
      <c r="A14" s="181">
        <v>1</v>
      </c>
      <c r="B14" s="182" t="s">
        <v>303</v>
      </c>
      <c r="C14" s="417">
        <f>F14+BZ14</f>
        <v>4016.9421500000003</v>
      </c>
      <c r="D14" s="405">
        <f t="shared" ref="D14:D29" si="0">G14+CA14+CY14</f>
        <v>1068.0593100000001</v>
      </c>
      <c r="E14" s="184">
        <f t="shared" ref="E14:E29" si="1">D14/C14*100</f>
        <v>26.588864616832979</v>
      </c>
      <c r="F14" s="185">
        <f t="shared" ref="F14:F29" si="2">I14+X14+AA14+AD14+AG14+AM14+AS14+BE14+BQ14+BN14+AJ14+AY14+L14+R14+O14+U14+AP14</f>
        <v>592.81500000000005</v>
      </c>
      <c r="G14" s="185">
        <f t="shared" ref="G14:G29" si="3">J14+Y14+AB14+AE14+AH14+AN14+AT14+BF14+AK14+BR14+BO14+AZ14+M14+S14+P14+V14+AQ14</f>
        <v>217.71631000000002</v>
      </c>
      <c r="H14" s="184">
        <f>G14/F14*100</f>
        <v>36.725843644307247</v>
      </c>
      <c r="I14" s="287">
        <f>Але!C6</f>
        <v>68.849999999999994</v>
      </c>
      <c r="J14" s="289">
        <f>Але!D6</f>
        <v>34.334870000000002</v>
      </c>
      <c r="K14" s="184">
        <f>J14/I14*100</f>
        <v>49.869092229484394</v>
      </c>
      <c r="L14" s="184">
        <f>Але!C8</f>
        <v>82.8</v>
      </c>
      <c r="M14" s="184">
        <f>Але!D8</f>
        <v>48.585320000000003</v>
      </c>
      <c r="N14" s="184">
        <f>M14/L14*100</f>
        <v>58.67792270531401</v>
      </c>
      <c r="O14" s="184">
        <f>Але!C9</f>
        <v>0.86499999999999999</v>
      </c>
      <c r="P14" s="184">
        <f>Але!D9</f>
        <v>0.36496000000000001</v>
      </c>
      <c r="Q14" s="184">
        <f>P14/O14*100</f>
        <v>42.191907514450868</v>
      </c>
      <c r="R14" s="184">
        <f>Але!C10</f>
        <v>138.30000000000001</v>
      </c>
      <c r="S14" s="184">
        <f>Але!D10</f>
        <v>67.432850000000002</v>
      </c>
      <c r="T14" s="184">
        <f>S14/R14*100</f>
        <v>48.758387563268258</v>
      </c>
      <c r="U14" s="184">
        <f>Але!C11</f>
        <v>0</v>
      </c>
      <c r="V14" s="380">
        <f>Але!D11</f>
        <v>-8.8356499999999993</v>
      </c>
      <c r="W14" s="184" t="e">
        <f>V14/U14*100</f>
        <v>#DIV/0!</v>
      </c>
      <c r="X14" s="186">
        <f>Але!C13</f>
        <v>2</v>
      </c>
      <c r="Y14" s="186">
        <f>Але!D13</f>
        <v>40.129199999999997</v>
      </c>
      <c r="Z14" s="184">
        <f>Y14/X14*100</f>
        <v>2006.4599999999998</v>
      </c>
      <c r="AA14" s="186">
        <f>Але!C15</f>
        <v>40</v>
      </c>
      <c r="AB14" s="379">
        <f>Але!D15</f>
        <v>10.467420000000001</v>
      </c>
      <c r="AC14" s="184">
        <f>AB14/AA14*100</f>
        <v>26.168550000000003</v>
      </c>
      <c r="AD14" s="186">
        <f>Але!C16</f>
        <v>200</v>
      </c>
      <c r="AE14" s="186">
        <f>Але!D16</f>
        <v>18.352810000000002</v>
      </c>
      <c r="AF14" s="184">
        <f t="shared" ref="AF14:AF29" si="4">AE14/AD14*100</f>
        <v>9.1764050000000008</v>
      </c>
      <c r="AG14" s="184">
        <f>Але!C18</f>
        <v>5</v>
      </c>
      <c r="AH14" s="184">
        <f>Але!D18</f>
        <v>0.5</v>
      </c>
      <c r="AI14" s="184">
        <f>AH14/AG14*100</f>
        <v>10</v>
      </c>
      <c r="AJ14" s="184"/>
      <c r="AK14" s="184"/>
      <c r="AL14" s="187" t="e">
        <f t="shared" ref="AL14:AL23" si="5">AK14/AJ14*100</f>
        <v>#DIV/0!</v>
      </c>
      <c r="AM14" s="186">
        <v>0</v>
      </c>
      <c r="AN14" s="186">
        <v>0</v>
      </c>
      <c r="AO14" s="187" t="e">
        <f t="shared" ref="AO14:AO29" si="6">AN14/AM14*100</f>
        <v>#DIV/0!</v>
      </c>
      <c r="AP14" s="186">
        <f>Але!C27</f>
        <v>55</v>
      </c>
      <c r="AQ14" s="396">
        <f>Але!D27</f>
        <v>0</v>
      </c>
      <c r="AR14" s="184">
        <f>AQ14/AP14*100</f>
        <v>0</v>
      </c>
      <c r="AS14" s="188">
        <f>Але!C28</f>
        <v>0</v>
      </c>
      <c r="AT14" s="203">
        <f>Але!D28</f>
        <v>0</v>
      </c>
      <c r="AU14" s="184" t="e">
        <f>AT14/AS14*100</f>
        <v>#DIV/0!</v>
      </c>
      <c r="AV14" s="186"/>
      <c r="AW14" s="186"/>
      <c r="AX14" s="184" t="e">
        <f>AW14/AV14*100</f>
        <v>#DIV/0!</v>
      </c>
      <c r="AY14" s="184">
        <f>Але!C29</f>
        <v>0</v>
      </c>
      <c r="AZ14" s="224">
        <f>Але!D29</f>
        <v>6.3845299999999998</v>
      </c>
      <c r="BA14" s="184" t="e">
        <f>AZ14/AY14*100</f>
        <v>#DIV/0!</v>
      </c>
      <c r="BB14" s="184">
        <f>Але!C30</f>
        <v>0</v>
      </c>
      <c r="BC14" s="184">
        <f>Але!D30</f>
        <v>6.3845299999999998</v>
      </c>
      <c r="BD14" s="184" t="e">
        <f>BC14/BB14*100</f>
        <v>#DIV/0!</v>
      </c>
      <c r="BE14" s="184">
        <f>Але!C32</f>
        <v>0</v>
      </c>
      <c r="BF14" s="184">
        <f>Але!D31</f>
        <v>0</v>
      </c>
      <c r="BG14" s="184" t="e">
        <f>BF14/BE14*100</f>
        <v>#DIV/0!</v>
      </c>
      <c r="BH14" s="184"/>
      <c r="BI14" s="184"/>
      <c r="BJ14" s="184" t="e">
        <f>BI14/BH14*100</f>
        <v>#DIV/0!</v>
      </c>
      <c r="BK14" s="184"/>
      <c r="BL14" s="184"/>
      <c r="BM14" s="184"/>
      <c r="BN14" s="184"/>
      <c r="BO14" s="221"/>
      <c r="BP14" s="184" t="e">
        <f>BO14/BN14*100</f>
        <v>#DIV/0!</v>
      </c>
      <c r="BQ14" s="184">
        <f>Але!C34</f>
        <v>0</v>
      </c>
      <c r="BR14" s="184">
        <f>Але!D35</f>
        <v>0</v>
      </c>
      <c r="BS14" s="184" t="e">
        <f>BR14/BQ14*100</f>
        <v>#DIV/0!</v>
      </c>
      <c r="BT14" s="184"/>
      <c r="BU14" s="184"/>
      <c r="BV14" s="189" t="e">
        <f>BT14/BU14*100</f>
        <v>#DIV/0!</v>
      </c>
      <c r="BW14" s="189"/>
      <c r="BX14" s="189"/>
      <c r="BY14" s="189" t="e">
        <f>BW14/BX14*100</f>
        <v>#DIV/0!</v>
      </c>
      <c r="BZ14" s="186">
        <f>CC14+CF14+CI14+CL14+CR14+CO14</f>
        <v>3424.1271500000003</v>
      </c>
      <c r="CA14" s="186">
        <f>CD14+CG14+CJ14+CM14+CS14+CP14+CV14</f>
        <v>850.34299999999996</v>
      </c>
      <c r="CB14" s="184">
        <f>CA14/BZ14*100</f>
        <v>24.833861674792068</v>
      </c>
      <c r="CC14" s="187">
        <f>Але!C39</f>
        <v>1200.7</v>
      </c>
      <c r="CD14" s="187">
        <f>Але!D39</f>
        <v>500.29</v>
      </c>
      <c r="CE14" s="184">
        <f>CD14/CC14*100</f>
        <v>41.666527858749063</v>
      </c>
      <c r="CF14" s="184">
        <f>Але!C40</f>
        <v>452.20800000000003</v>
      </c>
      <c r="CG14" s="184">
        <f>Але!D40</f>
        <v>112.5</v>
      </c>
      <c r="CH14" s="184">
        <f>CG14/CF14*100</f>
        <v>24.877932278951278</v>
      </c>
      <c r="CI14" s="184">
        <f>Але!C41</f>
        <v>1188.7561900000001</v>
      </c>
      <c r="CJ14" s="184">
        <f>Але!D41</f>
        <v>139.75200000000001</v>
      </c>
      <c r="CK14" s="184">
        <f t="shared" ref="CK14:CK29" si="7">CJ14/CI14*100</f>
        <v>11.756153294983053</v>
      </c>
      <c r="CL14" s="184">
        <f>Але!C42</f>
        <v>91.480999999999995</v>
      </c>
      <c r="CM14" s="184">
        <f>Але!D42</f>
        <v>37.301000000000002</v>
      </c>
      <c r="CN14" s="184">
        <f t="shared" ref="CN14:CN31" si="8">CM14/CL14*100</f>
        <v>40.774587072725488</v>
      </c>
      <c r="CO14" s="184">
        <f>Але!C44</f>
        <v>430.50400000000002</v>
      </c>
      <c r="CP14" s="184"/>
      <c r="CQ14" s="184"/>
      <c r="CR14" s="380">
        <f>Але!C43</f>
        <v>60.477960000000003</v>
      </c>
      <c r="CS14" s="184">
        <f>Але!D43</f>
        <v>60.5</v>
      </c>
      <c r="CT14" s="184">
        <f t="shared" ref="CT14:CT31" si="9">CS14/CR14*100</f>
        <v>100.03644302817092</v>
      </c>
      <c r="CU14" s="184"/>
      <c r="CV14" s="184">
        <f>Але!D45</f>
        <v>0</v>
      </c>
      <c r="CW14" s="184" t="e">
        <f>CV13:CV14/CU14*100</f>
        <v>#DIV/0!</v>
      </c>
      <c r="CX14" s="186"/>
      <c r="CY14" s="186"/>
      <c r="CZ14" s="184" t="e">
        <f>CY14/CX14*100</f>
        <v>#DIV/0!</v>
      </c>
      <c r="DA14" s="184"/>
      <c r="DB14" s="184"/>
      <c r="DC14" s="184"/>
      <c r="DD14" s="184"/>
      <c r="DE14" s="184"/>
      <c r="DF14" s="184"/>
      <c r="DG14" s="188">
        <f>DJ14+DY14+EB14+EE14+EH14+EK14+EN14+EQ14+ET14</f>
        <v>4230.7783899999995</v>
      </c>
      <c r="DH14" s="188">
        <f>DK14+DZ14+EC14+EF14+EI14+EL14+EO14+ER14+EU14</f>
        <v>829.39859999999999</v>
      </c>
      <c r="DI14" s="184">
        <f>DH14/DG14*100</f>
        <v>19.603924468376611</v>
      </c>
      <c r="DJ14" s="186">
        <f>DM14+DP14+DS14+DV14</f>
        <v>1083.4159999999999</v>
      </c>
      <c r="DK14" s="186">
        <f>DN14+DQ14+DT14+DW14</f>
        <v>358.75871000000001</v>
      </c>
      <c r="DL14" s="184">
        <f>DK14/DJ14*100</f>
        <v>33.113661788269702</v>
      </c>
      <c r="DM14" s="184">
        <f>Але!C54</f>
        <v>1076.0999999999999</v>
      </c>
      <c r="DN14" s="184">
        <f>Але!D54</f>
        <v>356.44321000000002</v>
      </c>
      <c r="DO14" s="184">
        <f>DN14/DM14*100</f>
        <v>33.12361397639625</v>
      </c>
      <c r="DP14" s="184">
        <f>Але!C57</f>
        <v>0</v>
      </c>
      <c r="DQ14" s="184">
        <f>Але!D57</f>
        <v>0</v>
      </c>
      <c r="DR14" s="184" t="e">
        <f>DQ14/DP14*100</f>
        <v>#DIV/0!</v>
      </c>
      <c r="DS14" s="184">
        <f>Але!C58</f>
        <v>5</v>
      </c>
      <c r="DT14" s="184">
        <f>Але!D58</f>
        <v>0</v>
      </c>
      <c r="DU14" s="184">
        <f>DT14/DS14*100</f>
        <v>0</v>
      </c>
      <c r="DV14" s="184">
        <f>Але!C59</f>
        <v>2.3159999999999998</v>
      </c>
      <c r="DW14" s="184">
        <f>Але!D59</f>
        <v>2.3155000000000001</v>
      </c>
      <c r="DX14" s="184">
        <f>DW14/DV14*100</f>
        <v>99.978411053540597</v>
      </c>
      <c r="DY14" s="184">
        <f>Але!C61</f>
        <v>89.944999999999993</v>
      </c>
      <c r="DZ14" s="184">
        <f>Але!D61</f>
        <v>31.78</v>
      </c>
      <c r="EA14" s="184">
        <f>DZ14/DY14*100</f>
        <v>35.332703318694762</v>
      </c>
      <c r="EB14" s="184">
        <f>Але!C62</f>
        <v>14</v>
      </c>
      <c r="EC14" s="184">
        <f>Але!D62</f>
        <v>0</v>
      </c>
      <c r="ED14" s="184">
        <f>EC14/EB14*100</f>
        <v>0</v>
      </c>
      <c r="EE14" s="186">
        <f>Але!C68</f>
        <v>2169.4978899999996</v>
      </c>
      <c r="EF14" s="186">
        <f>Але!D68</f>
        <v>158.80862999999999</v>
      </c>
      <c r="EG14" s="184">
        <f>EF14/EE14*100</f>
        <v>7.320063814397165</v>
      </c>
      <c r="EH14" s="186">
        <f>Але!C73</f>
        <v>583.81949999999995</v>
      </c>
      <c r="EI14" s="186">
        <f>Але!D73</f>
        <v>164.49626000000001</v>
      </c>
      <c r="EJ14" s="184">
        <f>EI14/EH14*100</f>
        <v>28.175876276828717</v>
      </c>
      <c r="EK14" s="186">
        <f>Але!C77</f>
        <v>276.10000000000002</v>
      </c>
      <c r="EL14" s="190">
        <f>Але!D77</f>
        <v>115.55500000000001</v>
      </c>
      <c r="EM14" s="184">
        <f t="shared" ref="EM14:EM29" si="10">EL14/EK14*100</f>
        <v>41.852589641434264</v>
      </c>
      <c r="EN14" s="184">
        <f>Але!C79</f>
        <v>0</v>
      </c>
      <c r="EO14" s="184">
        <f>Але!D79</f>
        <v>0</v>
      </c>
      <c r="EP14" s="184" t="e">
        <f t="shared" ref="EP14:EP29" si="11">EO14/EN14*100</f>
        <v>#DIV/0!</v>
      </c>
      <c r="EQ14" s="185">
        <f>Але!C84</f>
        <v>14</v>
      </c>
      <c r="ER14" s="185">
        <f>Але!D84</f>
        <v>0</v>
      </c>
      <c r="ES14" s="184">
        <f>ER14/EQ14*100</f>
        <v>0</v>
      </c>
      <c r="ET14" s="184">
        <f>Але!C90</f>
        <v>0</v>
      </c>
      <c r="EU14" s="184">
        <f>Але!D90</f>
        <v>0</v>
      </c>
      <c r="EV14" s="184" t="e">
        <f>EU14/ET14*100</f>
        <v>#DIV/0!</v>
      </c>
      <c r="EW14" s="191">
        <f t="shared" ref="EW14:EW29" si="12">SUM(C14-DG14)</f>
        <v>-213.83623999999918</v>
      </c>
      <c r="EX14" s="191">
        <f t="shared" ref="EX14:EX29" si="13">SUM(D14-DH14)</f>
        <v>238.66071000000011</v>
      </c>
      <c r="EY14" s="184">
        <f>EX14/EW14*100%</f>
        <v>-1.116091033026025</v>
      </c>
      <c r="EZ14" s="192"/>
      <c r="FA14" s="193"/>
      <c r="FC14" s="193"/>
    </row>
    <row r="15" spans="1:159" s="199" customFormat="1" ht="15" customHeight="1">
      <c r="A15" s="181">
        <v>2</v>
      </c>
      <c r="B15" s="194" t="s">
        <v>304</v>
      </c>
      <c r="C15" s="417">
        <f t="shared" ref="C15:C29" si="14">F15+BZ15</f>
        <v>12655.549270000001</v>
      </c>
      <c r="D15" s="405">
        <f>G15+CA15+CY15</f>
        <v>3130.2086300000001</v>
      </c>
      <c r="E15" s="187">
        <f t="shared" si="1"/>
        <v>24.733882056151955</v>
      </c>
      <c r="F15" s="185">
        <f t="shared" si="2"/>
        <v>3935.44</v>
      </c>
      <c r="G15" s="185">
        <f>J15+Y15+AB15+AE15+AH15+AN15+AT15+BF15+AK15+BR15+BO15+AZ15+M15+S15+P15+V15+AQ15</f>
        <v>896.73175000000003</v>
      </c>
      <c r="H15" s="187">
        <f t="shared" ref="H15:H29" si="15">G15/F15*100</f>
        <v>22.786060770841381</v>
      </c>
      <c r="I15" s="195">
        <f>Сун!C6</f>
        <v>443.71499999999997</v>
      </c>
      <c r="J15" s="188">
        <f>Сун!D6</f>
        <v>142.13004000000001</v>
      </c>
      <c r="K15" s="187">
        <f t="shared" ref="K15:K29" si="16">J15/I15*100</f>
        <v>32.031831243027625</v>
      </c>
      <c r="L15" s="187">
        <f>Сун!C8</f>
        <v>237.12</v>
      </c>
      <c r="M15" s="187">
        <f>Сун!D8</f>
        <v>139.15199999999999</v>
      </c>
      <c r="N15" s="184">
        <f t="shared" ref="N15:N29" si="17">M15/L15*100</f>
        <v>58.68421052631578</v>
      </c>
      <c r="O15" s="184">
        <f>Сун!C9</f>
        <v>2.5049999999999999</v>
      </c>
      <c r="P15" s="184">
        <f>Сун!D9</f>
        <v>1.0453600000000001</v>
      </c>
      <c r="Q15" s="184">
        <f t="shared" ref="Q15:Q29" si="18">P15/O15*100</f>
        <v>41.730938123752495</v>
      </c>
      <c r="R15" s="184">
        <f>Сун!C10</f>
        <v>396.1</v>
      </c>
      <c r="S15" s="184">
        <f>Сун!D10</f>
        <v>193.13292999999999</v>
      </c>
      <c r="T15" s="184">
        <f t="shared" ref="T15:T29" si="19">S15/R15*100</f>
        <v>48.758629134057053</v>
      </c>
      <c r="U15" s="184">
        <f>Сун!C11</f>
        <v>0</v>
      </c>
      <c r="V15" s="380">
        <f>Сун!D11</f>
        <v>-25.30603</v>
      </c>
      <c r="W15" s="184" t="e">
        <f t="shared" ref="W15:W29" si="20">V15/U15*100</f>
        <v>#DIV/0!</v>
      </c>
      <c r="X15" s="195">
        <f>Сун!C13</f>
        <v>40</v>
      </c>
      <c r="Y15" s="195">
        <f>Сун!D13</f>
        <v>38.018050000000002</v>
      </c>
      <c r="Z15" s="187">
        <f t="shared" ref="Z15:Z29" si="21">Y15/X15*100</f>
        <v>95.045125000000013</v>
      </c>
      <c r="AA15" s="195">
        <f>Сун!C15</f>
        <v>1098</v>
      </c>
      <c r="AB15" s="379">
        <f>Сун!D15</f>
        <v>31.01736</v>
      </c>
      <c r="AC15" s="187">
        <f t="shared" ref="AC15:AC29" si="22">AB15/AA15*100</f>
        <v>2.8248961748633881</v>
      </c>
      <c r="AD15" s="195">
        <f>Сун!C16</f>
        <v>1285</v>
      </c>
      <c r="AE15" s="195">
        <f>Сун!D16</f>
        <v>189.61565999999999</v>
      </c>
      <c r="AF15" s="187">
        <f t="shared" si="4"/>
        <v>14.756082490272373</v>
      </c>
      <c r="AG15" s="187">
        <f>Сун!C18</f>
        <v>13</v>
      </c>
      <c r="AH15" s="187">
        <f>Сун!D18</f>
        <v>5.22</v>
      </c>
      <c r="AI15" s="187">
        <f t="shared" ref="AI15:AI31" si="23">AH15/AG15*100</f>
        <v>40.153846153846153</v>
      </c>
      <c r="AJ15" s="187"/>
      <c r="AK15" s="187"/>
      <c r="AL15" s="187" t="e">
        <f t="shared" si="5"/>
        <v>#DIV/0!</v>
      </c>
      <c r="AM15" s="195">
        <f>Сун!C27</f>
        <v>0</v>
      </c>
      <c r="AN15" s="195">
        <f>Сун!D27</f>
        <v>0</v>
      </c>
      <c r="AO15" s="187" t="e">
        <f t="shared" si="6"/>
        <v>#DIV/0!</v>
      </c>
      <c r="AP15" s="195">
        <f>Сун!C28</f>
        <v>200</v>
      </c>
      <c r="AQ15" s="397">
        <f>Сун!D28</f>
        <v>27.2</v>
      </c>
      <c r="AR15" s="187">
        <f t="shared" ref="AR15:AR29" si="24">AQ15/AP15*100</f>
        <v>13.600000000000001</v>
      </c>
      <c r="AS15" s="188">
        <f>Сун!C29</f>
        <v>20</v>
      </c>
      <c r="AT15" s="378">
        <f>Сун!D29</f>
        <v>20.765000000000001</v>
      </c>
      <c r="AU15" s="187">
        <f t="shared" ref="AU15:AU29" si="25">AT15/AS15*100</f>
        <v>103.82500000000002</v>
      </c>
      <c r="AV15" s="195"/>
      <c r="AW15" s="195"/>
      <c r="AX15" s="187" t="e">
        <f t="shared" ref="AX15:AX29" si="26">AW15/AV15*100</f>
        <v>#DIV/0!</v>
      </c>
      <c r="AY15" s="187">
        <f>Сун!C31</f>
        <v>200</v>
      </c>
      <c r="AZ15" s="423">
        <f>Сун!D31</f>
        <v>133.95569</v>
      </c>
      <c r="BA15" s="187">
        <f t="shared" ref="BA15:BA31" si="27">AZ15/AY15*100</f>
        <v>66.977845000000002</v>
      </c>
      <c r="BB15" s="187"/>
      <c r="BC15" s="187"/>
      <c r="BD15" s="187"/>
      <c r="BE15" s="187">
        <f>Сун!C32</f>
        <v>0</v>
      </c>
      <c r="BF15" s="187">
        <f>Сун!D32</f>
        <v>0</v>
      </c>
      <c r="BG15" s="187" t="e">
        <f t="shared" ref="BG15:BG31" si="28">BF15/BE15*100</f>
        <v>#DIV/0!</v>
      </c>
      <c r="BH15" s="187"/>
      <c r="BI15" s="187"/>
      <c r="BJ15" s="187" t="e">
        <f t="shared" ref="BJ15:BJ29" si="29">BI15/BH15*100</f>
        <v>#DIV/0!</v>
      </c>
      <c r="BK15" s="187">
        <f>Сун!C35</f>
        <v>0</v>
      </c>
      <c r="BL15" s="187">
        <f>Сун!D35</f>
        <v>0</v>
      </c>
      <c r="BM15" s="187"/>
      <c r="BN15" s="187">
        <f>Сун!C35</f>
        <v>0</v>
      </c>
      <c r="BO15" s="353">
        <f>Сун!D35</f>
        <v>0</v>
      </c>
      <c r="BP15" s="187" t="e">
        <f t="shared" ref="BP15:BP29" si="30">BO15/BN15*100</f>
        <v>#DIV/0!</v>
      </c>
      <c r="BQ15" s="187">
        <f>Сун!C37</f>
        <v>0</v>
      </c>
      <c r="BR15" s="187">
        <f>Сун!D37</f>
        <v>0.78569</v>
      </c>
      <c r="BS15" s="187" t="e">
        <f t="shared" ref="BS15:BS29" si="31">BR15/BQ15*100</f>
        <v>#DIV/0!</v>
      </c>
      <c r="BT15" s="187"/>
      <c r="BU15" s="187"/>
      <c r="BV15" s="196" t="e">
        <f t="shared" ref="BV15:BV29" si="32">BT15/BU15*100</f>
        <v>#DIV/0!</v>
      </c>
      <c r="BW15" s="196"/>
      <c r="BX15" s="196"/>
      <c r="BY15" s="196" t="e">
        <f t="shared" ref="BY15:BY29" si="33">BW15/BX15*100</f>
        <v>#DIV/0!</v>
      </c>
      <c r="BZ15" s="186">
        <f t="shared" ref="BZ15:BZ29" si="34">CC15+CF15+CI15+CL15+CR15+CO15</f>
        <v>8720.1092700000008</v>
      </c>
      <c r="CA15" s="186">
        <f t="shared" ref="CA15:CA29" si="35">CD15+CG15+CJ15+CM15+CS15+CP15+CV15</f>
        <v>2233.4768800000002</v>
      </c>
      <c r="CB15" s="187">
        <f>CA15/BZ15*100</f>
        <v>25.612946017590442</v>
      </c>
      <c r="CC15" s="187">
        <f>Сун!C42</f>
        <v>3003</v>
      </c>
      <c r="CD15" s="187">
        <f>Сун!D42</f>
        <v>1251</v>
      </c>
      <c r="CE15" s="187">
        <f t="shared" ref="CE15:CE29" si="36">CD15/CC15*100</f>
        <v>41.658341658341655</v>
      </c>
      <c r="CF15" s="187">
        <f>Сун!C43</f>
        <v>0</v>
      </c>
      <c r="CG15" s="187">
        <f>Сун!D43</f>
        <v>0</v>
      </c>
      <c r="CH15" s="187" t="e">
        <f t="shared" ref="CH15:CH29" si="37">CG15/CF15*100</f>
        <v>#DIV/0!</v>
      </c>
      <c r="CI15" s="234">
        <f>Сун!C44</f>
        <v>4805.0308999999997</v>
      </c>
      <c r="CJ15" s="187">
        <f>Сун!D44</f>
        <v>538.78700000000003</v>
      </c>
      <c r="CK15" s="187">
        <f t="shared" si="7"/>
        <v>11.212976798962938</v>
      </c>
      <c r="CL15" s="187">
        <f>Сун!C46</f>
        <v>183.01900000000001</v>
      </c>
      <c r="CM15" s="187">
        <f>Сун!D46</f>
        <v>74.599000000000004</v>
      </c>
      <c r="CN15" s="187">
        <f t="shared" si="8"/>
        <v>40.76024893590283</v>
      </c>
      <c r="CO15" s="187">
        <f>Сун!C47</f>
        <v>360</v>
      </c>
      <c r="CP15" s="187">
        <f>Сун!D47</f>
        <v>0</v>
      </c>
      <c r="CQ15" s="187">
        <f>CP15/CO15*100</f>
        <v>0</v>
      </c>
      <c r="CR15" s="383">
        <f>Сун!C48</f>
        <v>369.05937</v>
      </c>
      <c r="CS15" s="187">
        <f>Сун!D48</f>
        <v>369.09088000000003</v>
      </c>
      <c r="CT15" s="187">
        <f t="shared" si="9"/>
        <v>100.00853792168995</v>
      </c>
      <c r="CU15" s="187"/>
      <c r="CV15" s="187"/>
      <c r="CW15" s="187"/>
      <c r="CX15" s="195"/>
      <c r="CY15" s="195"/>
      <c r="CZ15" s="187" t="e">
        <f t="shared" ref="CZ15:CZ29" si="38">CY15/CX15*100</f>
        <v>#DIV/0!</v>
      </c>
      <c r="DA15" s="187"/>
      <c r="DB15" s="187"/>
      <c r="DC15" s="187"/>
      <c r="DD15" s="187"/>
      <c r="DE15" s="187"/>
      <c r="DF15" s="187"/>
      <c r="DG15" s="188">
        <f>DJ15+DY15+EB15+EE15+EH15+EK15+EN15+EQ15+ET15</f>
        <v>13860.693949999999</v>
      </c>
      <c r="DH15" s="188">
        <f t="shared" ref="DG15:DH29" si="39">DK15+DZ15+EC15+EF15+EI15+EL15+EO15+ER15+EU15</f>
        <v>3715.0545600000005</v>
      </c>
      <c r="DI15" s="187">
        <f t="shared" ref="DI15:DI29" si="40">DH15/DG15*100</f>
        <v>26.802803477238601</v>
      </c>
      <c r="DJ15" s="195">
        <f>DM15+DP15+DS15+DV15</f>
        <v>1760.6429999999998</v>
      </c>
      <c r="DK15" s="195">
        <f t="shared" ref="DJ15:DK29" si="41">DN15+DQ15+DT15+DW15</f>
        <v>605.29217999999992</v>
      </c>
      <c r="DL15" s="187">
        <f t="shared" ref="DL15:DL29" si="42">DK15/DJ15*100</f>
        <v>34.37904106624682</v>
      </c>
      <c r="DM15" s="187">
        <f>Сун!C59</f>
        <v>1746.6</v>
      </c>
      <c r="DN15" s="187">
        <f>Сун!D59</f>
        <v>596.54967999999997</v>
      </c>
      <c r="DO15" s="187">
        <f t="shared" ref="DO15:DO29" si="43">DN15/DM15*100</f>
        <v>34.154911256154811</v>
      </c>
      <c r="DP15" s="187">
        <f>Сун!C62</f>
        <v>0</v>
      </c>
      <c r="DQ15" s="187">
        <f>Сун!D62</f>
        <v>0</v>
      </c>
      <c r="DR15" s="187" t="e">
        <f t="shared" ref="DR15:DR29" si="44">DQ15/DP15*100</f>
        <v>#DIV/0!</v>
      </c>
      <c r="DS15" s="187">
        <f>Сун!C63</f>
        <v>5</v>
      </c>
      <c r="DT15" s="187">
        <f>Сун!D63</f>
        <v>0</v>
      </c>
      <c r="DU15" s="187">
        <f t="shared" ref="DU15:DU29" si="45">DT15/DS15*100</f>
        <v>0</v>
      </c>
      <c r="DV15" s="187">
        <f>Сун!C64</f>
        <v>9.0429999999999993</v>
      </c>
      <c r="DW15" s="187">
        <f>Сун!D64</f>
        <v>8.7424999999999997</v>
      </c>
      <c r="DX15" s="187">
        <f t="shared" ref="DX15:DX29" si="46">DW15/DV15*100</f>
        <v>96.676987725312401</v>
      </c>
      <c r="DY15" s="187">
        <f>Сун!C66</f>
        <v>179.892</v>
      </c>
      <c r="DZ15" s="187">
        <f>Сун!D66</f>
        <v>59.920349999999999</v>
      </c>
      <c r="EA15" s="187">
        <f t="shared" ref="EA15:EA31" si="47">DZ15/DY15*100</f>
        <v>33.309068774598096</v>
      </c>
      <c r="EB15" s="187">
        <f>Сун!C67</f>
        <v>6.5</v>
      </c>
      <c r="EC15" s="187">
        <f>Сун!D67</f>
        <v>2.1</v>
      </c>
      <c r="ED15" s="187">
        <f t="shared" ref="ED15:ED31" si="48">EC15/EB15*100</f>
        <v>32.307692307692307</v>
      </c>
      <c r="EE15" s="195">
        <f>Сун!C73</f>
        <v>5093.1170399999992</v>
      </c>
      <c r="EF15" s="195">
        <f>Сун!D73</f>
        <v>1271.6328800000001</v>
      </c>
      <c r="EG15" s="187">
        <f t="shared" ref="EG15:EG29" si="49">EF15/EE15*100</f>
        <v>24.967674412602943</v>
      </c>
      <c r="EH15" s="195">
        <f>Сун!C78</f>
        <v>3804.2639100000001</v>
      </c>
      <c r="EI15" s="195">
        <f>Сун!D78</f>
        <v>482.24936000000002</v>
      </c>
      <c r="EJ15" s="187">
        <f t="shared" ref="EJ15:EJ29" si="50">EI15/EH15*100</f>
        <v>12.676548510011232</v>
      </c>
      <c r="EK15" s="195">
        <f>Сун!C83</f>
        <v>2987.1880000000001</v>
      </c>
      <c r="EL15" s="197">
        <f>Сун!D83</f>
        <v>1284.7697900000001</v>
      </c>
      <c r="EM15" s="187">
        <f t="shared" si="10"/>
        <v>43.009338213731439</v>
      </c>
      <c r="EN15" s="187">
        <f>Сун!C86</f>
        <v>0</v>
      </c>
      <c r="EO15" s="187">
        <f>Сун!D86</f>
        <v>0</v>
      </c>
      <c r="EP15" s="187" t="e">
        <f t="shared" si="11"/>
        <v>#DIV/0!</v>
      </c>
      <c r="EQ15" s="198">
        <f>Сун!C91</f>
        <v>29.09</v>
      </c>
      <c r="ER15" s="198">
        <f>Сун!D91</f>
        <v>9.09</v>
      </c>
      <c r="ES15" s="187">
        <f t="shared" ref="ES15:ES29" si="51">ER15/EQ15*100</f>
        <v>31.247851495359232</v>
      </c>
      <c r="ET15" s="187">
        <f>Сун!C97</f>
        <v>0</v>
      </c>
      <c r="EU15" s="187">
        <f>Сун!D97</f>
        <v>0</v>
      </c>
      <c r="EV15" s="184" t="e">
        <f>EU15/ET15*100</f>
        <v>#DIV/0!</v>
      </c>
      <c r="EW15" s="191">
        <f t="shared" si="12"/>
        <v>-1205.1446799999976</v>
      </c>
      <c r="EX15" s="191">
        <f t="shared" si="13"/>
        <v>-584.84593000000041</v>
      </c>
      <c r="EY15" s="184">
        <f>EX15/EW15*100%</f>
        <v>0.48529105235730002</v>
      </c>
      <c r="EZ15" s="192"/>
      <c r="FA15" s="193"/>
      <c r="FC15" s="193"/>
    </row>
    <row r="16" spans="1:159" s="169" customFormat="1" ht="15" customHeight="1">
      <c r="A16" s="181">
        <v>3</v>
      </c>
      <c r="B16" s="194" t="s">
        <v>305</v>
      </c>
      <c r="C16" s="418">
        <f t="shared" si="14"/>
        <v>9541.4677100000008</v>
      </c>
      <c r="D16" s="405">
        <f t="shared" si="0"/>
        <v>1713.4494799999998</v>
      </c>
      <c r="E16" s="187">
        <f t="shared" si="1"/>
        <v>17.957923582387721</v>
      </c>
      <c r="F16" s="185">
        <f t="shared" si="2"/>
        <v>2051.4749999999999</v>
      </c>
      <c r="G16" s="185">
        <f t="shared" si="3"/>
        <v>490.25148000000002</v>
      </c>
      <c r="H16" s="187">
        <f t="shared" si="15"/>
        <v>23.897511790297226</v>
      </c>
      <c r="I16" s="288">
        <f>Иль!C6</f>
        <v>100.23</v>
      </c>
      <c r="J16" s="289">
        <f>Иль!D6</f>
        <v>25.492940000000001</v>
      </c>
      <c r="K16" s="187">
        <f t="shared" si="16"/>
        <v>25.434440786191757</v>
      </c>
      <c r="L16" s="187">
        <f>Иль!C8</f>
        <v>224.26</v>
      </c>
      <c r="M16" s="187">
        <f>Иль!D8</f>
        <v>131.60480999999999</v>
      </c>
      <c r="N16" s="184">
        <f t="shared" si="17"/>
        <v>58.684031927227323</v>
      </c>
      <c r="O16" s="184">
        <f>Иль!C9</f>
        <v>2.4049999999999998</v>
      </c>
      <c r="P16" s="184">
        <f>Иль!D9</f>
        <v>0.98863999999999996</v>
      </c>
      <c r="Q16" s="184">
        <f t="shared" si="18"/>
        <v>41.107692307692311</v>
      </c>
      <c r="R16" s="184">
        <f>Иль!C10</f>
        <v>374.58</v>
      </c>
      <c r="S16" s="184">
        <f>Иль!D10</f>
        <v>182.65794</v>
      </c>
      <c r="T16" s="184">
        <f t="shared" si="19"/>
        <v>48.763399006887717</v>
      </c>
      <c r="U16" s="184">
        <f>Иль!C11</f>
        <v>0</v>
      </c>
      <c r="V16" s="380">
        <f>Иль!D11</f>
        <v>-23.933509999999998</v>
      </c>
      <c r="W16" s="184" t="e">
        <f t="shared" si="20"/>
        <v>#DIV/0!</v>
      </c>
      <c r="X16" s="195">
        <f>Иль!C13</f>
        <v>7</v>
      </c>
      <c r="Y16" s="195">
        <f>Иль!D13</f>
        <v>7.8484400000000001</v>
      </c>
      <c r="Z16" s="187">
        <f t="shared" si="21"/>
        <v>112.12057142857144</v>
      </c>
      <c r="AA16" s="195">
        <f>Иль!C15</f>
        <v>248</v>
      </c>
      <c r="AB16" s="379">
        <f>Иль!D15</f>
        <v>42.602229999999999</v>
      </c>
      <c r="AC16" s="187">
        <f t="shared" si="22"/>
        <v>17.178318548387097</v>
      </c>
      <c r="AD16" s="195">
        <f>Иль!C16</f>
        <v>810</v>
      </c>
      <c r="AE16" s="195">
        <f>Иль!D16</f>
        <v>60.019620000000003</v>
      </c>
      <c r="AF16" s="187">
        <f t="shared" si="4"/>
        <v>7.4098296296296304</v>
      </c>
      <c r="AG16" s="187">
        <f>Иль!C18</f>
        <v>5</v>
      </c>
      <c r="AH16" s="187">
        <f>Иль!D18</f>
        <v>2</v>
      </c>
      <c r="AI16" s="187">
        <f t="shared" si="23"/>
        <v>40</v>
      </c>
      <c r="AJ16" s="187"/>
      <c r="AK16" s="187"/>
      <c r="AL16" s="187" t="e">
        <f t="shared" si="5"/>
        <v>#DIV/0!</v>
      </c>
      <c r="AM16" s="195">
        <f>Иль!C27</f>
        <v>0</v>
      </c>
      <c r="AN16" s="195">
        <f>Иль!D27</f>
        <v>0</v>
      </c>
      <c r="AO16" s="187" t="e">
        <f t="shared" si="6"/>
        <v>#DIV/0!</v>
      </c>
      <c r="AP16" s="195">
        <f>Иль!C28</f>
        <v>200</v>
      </c>
      <c r="AQ16" s="397">
        <f>Иль!D28</f>
        <v>15.16</v>
      </c>
      <c r="AR16" s="187">
        <f t="shared" si="24"/>
        <v>7.580000000000001</v>
      </c>
      <c r="AS16" s="188">
        <f>Иль!C29</f>
        <v>20</v>
      </c>
      <c r="AT16" s="378">
        <f>Иль!D29</f>
        <v>23.790749999999999</v>
      </c>
      <c r="AU16" s="187">
        <f t="shared" si="25"/>
        <v>118.95374999999999</v>
      </c>
      <c r="AV16" s="195"/>
      <c r="AW16" s="195"/>
      <c r="AX16" s="187" t="e">
        <f t="shared" si="26"/>
        <v>#DIV/0!</v>
      </c>
      <c r="AY16" s="187">
        <f>Иль!C30</f>
        <v>60</v>
      </c>
      <c r="AZ16" s="224">
        <f>Иль!D30</f>
        <v>20.042619999999999</v>
      </c>
      <c r="BA16" s="187">
        <f t="shared" si="27"/>
        <v>33.404366666666668</v>
      </c>
      <c r="BB16" s="187"/>
      <c r="BC16" s="187"/>
      <c r="BD16" s="187"/>
      <c r="BE16" s="187">
        <f>Иль!C34</f>
        <v>0</v>
      </c>
      <c r="BF16" s="187">
        <f>Иль!D34</f>
        <v>0</v>
      </c>
      <c r="BG16" s="187" t="e">
        <f t="shared" si="28"/>
        <v>#DIV/0!</v>
      </c>
      <c r="BH16" s="187"/>
      <c r="BI16" s="187"/>
      <c r="BJ16" s="187" t="e">
        <f t="shared" si="29"/>
        <v>#DIV/0!</v>
      </c>
      <c r="BK16" s="187"/>
      <c r="BL16" s="187"/>
      <c r="BM16" s="187"/>
      <c r="BN16" s="187"/>
      <c r="BO16" s="353">
        <f>Иль!D35</f>
        <v>0</v>
      </c>
      <c r="BP16" s="187" t="e">
        <f t="shared" si="30"/>
        <v>#DIV/0!</v>
      </c>
      <c r="BQ16" s="187">
        <v>0</v>
      </c>
      <c r="BR16" s="187">
        <f>Иль!D37</f>
        <v>1.9770000000000001</v>
      </c>
      <c r="BS16" s="187" t="e">
        <f t="shared" si="31"/>
        <v>#DIV/0!</v>
      </c>
      <c r="BT16" s="187"/>
      <c r="BU16" s="187"/>
      <c r="BV16" s="196" t="e">
        <f t="shared" si="32"/>
        <v>#DIV/0!</v>
      </c>
      <c r="BW16" s="196"/>
      <c r="BX16" s="196"/>
      <c r="BY16" s="196" t="e">
        <f t="shared" si="33"/>
        <v>#DIV/0!</v>
      </c>
      <c r="BZ16" s="186">
        <f>CC16+CF16+CI16+CL16+CR16+CO16</f>
        <v>7489.9927100000014</v>
      </c>
      <c r="CA16" s="186">
        <f t="shared" si="35"/>
        <v>1223.1979999999999</v>
      </c>
      <c r="CB16" s="187">
        <f>CA16/BZ16*100</f>
        <v>16.331097336942531</v>
      </c>
      <c r="CC16" s="187">
        <f>Иль!C42</f>
        <v>1759.1</v>
      </c>
      <c r="CD16" s="187">
        <f>Иль!D42</f>
        <v>732.96</v>
      </c>
      <c r="CE16" s="187">
        <f t="shared" si="36"/>
        <v>41.666761412085727</v>
      </c>
      <c r="CF16" s="187">
        <f>Иль!C43</f>
        <v>351.6</v>
      </c>
      <c r="CG16" s="187">
        <f>Иль!D43</f>
        <v>60</v>
      </c>
      <c r="CH16" s="187">
        <f t="shared" si="37"/>
        <v>17.064846416382252</v>
      </c>
      <c r="CI16" s="184">
        <f>Иль!C44</f>
        <v>3964.4985700000002</v>
      </c>
      <c r="CJ16" s="187">
        <f>Иль!D44</f>
        <v>220</v>
      </c>
      <c r="CK16" s="187">
        <f t="shared" si="7"/>
        <v>5.5492515917340839</v>
      </c>
      <c r="CL16" s="187">
        <f>Иль!C46</f>
        <v>181.08199999999999</v>
      </c>
      <c r="CM16" s="187">
        <f>Иль!D46</f>
        <v>74.599000000000004</v>
      </c>
      <c r="CN16" s="187">
        <f t="shared" si="8"/>
        <v>41.19625363095173</v>
      </c>
      <c r="CO16" s="187">
        <f>Иль!C47</f>
        <v>931.37527999999998</v>
      </c>
      <c r="CP16" s="187">
        <f>Иль!D47</f>
        <v>0</v>
      </c>
      <c r="CQ16" s="187"/>
      <c r="CR16" s="383">
        <f>Иль!C51</f>
        <v>302.33686</v>
      </c>
      <c r="CS16" s="187">
        <f>Иль!D51</f>
        <v>135.63900000000001</v>
      </c>
      <c r="CT16" s="187">
        <f t="shared" si="9"/>
        <v>44.86353400640597</v>
      </c>
      <c r="CU16" s="187"/>
      <c r="CV16" s="187"/>
      <c r="CW16" s="187"/>
      <c r="CX16" s="195"/>
      <c r="CY16" s="195"/>
      <c r="CZ16" s="187" t="e">
        <f t="shared" si="38"/>
        <v>#DIV/0!</v>
      </c>
      <c r="DA16" s="187"/>
      <c r="DB16" s="187"/>
      <c r="DC16" s="187"/>
      <c r="DD16" s="187"/>
      <c r="DE16" s="187"/>
      <c r="DF16" s="187">
        <v>0</v>
      </c>
      <c r="DG16" s="188">
        <f t="shared" si="39"/>
        <v>10055.399889999999</v>
      </c>
      <c r="DH16" s="188">
        <f t="shared" si="39"/>
        <v>1746.7328399999999</v>
      </c>
      <c r="DI16" s="187">
        <f t="shared" si="40"/>
        <v>17.371092737317284</v>
      </c>
      <c r="DJ16" s="195">
        <f t="shared" si="41"/>
        <v>1261.7510000000002</v>
      </c>
      <c r="DK16" s="195">
        <f t="shared" si="41"/>
        <v>438.66391999999996</v>
      </c>
      <c r="DL16" s="187">
        <f t="shared" si="42"/>
        <v>34.766282729318213</v>
      </c>
      <c r="DM16" s="187">
        <f>Иль!C59</f>
        <v>1247.4000000000001</v>
      </c>
      <c r="DN16" s="187">
        <f>Иль!D59</f>
        <v>434.91291999999999</v>
      </c>
      <c r="DO16" s="187">
        <f t="shared" si="43"/>
        <v>34.865553952220615</v>
      </c>
      <c r="DP16" s="187">
        <f>Иль!C62</f>
        <v>0</v>
      </c>
      <c r="DQ16" s="187">
        <f>Иль!D62</f>
        <v>0</v>
      </c>
      <c r="DR16" s="187" t="e">
        <f t="shared" si="44"/>
        <v>#DIV/0!</v>
      </c>
      <c r="DS16" s="187">
        <f>Иль!C63</f>
        <v>5</v>
      </c>
      <c r="DT16" s="187">
        <f>Иль!D63</f>
        <v>0</v>
      </c>
      <c r="DU16" s="187">
        <f t="shared" si="45"/>
        <v>0</v>
      </c>
      <c r="DV16" s="187">
        <f>Иль!C64</f>
        <v>9.3510000000000009</v>
      </c>
      <c r="DW16" s="187">
        <f>Иль!D64</f>
        <v>3.7509999999999999</v>
      </c>
      <c r="DX16" s="187">
        <f t="shared" si="46"/>
        <v>40.113356860228848</v>
      </c>
      <c r="DY16" s="187">
        <f>Иль!C66</f>
        <v>179.892</v>
      </c>
      <c r="DZ16" s="187">
        <f>Иль!D66</f>
        <v>64.430999999999997</v>
      </c>
      <c r="EA16" s="187">
        <f t="shared" si="47"/>
        <v>35.816489893936357</v>
      </c>
      <c r="EB16" s="187">
        <f>Иль!C67</f>
        <v>6</v>
      </c>
      <c r="EC16" s="187">
        <f>Иль!D67</f>
        <v>4</v>
      </c>
      <c r="ED16" s="187">
        <f t="shared" si="48"/>
        <v>66.666666666666657</v>
      </c>
      <c r="EE16" s="195">
        <f>Иль!C73</f>
        <v>6019.4492899999996</v>
      </c>
      <c r="EF16" s="195">
        <f>Иль!D73</f>
        <v>284.15999999999997</v>
      </c>
      <c r="EG16" s="187">
        <f t="shared" si="49"/>
        <v>4.7206976304637998</v>
      </c>
      <c r="EH16" s="195">
        <f>Иль!C80</f>
        <v>686.98860000000002</v>
      </c>
      <c r="EI16" s="195">
        <f>Иль!D80</f>
        <v>171.94766000000001</v>
      </c>
      <c r="EJ16" s="187">
        <f t="shared" si="50"/>
        <v>25.029186801644158</v>
      </c>
      <c r="EK16" s="195">
        <f>Иль!C84</f>
        <v>1849.319</v>
      </c>
      <c r="EL16" s="197">
        <f>Иль!D84</f>
        <v>783.53026</v>
      </c>
      <c r="EM16" s="187">
        <f t="shared" si="10"/>
        <v>42.368583246048949</v>
      </c>
      <c r="EN16" s="187">
        <f>Иль!C86</f>
        <v>0</v>
      </c>
      <c r="EO16" s="187">
        <f>Иль!D86</f>
        <v>0</v>
      </c>
      <c r="EP16" s="187" t="e">
        <f t="shared" si="11"/>
        <v>#DIV/0!</v>
      </c>
      <c r="EQ16" s="198">
        <f>Иль!C91</f>
        <v>52</v>
      </c>
      <c r="ER16" s="198">
        <f>Иль!D91</f>
        <v>0</v>
      </c>
      <c r="ES16" s="187">
        <f t="shared" si="51"/>
        <v>0</v>
      </c>
      <c r="ET16" s="187">
        <f>Иль!C97</f>
        <v>0</v>
      </c>
      <c r="EU16" s="187">
        <f>Иль!D97</f>
        <v>0</v>
      </c>
      <c r="EV16" s="184" t="e">
        <f t="shared" ref="EV16:EV29" si="52">EU16/ET16*100</f>
        <v>#DIV/0!</v>
      </c>
      <c r="EW16" s="191">
        <f t="shared" si="12"/>
        <v>-513.93217999999797</v>
      </c>
      <c r="EX16" s="191">
        <f t="shared" si="13"/>
        <v>-33.28336000000013</v>
      </c>
      <c r="EY16" s="184">
        <f>EX16/EW16*100</f>
        <v>6.4762163754758966</v>
      </c>
      <c r="EZ16" s="192"/>
      <c r="FA16" s="193"/>
      <c r="FC16" s="193"/>
    </row>
    <row r="17" spans="1:170" s="169" customFormat="1" ht="15" customHeight="1">
      <c r="A17" s="181">
        <v>4</v>
      </c>
      <c r="B17" s="194" t="s">
        <v>306</v>
      </c>
      <c r="C17" s="418">
        <f t="shared" si="14"/>
        <v>9023.2805799999987</v>
      </c>
      <c r="D17" s="405">
        <f t="shared" si="0"/>
        <v>1968.81241</v>
      </c>
      <c r="E17" s="187">
        <f t="shared" si="1"/>
        <v>21.819252904136118</v>
      </c>
      <c r="F17" s="185">
        <f t="shared" si="2"/>
        <v>4420.4909999999991</v>
      </c>
      <c r="G17" s="185">
        <f t="shared" si="3"/>
        <v>1073.9534099999998</v>
      </c>
      <c r="H17" s="187">
        <f t="shared" si="15"/>
        <v>24.294889640087494</v>
      </c>
      <c r="I17" s="195">
        <f>Кад!C6</f>
        <v>452.03100000000001</v>
      </c>
      <c r="J17" s="188">
        <f>Кад!D6</f>
        <v>172.22501</v>
      </c>
      <c r="K17" s="187">
        <f t="shared" si="16"/>
        <v>38.100265247294985</v>
      </c>
      <c r="L17" s="187">
        <f>Кад!C8</f>
        <v>266.87</v>
      </c>
      <c r="M17" s="187">
        <f>Кад!D8</f>
        <v>156.60491999999999</v>
      </c>
      <c r="N17" s="184">
        <f t="shared" si="17"/>
        <v>58.682099898827147</v>
      </c>
      <c r="O17" s="184">
        <f>Кад!C9</f>
        <v>2.86</v>
      </c>
      <c r="P17" s="184">
        <f>Кад!D9</f>
        <v>1.1764699999999999</v>
      </c>
      <c r="Q17" s="184">
        <f t="shared" si="18"/>
        <v>41.135314685314682</v>
      </c>
      <c r="R17" s="184">
        <f>Кад!C10</f>
        <v>445.73</v>
      </c>
      <c r="S17" s="184">
        <f>Кад!D10</f>
        <v>217.35640000000001</v>
      </c>
      <c r="T17" s="184">
        <f t="shared" si="19"/>
        <v>48.764139725842995</v>
      </c>
      <c r="U17" s="184">
        <f>Кад!C11</f>
        <v>0</v>
      </c>
      <c r="V17" s="380">
        <f>Кад!D11</f>
        <v>-28.48</v>
      </c>
      <c r="W17" s="184" t="e">
        <f t="shared" si="20"/>
        <v>#DIV/0!</v>
      </c>
      <c r="X17" s="195">
        <f>Кад!C13</f>
        <v>50</v>
      </c>
      <c r="Y17" s="195">
        <f>Кад!D13</f>
        <v>26.8843</v>
      </c>
      <c r="Z17" s="187">
        <f t="shared" si="21"/>
        <v>53.768599999999999</v>
      </c>
      <c r="AA17" s="195">
        <f>Кад!C15</f>
        <v>338</v>
      </c>
      <c r="AB17" s="379">
        <f>Кад!D15</f>
        <v>36.567920000000001</v>
      </c>
      <c r="AC17" s="187">
        <f t="shared" si="22"/>
        <v>10.81891124260355</v>
      </c>
      <c r="AD17" s="195">
        <f>Кад!C16</f>
        <v>2800</v>
      </c>
      <c r="AE17" s="195">
        <f>Кад!D16</f>
        <v>366.60602999999998</v>
      </c>
      <c r="AF17" s="187">
        <f t="shared" si="4"/>
        <v>13.0930725</v>
      </c>
      <c r="AG17" s="187">
        <f>Кад!C18</f>
        <v>25</v>
      </c>
      <c r="AH17" s="187">
        <f>Кад!D18</f>
        <v>9.3000000000000007</v>
      </c>
      <c r="AI17" s="187">
        <f t="shared" si="23"/>
        <v>37.200000000000003</v>
      </c>
      <c r="AJ17" s="187"/>
      <c r="AK17" s="187"/>
      <c r="AL17" s="187" t="e">
        <f t="shared" si="5"/>
        <v>#DIV/0!</v>
      </c>
      <c r="AM17" s="195">
        <v>0</v>
      </c>
      <c r="AN17" s="195">
        <v>0</v>
      </c>
      <c r="AO17" s="187" t="e">
        <f t="shared" si="6"/>
        <v>#DIV/0!</v>
      </c>
      <c r="AP17" s="195">
        <f>Кад!C27</f>
        <v>40</v>
      </c>
      <c r="AQ17" s="397">
        <f>Кад!D27</f>
        <v>88.280379999999994</v>
      </c>
      <c r="AR17" s="187">
        <f t="shared" si="24"/>
        <v>220.70094999999998</v>
      </c>
      <c r="AS17" s="188">
        <f>Кад!C28</f>
        <v>0</v>
      </c>
      <c r="AT17" s="378">
        <f>Кад!D28</f>
        <v>0</v>
      </c>
      <c r="AU17" s="187" t="e">
        <f t="shared" si="25"/>
        <v>#DIV/0!</v>
      </c>
      <c r="AV17" s="195"/>
      <c r="AW17" s="195"/>
      <c r="AX17" s="187" t="e">
        <f t="shared" si="26"/>
        <v>#DIV/0!</v>
      </c>
      <c r="AY17" s="187">
        <f>Кад!C30</f>
        <v>0</v>
      </c>
      <c r="AZ17" s="224">
        <f>Кад!D30</f>
        <v>27.431979999999999</v>
      </c>
      <c r="BA17" s="187" t="e">
        <f t="shared" si="27"/>
        <v>#DIV/0!</v>
      </c>
      <c r="BB17" s="187"/>
      <c r="BC17" s="187"/>
      <c r="BD17" s="187"/>
      <c r="BE17" s="187">
        <f>Кад!C33</f>
        <v>0</v>
      </c>
      <c r="BF17" s="187">
        <f>Кад!D33</f>
        <v>0</v>
      </c>
      <c r="BG17" s="187" t="e">
        <f t="shared" si="28"/>
        <v>#DIV/0!</v>
      </c>
      <c r="BH17" s="187"/>
      <c r="BI17" s="187"/>
      <c r="BJ17" s="187" t="e">
        <f t="shared" si="29"/>
        <v>#DIV/0!</v>
      </c>
      <c r="BK17" s="187"/>
      <c r="BL17" s="187"/>
      <c r="BM17" s="187"/>
      <c r="BN17" s="187"/>
      <c r="BO17" s="353">
        <f>Кад!D34</f>
        <v>0</v>
      </c>
      <c r="BP17" s="187" t="e">
        <f t="shared" si="30"/>
        <v>#DIV/0!</v>
      </c>
      <c r="BQ17" s="187">
        <f>Кад!C36</f>
        <v>0</v>
      </c>
      <c r="BR17" s="187">
        <f>Кад!D36</f>
        <v>0</v>
      </c>
      <c r="BS17" s="187" t="e">
        <f t="shared" si="31"/>
        <v>#DIV/0!</v>
      </c>
      <c r="BT17" s="187"/>
      <c r="BU17" s="187"/>
      <c r="BV17" s="196" t="e">
        <f t="shared" si="32"/>
        <v>#DIV/0!</v>
      </c>
      <c r="BW17" s="196"/>
      <c r="BX17" s="196"/>
      <c r="BY17" s="196" t="e">
        <f t="shared" si="33"/>
        <v>#DIV/0!</v>
      </c>
      <c r="BZ17" s="186">
        <f t="shared" si="34"/>
        <v>4602.7895800000006</v>
      </c>
      <c r="CA17" s="186">
        <f t="shared" si="35"/>
        <v>894.85900000000004</v>
      </c>
      <c r="CB17" s="187">
        <f>CA17/BZ17*100</f>
        <v>19.441666503468532</v>
      </c>
      <c r="CC17" s="187">
        <v>1101.0999999999999</v>
      </c>
      <c r="CD17" s="187">
        <f>Кад!D41</f>
        <v>458.79</v>
      </c>
      <c r="CE17" s="187">
        <f t="shared" si="36"/>
        <v>41.666515302878942</v>
      </c>
      <c r="CF17" s="187">
        <v>50</v>
      </c>
      <c r="CG17" s="187">
        <f>Кад!D42</f>
        <v>0</v>
      </c>
      <c r="CH17" s="187">
        <f t="shared" si="37"/>
        <v>0</v>
      </c>
      <c r="CI17" s="184">
        <f>Кад!C43</f>
        <v>2973.0091900000002</v>
      </c>
      <c r="CJ17" s="187">
        <f>Кад!D43</f>
        <v>361.47</v>
      </c>
      <c r="CK17" s="187">
        <f t="shared" si="7"/>
        <v>12.158388249045405</v>
      </c>
      <c r="CL17" s="187">
        <f>Кад!C45</f>
        <v>182.38900000000001</v>
      </c>
      <c r="CM17" s="187">
        <f>Кад!D45</f>
        <v>74.599000000000004</v>
      </c>
      <c r="CN17" s="187">
        <f t="shared" si="8"/>
        <v>40.901041181211582</v>
      </c>
      <c r="CO17" s="187">
        <f>Кад!C46</f>
        <v>293.8</v>
      </c>
      <c r="CP17" s="187"/>
      <c r="CQ17" s="187"/>
      <c r="CR17" s="383">
        <f>Кад!C47</f>
        <v>2.49139</v>
      </c>
      <c r="CS17" s="187">
        <f>Кад!D47</f>
        <v>0</v>
      </c>
      <c r="CT17" s="187">
        <f t="shared" si="9"/>
        <v>0</v>
      </c>
      <c r="CU17" s="187"/>
      <c r="CV17" s="187"/>
      <c r="CW17" s="187"/>
      <c r="CX17" s="195"/>
      <c r="CY17" s="195"/>
      <c r="CZ17" s="187" t="e">
        <f t="shared" si="38"/>
        <v>#DIV/0!</v>
      </c>
      <c r="DA17" s="187"/>
      <c r="DB17" s="187"/>
      <c r="DC17" s="187"/>
      <c r="DD17" s="187"/>
      <c r="DE17" s="187"/>
      <c r="DF17" s="187"/>
      <c r="DG17" s="188">
        <f t="shared" si="39"/>
        <v>9929.6661299999996</v>
      </c>
      <c r="DH17" s="188">
        <f t="shared" si="39"/>
        <v>2517.5669499999999</v>
      </c>
      <c r="DI17" s="187">
        <f t="shared" si="40"/>
        <v>25.35399395145625</v>
      </c>
      <c r="DJ17" s="195">
        <f t="shared" si="41"/>
        <v>1662.1209999999999</v>
      </c>
      <c r="DK17" s="195">
        <f t="shared" si="41"/>
        <v>561.33646999999996</v>
      </c>
      <c r="DL17" s="187">
        <f t="shared" si="42"/>
        <v>33.772298767658917</v>
      </c>
      <c r="DM17" s="187">
        <f>Кад!C57</f>
        <v>1582.0709999999999</v>
      </c>
      <c r="DN17" s="187">
        <f>Кад!D57</f>
        <v>506.28647000000001</v>
      </c>
      <c r="DO17" s="187">
        <f t="shared" si="43"/>
        <v>32.001501196848942</v>
      </c>
      <c r="DP17" s="187">
        <f>Кад!C60</f>
        <v>0</v>
      </c>
      <c r="DQ17" s="187">
        <f>Кад!D60</f>
        <v>0</v>
      </c>
      <c r="DR17" s="187" t="e">
        <f t="shared" si="44"/>
        <v>#DIV/0!</v>
      </c>
      <c r="DS17" s="187">
        <f>Кад!C61</f>
        <v>5</v>
      </c>
      <c r="DT17" s="187">
        <f>Кад!D61</f>
        <v>0</v>
      </c>
      <c r="DU17" s="187">
        <f t="shared" si="45"/>
        <v>0</v>
      </c>
      <c r="DV17" s="187">
        <f>Кад!C62</f>
        <v>75.05</v>
      </c>
      <c r="DW17" s="187">
        <f>Кад!D62</f>
        <v>55.05</v>
      </c>
      <c r="DX17" s="187">
        <f t="shared" si="46"/>
        <v>73.351099267155234</v>
      </c>
      <c r="DY17" s="187">
        <f>Кад!C64</f>
        <v>179.892</v>
      </c>
      <c r="DZ17" s="187">
        <f>Кад!D64</f>
        <v>63.89837</v>
      </c>
      <c r="EA17" s="187">
        <f t="shared" si="47"/>
        <v>35.52040668845752</v>
      </c>
      <c r="EB17" s="187">
        <f>Кад!C65</f>
        <v>6.8</v>
      </c>
      <c r="EC17" s="187">
        <f>Кад!D65</f>
        <v>0.6</v>
      </c>
      <c r="ED17" s="187">
        <f t="shared" si="48"/>
        <v>8.8235294117647065</v>
      </c>
      <c r="EE17" s="195">
        <f>Кад!C71</f>
        <v>4768.7961299999997</v>
      </c>
      <c r="EF17" s="195">
        <f>Кад!D71</f>
        <v>780.98067000000003</v>
      </c>
      <c r="EG17" s="187">
        <f t="shared" si="49"/>
        <v>16.376893637514339</v>
      </c>
      <c r="EH17" s="195">
        <f>Кад!C76</f>
        <v>1023.457</v>
      </c>
      <c r="EI17" s="195">
        <f>Кад!D76</f>
        <v>543.75144</v>
      </c>
      <c r="EJ17" s="187">
        <f t="shared" si="50"/>
        <v>53.128899406618935</v>
      </c>
      <c r="EK17" s="195">
        <f>Кад!C80</f>
        <v>2287.6</v>
      </c>
      <c r="EL17" s="197">
        <f>Кад!D80</f>
        <v>567</v>
      </c>
      <c r="EM17" s="187">
        <f t="shared" si="10"/>
        <v>24.785801713586292</v>
      </c>
      <c r="EN17" s="187">
        <f>Кад!C82</f>
        <v>0</v>
      </c>
      <c r="EO17" s="187">
        <f>Кад!D82</f>
        <v>0</v>
      </c>
      <c r="EP17" s="187" t="e">
        <f t="shared" si="11"/>
        <v>#DIV/0!</v>
      </c>
      <c r="EQ17" s="198">
        <f>Кад!C87</f>
        <v>1</v>
      </c>
      <c r="ER17" s="198">
        <f>Кад!D87</f>
        <v>0</v>
      </c>
      <c r="ES17" s="187">
        <f t="shared" si="51"/>
        <v>0</v>
      </c>
      <c r="ET17" s="187">
        <f>Кад!C93</f>
        <v>0</v>
      </c>
      <c r="EU17" s="187">
        <f>Кад!D93</f>
        <v>0</v>
      </c>
      <c r="EV17" s="184" t="e">
        <f t="shared" si="52"/>
        <v>#DIV/0!</v>
      </c>
      <c r="EW17" s="191">
        <f t="shared" si="12"/>
        <v>-906.38555000000088</v>
      </c>
      <c r="EX17" s="191">
        <f t="shared" si="13"/>
        <v>-548.75453999999991</v>
      </c>
      <c r="EY17" s="184">
        <f>EX17/EW17*100</f>
        <v>60.543169515445094</v>
      </c>
      <c r="EZ17" s="192"/>
      <c r="FA17" s="193"/>
      <c r="FC17" s="193"/>
    </row>
    <row r="18" spans="1:170" s="231" customFormat="1" ht="15" customHeight="1">
      <c r="A18" s="222">
        <v>5</v>
      </c>
      <c r="B18" s="223" t="s">
        <v>307</v>
      </c>
      <c r="C18" s="419">
        <f t="shared" si="14"/>
        <v>19010.652040000001</v>
      </c>
      <c r="D18" s="406">
        <f t="shared" si="0"/>
        <v>4212.6260600000005</v>
      </c>
      <c r="E18" s="224">
        <f t="shared" si="1"/>
        <v>22.159292859267968</v>
      </c>
      <c r="F18" s="225">
        <f t="shared" si="2"/>
        <v>4744.2569999999996</v>
      </c>
      <c r="G18" s="225">
        <f t="shared" si="3"/>
        <v>1433.2573</v>
      </c>
      <c r="H18" s="224">
        <f t="shared" si="15"/>
        <v>30.210363814607856</v>
      </c>
      <c r="I18" s="289">
        <f>Мор!C6</f>
        <v>1755.837</v>
      </c>
      <c r="J18" s="289">
        <f>Мор!D6</f>
        <v>681.80624</v>
      </c>
      <c r="K18" s="224">
        <f t="shared" si="16"/>
        <v>38.830839081304248</v>
      </c>
      <c r="L18" s="224">
        <f>Мор!C8</f>
        <v>131.83000000000001</v>
      </c>
      <c r="M18" s="224">
        <f>Мор!D8</f>
        <v>77.359070000000003</v>
      </c>
      <c r="N18" s="224">
        <f t="shared" si="17"/>
        <v>58.680929985587497</v>
      </c>
      <c r="O18" s="224">
        <f>Мор!C9</f>
        <v>1.41</v>
      </c>
      <c r="P18" s="224">
        <f>Мор!D9</f>
        <v>0.58115000000000006</v>
      </c>
      <c r="Q18" s="224">
        <f t="shared" si="18"/>
        <v>41.2163120567376</v>
      </c>
      <c r="R18" s="224">
        <f>Мор!C10</f>
        <v>220.18</v>
      </c>
      <c r="S18" s="224">
        <f>Мор!D10</f>
        <v>107.36883</v>
      </c>
      <c r="T18" s="224">
        <f t="shared" si="19"/>
        <v>48.764115723498961</v>
      </c>
      <c r="U18" s="224">
        <f>Мор!C11</f>
        <v>0</v>
      </c>
      <c r="V18" s="381">
        <f>Мор!D11</f>
        <v>-14.068429999999999</v>
      </c>
      <c r="W18" s="224" t="e">
        <f t="shared" si="20"/>
        <v>#DIV/0!</v>
      </c>
      <c r="X18" s="188">
        <f>Мор!C13</f>
        <v>75</v>
      </c>
      <c r="Y18" s="188">
        <f>Мор!D13</f>
        <v>74.869280000000003</v>
      </c>
      <c r="Z18" s="224">
        <f t="shared" si="21"/>
        <v>99.825706666666676</v>
      </c>
      <c r="AA18" s="188">
        <f>Мор!C15</f>
        <v>900</v>
      </c>
      <c r="AB18" s="379">
        <f>Мор!D15</f>
        <v>73.839669999999998</v>
      </c>
      <c r="AC18" s="224">
        <f t="shared" si="22"/>
        <v>8.204407777777778</v>
      </c>
      <c r="AD18" s="188">
        <f>Мор!C16</f>
        <v>1660</v>
      </c>
      <c r="AE18" s="188">
        <f>Мор!D16</f>
        <v>431.50148999999999</v>
      </c>
      <c r="AF18" s="224">
        <f t="shared" si="4"/>
        <v>25.994065662650602</v>
      </c>
      <c r="AG18" s="224">
        <f>Мор!C18</f>
        <v>0</v>
      </c>
      <c r="AH18" s="224">
        <f>Мор!D18</f>
        <v>0</v>
      </c>
      <c r="AI18" s="224" t="e">
        <f t="shared" si="23"/>
        <v>#DIV/0!</v>
      </c>
      <c r="AJ18" s="224">
        <f>Мор!C22</f>
        <v>0</v>
      </c>
      <c r="AK18" s="224">
        <f>Мор!D22</f>
        <v>0</v>
      </c>
      <c r="AL18" s="224" t="e">
        <f t="shared" si="5"/>
        <v>#DIV/0!</v>
      </c>
      <c r="AM18" s="188">
        <v>0</v>
      </c>
      <c r="AN18" s="188"/>
      <c r="AO18" s="224" t="e">
        <f t="shared" si="6"/>
        <v>#DIV/0!</v>
      </c>
      <c r="AP18" s="188">
        <f>Мор!C27</f>
        <v>0</v>
      </c>
      <c r="AQ18" s="397">
        <f>Мор!D27</f>
        <v>0</v>
      </c>
      <c r="AR18" s="224" t="e">
        <f t="shared" si="24"/>
        <v>#DIV/0!</v>
      </c>
      <c r="AS18" s="188">
        <f>Мор!C28</f>
        <v>0</v>
      </c>
      <c r="AT18" s="379">
        <f>Мор!D28</f>
        <v>0</v>
      </c>
      <c r="AU18" s="224" t="e">
        <f t="shared" si="25"/>
        <v>#DIV/0!</v>
      </c>
      <c r="AV18" s="188"/>
      <c r="AW18" s="188"/>
      <c r="AX18" s="224" t="e">
        <f t="shared" si="26"/>
        <v>#DIV/0!</v>
      </c>
      <c r="AY18" s="224">
        <f>Мор!C29</f>
        <v>0</v>
      </c>
      <c r="AZ18" s="224">
        <f>Мор!D29</f>
        <v>0</v>
      </c>
      <c r="BA18" s="224" t="e">
        <f t="shared" si="27"/>
        <v>#DIV/0!</v>
      </c>
      <c r="BB18" s="224"/>
      <c r="BC18" s="224"/>
      <c r="BD18" s="224"/>
      <c r="BE18" s="224">
        <f>Мор!C33</f>
        <v>0</v>
      </c>
      <c r="BF18" s="224">
        <f>Мор!D33</f>
        <v>0</v>
      </c>
      <c r="BG18" s="224" t="e">
        <f>Мор!E33</f>
        <v>#DIV/0!</v>
      </c>
      <c r="BH18" s="224">
        <f>Мор!F33</f>
        <v>0</v>
      </c>
      <c r="BI18" s="224">
        <f>Мор!G33</f>
        <v>0</v>
      </c>
      <c r="BJ18" s="224">
        <f>Мор!H33</f>
        <v>0</v>
      </c>
      <c r="BK18" s="224">
        <f>Мор!I33</f>
        <v>0</v>
      </c>
      <c r="BL18" s="224">
        <f>Мор!J33</f>
        <v>0</v>
      </c>
      <c r="BM18" s="224">
        <f>Мор!K33</f>
        <v>0</v>
      </c>
      <c r="BN18" s="224">
        <f>Мор!C35</f>
        <v>0</v>
      </c>
      <c r="BO18" s="354">
        <f>Мор!D34</f>
        <v>0</v>
      </c>
      <c r="BP18" s="224" t="e">
        <f t="shared" si="30"/>
        <v>#DIV/0!</v>
      </c>
      <c r="BQ18" s="224">
        <f>Мор!C36</f>
        <v>0</v>
      </c>
      <c r="BR18" s="224">
        <f>Мор!D36</f>
        <v>0</v>
      </c>
      <c r="BS18" s="224" t="e">
        <f t="shared" si="31"/>
        <v>#DIV/0!</v>
      </c>
      <c r="BT18" s="224"/>
      <c r="BU18" s="224"/>
      <c r="BV18" s="226" t="e">
        <f t="shared" si="32"/>
        <v>#DIV/0!</v>
      </c>
      <c r="BW18" s="226"/>
      <c r="BX18" s="226"/>
      <c r="BY18" s="226" t="e">
        <f t="shared" si="33"/>
        <v>#DIV/0!</v>
      </c>
      <c r="BZ18" s="188">
        <f t="shared" si="34"/>
        <v>14266.395040000001</v>
      </c>
      <c r="CA18" s="186">
        <f t="shared" si="35"/>
        <v>2779.3687600000003</v>
      </c>
      <c r="CB18" s="224">
        <f t="shared" ref="CB18:CB31" si="53">CA18/BZ18*100</f>
        <v>19.481927650308499</v>
      </c>
      <c r="CC18" s="224">
        <f>Мор!C41</f>
        <v>4687.5</v>
      </c>
      <c r="CD18" s="224">
        <f>Мор!D41</f>
        <v>1953.125</v>
      </c>
      <c r="CE18" s="224">
        <f t="shared" si="36"/>
        <v>41.666666666666671</v>
      </c>
      <c r="CF18" s="224">
        <f>Мор!C42</f>
        <v>0</v>
      </c>
      <c r="CG18" s="224">
        <f>Мор!D42</f>
        <v>0</v>
      </c>
      <c r="CH18" s="224" t="e">
        <f t="shared" si="37"/>
        <v>#DIV/0!</v>
      </c>
      <c r="CI18" s="224">
        <f>Мор!C43</f>
        <v>9100.4907500000008</v>
      </c>
      <c r="CJ18" s="224">
        <f>Мор!D43</f>
        <v>380.34399999999999</v>
      </c>
      <c r="CK18" s="224">
        <f t="shared" si="7"/>
        <v>4.1793790076650534</v>
      </c>
      <c r="CL18" s="224">
        <f>Мор!C45</f>
        <v>9.2170000000000005</v>
      </c>
      <c r="CM18" s="224">
        <f>Мор!D45</f>
        <v>1.1948000000000001</v>
      </c>
      <c r="CN18" s="224">
        <f t="shared" si="8"/>
        <v>12.963003146359986</v>
      </c>
      <c r="CO18" s="224">
        <f>Мор!C46</f>
        <v>0</v>
      </c>
      <c r="CP18" s="224">
        <f>Мор!D46</f>
        <v>0</v>
      </c>
      <c r="CQ18" s="224" t="e">
        <f>CP18/CO18*100</f>
        <v>#DIV/0!</v>
      </c>
      <c r="CR18" s="381">
        <f>Мор!C48</f>
        <v>469.18729000000002</v>
      </c>
      <c r="CS18" s="224">
        <f>Мор!D48</f>
        <v>444.70496000000003</v>
      </c>
      <c r="CT18" s="224">
        <f t="shared" si="9"/>
        <v>94.781970756283712</v>
      </c>
      <c r="CU18" s="224"/>
      <c r="CV18" s="224"/>
      <c r="CW18" s="224"/>
      <c r="CX18" s="188"/>
      <c r="CY18" s="188"/>
      <c r="CZ18" s="224" t="e">
        <f t="shared" si="38"/>
        <v>#DIV/0!</v>
      </c>
      <c r="DA18" s="224"/>
      <c r="DB18" s="224"/>
      <c r="DC18" s="224"/>
      <c r="DD18" s="224"/>
      <c r="DE18" s="224"/>
      <c r="DF18" s="224"/>
      <c r="DG18" s="188">
        <f t="shared" si="39"/>
        <v>19565.462599999999</v>
      </c>
      <c r="DH18" s="188">
        <f t="shared" si="39"/>
        <v>4422.4443900000006</v>
      </c>
      <c r="DI18" s="224">
        <f t="shared" si="40"/>
        <v>22.60332137508469</v>
      </c>
      <c r="DJ18" s="188">
        <f t="shared" si="41"/>
        <v>1974.018</v>
      </c>
      <c r="DK18" s="188">
        <f t="shared" si="41"/>
        <v>795.02972</v>
      </c>
      <c r="DL18" s="224">
        <f t="shared" si="42"/>
        <v>40.274694556989857</v>
      </c>
      <c r="DM18" s="224">
        <f>Мор!C58</f>
        <v>1775.1</v>
      </c>
      <c r="DN18" s="224">
        <f>Мор!D58</f>
        <v>655.10365000000002</v>
      </c>
      <c r="DO18" s="224">
        <f t="shared" si="43"/>
        <v>36.905168722888853</v>
      </c>
      <c r="DP18" s="224">
        <f>Мор!C61</f>
        <v>0</v>
      </c>
      <c r="DQ18" s="224">
        <f>Мор!D61</f>
        <v>0</v>
      </c>
      <c r="DR18" s="224" t="e">
        <f t="shared" si="44"/>
        <v>#DIV/0!</v>
      </c>
      <c r="DS18" s="224">
        <f>Мор!C62</f>
        <v>5</v>
      </c>
      <c r="DT18" s="224">
        <f>Мор!D62</f>
        <v>0</v>
      </c>
      <c r="DU18" s="224">
        <f t="shared" si="45"/>
        <v>0</v>
      </c>
      <c r="DV18" s="224">
        <f>Мор!C63</f>
        <v>193.91800000000001</v>
      </c>
      <c r="DW18" s="224">
        <f>Мор!D63</f>
        <v>139.92607000000001</v>
      </c>
      <c r="DX18" s="224">
        <f t="shared" si="46"/>
        <v>72.157339700285689</v>
      </c>
      <c r="DY18" s="224">
        <f>Мор!C64</f>
        <v>0</v>
      </c>
      <c r="DZ18" s="224">
        <f>Мор!D64</f>
        <v>0</v>
      </c>
      <c r="EA18" s="224" t="e">
        <f t="shared" si="47"/>
        <v>#DIV/0!</v>
      </c>
      <c r="EB18" s="224">
        <f>Мор!C66</f>
        <v>36.4</v>
      </c>
      <c r="EC18" s="224">
        <f>Мор!D66</f>
        <v>0</v>
      </c>
      <c r="ED18" s="224">
        <f t="shared" si="48"/>
        <v>0</v>
      </c>
      <c r="EE18" s="188">
        <f>Мор!C72</f>
        <v>3958.7777000000001</v>
      </c>
      <c r="EF18" s="188">
        <f>Мор!D72</f>
        <v>1008.60697</v>
      </c>
      <c r="EG18" s="224">
        <f t="shared" si="49"/>
        <v>25.477736979270144</v>
      </c>
      <c r="EH18" s="188">
        <f>Мор!C77</f>
        <v>9856.2669000000005</v>
      </c>
      <c r="EI18" s="188">
        <f>Мор!D77</f>
        <v>1062.5577000000001</v>
      </c>
      <c r="EJ18" s="224">
        <f t="shared" si="50"/>
        <v>10.780528883608053</v>
      </c>
      <c r="EK18" s="188">
        <f>Мор!C81</f>
        <v>3735</v>
      </c>
      <c r="EL18" s="227">
        <f>Мор!D81</f>
        <v>1556.25</v>
      </c>
      <c r="EM18" s="224">
        <f t="shared" si="10"/>
        <v>41.666666666666671</v>
      </c>
      <c r="EN18" s="224">
        <f>Мор!C84</f>
        <v>0</v>
      </c>
      <c r="EO18" s="224">
        <f>Мор!D84</f>
        <v>0</v>
      </c>
      <c r="EP18" s="224" t="e">
        <f t="shared" si="11"/>
        <v>#DIV/0!</v>
      </c>
      <c r="EQ18" s="225">
        <f>Мор!C89</f>
        <v>5</v>
      </c>
      <c r="ER18" s="225">
        <f>Мор!D89</f>
        <v>0</v>
      </c>
      <c r="ES18" s="224">
        <f t="shared" si="51"/>
        <v>0</v>
      </c>
      <c r="ET18" s="224">
        <f>Мор!C95</f>
        <v>0</v>
      </c>
      <c r="EU18" s="224">
        <f>Мор!D95</f>
        <v>0</v>
      </c>
      <c r="EV18" s="224" t="e">
        <f t="shared" si="52"/>
        <v>#DIV/0!</v>
      </c>
      <c r="EW18" s="228">
        <f t="shared" si="12"/>
        <v>-554.81055999999808</v>
      </c>
      <c r="EX18" s="228">
        <f t="shared" si="13"/>
        <v>-209.81833000000006</v>
      </c>
      <c r="EY18" s="224">
        <f t="shared" ref="EY18:EY30" si="54">EX18/EW18*100</f>
        <v>37.818013052960062</v>
      </c>
      <c r="EZ18" s="229"/>
      <c r="FA18" s="230"/>
      <c r="FC18" s="230"/>
    </row>
    <row r="19" spans="1:170" s="387" customFormat="1" ht="15" customHeight="1">
      <c r="A19" s="382">
        <v>6</v>
      </c>
      <c r="B19" s="194" t="s">
        <v>308</v>
      </c>
      <c r="C19" s="418">
        <f t="shared" si="14"/>
        <v>10569.22371</v>
      </c>
      <c r="D19" s="405">
        <f t="shared" si="0"/>
        <v>2536.28071</v>
      </c>
      <c r="E19" s="187">
        <f t="shared" si="1"/>
        <v>23.996849528317913</v>
      </c>
      <c r="F19" s="198">
        <f t="shared" si="2"/>
        <v>4541.1550000000007</v>
      </c>
      <c r="G19" s="198">
        <f t="shared" si="3"/>
        <v>1397.7852399999999</v>
      </c>
      <c r="H19" s="187">
        <f t="shared" si="15"/>
        <v>30.780390451327904</v>
      </c>
      <c r="I19" s="195">
        <f>Мос!C6</f>
        <v>1300.26</v>
      </c>
      <c r="J19" s="188">
        <f>Мос!D6</f>
        <v>606.14603999999997</v>
      </c>
      <c r="K19" s="187">
        <f t="shared" si="16"/>
        <v>46.617295002537951</v>
      </c>
      <c r="L19" s="187">
        <f>Мос!C8</f>
        <v>248.38</v>
      </c>
      <c r="M19" s="187">
        <f>Мос!D8</f>
        <v>145.75582</v>
      </c>
      <c r="N19" s="187">
        <f t="shared" si="17"/>
        <v>58.682591190917144</v>
      </c>
      <c r="O19" s="187">
        <f>Мос!C9</f>
        <v>2.665</v>
      </c>
      <c r="P19" s="187">
        <f>Мос!D9</f>
        <v>1.09497</v>
      </c>
      <c r="Q19" s="187">
        <f t="shared" si="18"/>
        <v>41.087054409005631</v>
      </c>
      <c r="R19" s="187">
        <f>Мос!C10</f>
        <v>414.85</v>
      </c>
      <c r="S19" s="187">
        <f>Мос!D10</f>
        <v>202.29856000000001</v>
      </c>
      <c r="T19" s="187">
        <f t="shared" si="19"/>
        <v>48.7642666023864</v>
      </c>
      <c r="U19" s="187">
        <f>Мос!C11</f>
        <v>0</v>
      </c>
      <c r="V19" s="383">
        <f>Мос!D11</f>
        <v>-26.506989999999998</v>
      </c>
      <c r="W19" s="187" t="e">
        <f t="shared" si="20"/>
        <v>#DIV/0!</v>
      </c>
      <c r="X19" s="195">
        <f>Мос!C13</f>
        <v>30</v>
      </c>
      <c r="Y19" s="195">
        <f>Мос!D13</f>
        <v>27.633299999999998</v>
      </c>
      <c r="Z19" s="187">
        <f t="shared" si="21"/>
        <v>92.111000000000004</v>
      </c>
      <c r="AA19" s="195">
        <f>Мос!C15</f>
        <v>295</v>
      </c>
      <c r="AB19" s="379">
        <f>Мос!D15</f>
        <v>10.68309</v>
      </c>
      <c r="AC19" s="187">
        <f t="shared" si="22"/>
        <v>3.6213864406779663</v>
      </c>
      <c r="AD19" s="195">
        <f>Мос!C16</f>
        <v>2240</v>
      </c>
      <c r="AE19" s="195">
        <f>Мос!D16</f>
        <v>402.27148999999997</v>
      </c>
      <c r="AF19" s="187">
        <f t="shared" si="4"/>
        <v>17.958548660714285</v>
      </c>
      <c r="AG19" s="187">
        <f>Мос!C18</f>
        <v>10</v>
      </c>
      <c r="AH19" s="187">
        <f>Мос!D18</f>
        <v>3.6</v>
      </c>
      <c r="AI19" s="187">
        <f t="shared" si="23"/>
        <v>36</v>
      </c>
      <c r="AJ19" s="187"/>
      <c r="AK19" s="187"/>
      <c r="AL19" s="187" t="e">
        <f t="shared" si="5"/>
        <v>#DIV/0!</v>
      </c>
      <c r="AM19" s="195">
        <f>Мос!C27</f>
        <v>0</v>
      </c>
      <c r="AN19" s="195">
        <f>Мос!D27</f>
        <v>0</v>
      </c>
      <c r="AO19" s="187" t="e">
        <f t="shared" si="6"/>
        <v>#DIV/0!</v>
      </c>
      <c r="AP19" s="195">
        <v>0</v>
      </c>
      <c r="AQ19" s="397">
        <f>Мос!D27</f>
        <v>0</v>
      </c>
      <c r="AR19" s="187" t="e">
        <f t="shared" si="24"/>
        <v>#DIV/0!</v>
      </c>
      <c r="AS19" s="195">
        <f>Мос!C26</f>
        <v>0</v>
      </c>
      <c r="AT19" s="378">
        <f>Мос!D28</f>
        <v>0</v>
      </c>
      <c r="AU19" s="187" t="e">
        <f t="shared" si="25"/>
        <v>#DIV/0!</v>
      </c>
      <c r="AV19" s="195"/>
      <c r="AW19" s="195"/>
      <c r="AX19" s="187" t="e">
        <f t="shared" si="26"/>
        <v>#DIV/0!</v>
      </c>
      <c r="AY19" s="187">
        <f>Мос!C30</f>
        <v>0</v>
      </c>
      <c r="AZ19" s="224">
        <f>Мос!D30</f>
        <v>0</v>
      </c>
      <c r="BA19" s="187" t="e">
        <f t="shared" si="27"/>
        <v>#DIV/0!</v>
      </c>
      <c r="BB19" s="187"/>
      <c r="BC19" s="187"/>
      <c r="BD19" s="187"/>
      <c r="BE19" s="187">
        <f>Мос!C33</f>
        <v>0</v>
      </c>
      <c r="BF19" s="187">
        <f>Мос!D33</f>
        <v>0</v>
      </c>
      <c r="BG19" s="187" t="e">
        <f t="shared" si="28"/>
        <v>#DIV/0!</v>
      </c>
      <c r="BH19" s="187"/>
      <c r="BI19" s="187"/>
      <c r="BJ19" s="187" t="e">
        <f t="shared" si="29"/>
        <v>#DIV/0!</v>
      </c>
      <c r="BK19" s="187"/>
      <c r="BL19" s="187"/>
      <c r="BM19" s="187"/>
      <c r="BN19" s="187"/>
      <c r="BO19" s="353">
        <f>Мос!D35</f>
        <v>17.513960000000001</v>
      </c>
      <c r="BP19" s="187" t="e">
        <f t="shared" si="30"/>
        <v>#DIV/0!</v>
      </c>
      <c r="BQ19" s="187">
        <f>Мос!C36</f>
        <v>0</v>
      </c>
      <c r="BR19" s="187">
        <f>Мос!D36</f>
        <v>7.2949999999999999</v>
      </c>
      <c r="BS19" s="187" t="e">
        <f t="shared" si="31"/>
        <v>#DIV/0!</v>
      </c>
      <c r="BT19" s="187"/>
      <c r="BU19" s="187"/>
      <c r="BV19" s="196" t="e">
        <f t="shared" si="32"/>
        <v>#DIV/0!</v>
      </c>
      <c r="BW19" s="196"/>
      <c r="BX19" s="196"/>
      <c r="BY19" s="196" t="e">
        <f t="shared" si="33"/>
        <v>#DIV/0!</v>
      </c>
      <c r="BZ19" s="195">
        <f t="shared" si="34"/>
        <v>6028.0687099999996</v>
      </c>
      <c r="CA19" s="195">
        <f t="shared" si="35"/>
        <v>1138.4954700000001</v>
      </c>
      <c r="CB19" s="187">
        <f t="shared" si="53"/>
        <v>18.886570886482151</v>
      </c>
      <c r="CC19" s="187">
        <v>0</v>
      </c>
      <c r="CD19" s="187">
        <f>Мос!D41</f>
        <v>0</v>
      </c>
      <c r="CE19" s="187" t="e">
        <f>CD19/CC19*100</f>
        <v>#DIV/0!</v>
      </c>
      <c r="CF19" s="187">
        <v>200</v>
      </c>
      <c r="CG19" s="187">
        <f>Мос!D42</f>
        <v>0</v>
      </c>
      <c r="CH19" s="187">
        <f t="shared" si="37"/>
        <v>0</v>
      </c>
      <c r="CI19" s="187">
        <f>Мос!C43</f>
        <v>4758.9176399999997</v>
      </c>
      <c r="CJ19" s="187">
        <f>Мос!D43</f>
        <v>175.83</v>
      </c>
      <c r="CK19" s="187">
        <f t="shared" si="7"/>
        <v>3.6947476989746777</v>
      </c>
      <c r="CL19" s="187">
        <f>Мос!C45</f>
        <v>181.68199999999999</v>
      </c>
      <c r="CM19" s="187">
        <f>Мос!D45</f>
        <v>75.196399999999997</v>
      </c>
      <c r="CN19" s="187">
        <f t="shared" si="8"/>
        <v>41.389020376261819</v>
      </c>
      <c r="CO19" s="187">
        <f>Мос!C48</f>
        <v>0</v>
      </c>
      <c r="CP19" s="187">
        <f>Мос!D46</f>
        <v>0</v>
      </c>
      <c r="CQ19" s="187" t="e">
        <f>CP19/CO19*100</f>
        <v>#DIV/0!</v>
      </c>
      <c r="CR19" s="383">
        <f>Мос!C51</f>
        <v>887.46906999999999</v>
      </c>
      <c r="CS19" s="187">
        <f>Мос!D51</f>
        <v>887.46906999999999</v>
      </c>
      <c r="CT19" s="187">
        <f t="shared" si="9"/>
        <v>100</v>
      </c>
      <c r="CU19" s="187"/>
      <c r="CV19" s="187"/>
      <c r="CW19" s="187"/>
      <c r="CX19" s="195"/>
      <c r="CY19" s="195"/>
      <c r="CZ19" s="187" t="e">
        <f t="shared" si="38"/>
        <v>#DIV/0!</v>
      </c>
      <c r="DA19" s="187"/>
      <c r="DB19" s="187"/>
      <c r="DC19" s="187"/>
      <c r="DD19" s="187"/>
      <c r="DE19" s="187"/>
      <c r="DF19" s="187"/>
      <c r="DG19" s="188">
        <f t="shared" si="39"/>
        <v>11354.41934</v>
      </c>
      <c r="DH19" s="188">
        <f t="shared" si="39"/>
        <v>1535.8552500000001</v>
      </c>
      <c r="DI19" s="187">
        <f t="shared" si="40"/>
        <v>13.526497516164484</v>
      </c>
      <c r="DJ19" s="195">
        <f t="shared" si="41"/>
        <v>2124.7999999999997</v>
      </c>
      <c r="DK19" s="195">
        <f t="shared" si="41"/>
        <v>714.92716999999993</v>
      </c>
      <c r="DL19" s="187">
        <f t="shared" si="42"/>
        <v>33.646798286897592</v>
      </c>
      <c r="DM19" s="187">
        <f>Мос!C59</f>
        <v>2115.3229999999999</v>
      </c>
      <c r="DN19" s="187">
        <f>Мос!D59</f>
        <v>710.45016999999996</v>
      </c>
      <c r="DO19" s="187">
        <f t="shared" si="43"/>
        <v>33.585895392807622</v>
      </c>
      <c r="DP19" s="187">
        <f>Мос!C62</f>
        <v>0</v>
      </c>
      <c r="DQ19" s="187">
        <f>Мос!D62</f>
        <v>0</v>
      </c>
      <c r="DR19" s="187" t="e">
        <f t="shared" si="44"/>
        <v>#DIV/0!</v>
      </c>
      <c r="DS19" s="187">
        <f>Мос!C63</f>
        <v>5</v>
      </c>
      <c r="DT19" s="187">
        <f>Мос!D63</f>
        <v>0</v>
      </c>
      <c r="DU19" s="187">
        <f t="shared" si="45"/>
        <v>0</v>
      </c>
      <c r="DV19" s="187">
        <f>Мос!C64</f>
        <v>4.4770000000000003</v>
      </c>
      <c r="DW19" s="187">
        <f>Мос!D64</f>
        <v>4.4770000000000003</v>
      </c>
      <c r="DX19" s="187">
        <f t="shared" si="46"/>
        <v>100</v>
      </c>
      <c r="DY19" s="187">
        <f>Мос!C66</f>
        <v>179.892</v>
      </c>
      <c r="DZ19" s="187">
        <f>Мос!D66</f>
        <v>58.789560000000002</v>
      </c>
      <c r="EA19" s="187">
        <f t="shared" si="47"/>
        <v>32.680474951637649</v>
      </c>
      <c r="EB19" s="187">
        <f>Мос!C67</f>
        <v>9</v>
      </c>
      <c r="EC19" s="187">
        <f>Мос!D67</f>
        <v>0.6</v>
      </c>
      <c r="ED19" s="187">
        <f t="shared" si="48"/>
        <v>6.666666666666667</v>
      </c>
      <c r="EE19" s="195">
        <f>Мос!C73</f>
        <v>6768.4988400000002</v>
      </c>
      <c r="EF19" s="195">
        <f>Мос!D73</f>
        <v>315.05119999999999</v>
      </c>
      <c r="EG19" s="187">
        <f t="shared" si="49"/>
        <v>4.654668744835007</v>
      </c>
      <c r="EH19" s="195">
        <f>Мос!C78</f>
        <v>830.52850000000001</v>
      </c>
      <c r="EI19" s="195">
        <f>Мос!D78</f>
        <v>201.20331999999999</v>
      </c>
      <c r="EJ19" s="187">
        <f t="shared" si="50"/>
        <v>24.22593806233019</v>
      </c>
      <c r="EK19" s="195">
        <f>Мос!C83</f>
        <v>1411.7</v>
      </c>
      <c r="EL19" s="197">
        <f>Мос!D83</f>
        <v>235.28399999999999</v>
      </c>
      <c r="EM19" s="187">
        <f t="shared" si="10"/>
        <v>16.666713891053337</v>
      </c>
      <c r="EN19" s="187">
        <f>Мос!C91</f>
        <v>0</v>
      </c>
      <c r="EO19" s="187">
        <f>Мос!D91</f>
        <v>0</v>
      </c>
      <c r="EP19" s="187" t="e">
        <f t="shared" si="11"/>
        <v>#DIV/0!</v>
      </c>
      <c r="EQ19" s="198">
        <f>Мос!C93</f>
        <v>30</v>
      </c>
      <c r="ER19" s="198">
        <f>Мос!D93</f>
        <v>10</v>
      </c>
      <c r="ES19" s="187">
        <f t="shared" si="51"/>
        <v>33.333333333333329</v>
      </c>
      <c r="ET19" s="187">
        <f>Мос!C99</f>
        <v>0</v>
      </c>
      <c r="EU19" s="187">
        <f>Мос!D99</f>
        <v>0</v>
      </c>
      <c r="EV19" s="187" t="e">
        <f t="shared" si="52"/>
        <v>#DIV/0!</v>
      </c>
      <c r="EW19" s="384">
        <f t="shared" si="12"/>
        <v>-785.19563000000016</v>
      </c>
      <c r="EX19" s="384">
        <f t="shared" si="13"/>
        <v>1000.4254599999999</v>
      </c>
      <c r="EY19" s="187">
        <f t="shared" si="54"/>
        <v>-127.41098164288047</v>
      </c>
      <c r="EZ19" s="385"/>
      <c r="FA19" s="386"/>
      <c r="FC19" s="386"/>
    </row>
    <row r="20" spans="1:170" s="169" customFormat="1" ht="15" customHeight="1">
      <c r="A20" s="181">
        <v>7</v>
      </c>
      <c r="B20" s="194" t="s">
        <v>309</v>
      </c>
      <c r="C20" s="417">
        <f t="shared" si="14"/>
        <v>6004.6009999999997</v>
      </c>
      <c r="D20" s="405">
        <f t="shared" si="0"/>
        <v>1426.02091</v>
      </c>
      <c r="E20" s="187">
        <f t="shared" si="1"/>
        <v>23.748803792291945</v>
      </c>
      <c r="F20" s="185">
        <f t="shared" si="2"/>
        <v>2674.6179999999999</v>
      </c>
      <c r="G20" s="185">
        <f t="shared" si="3"/>
        <v>478.08990999999992</v>
      </c>
      <c r="H20" s="187">
        <f t="shared" si="15"/>
        <v>17.875072627193862</v>
      </c>
      <c r="I20" s="288">
        <f>Ори!C6</f>
        <v>244.083</v>
      </c>
      <c r="J20" s="289">
        <f>Ори!D6</f>
        <v>81.425759999999997</v>
      </c>
      <c r="K20" s="187">
        <f t="shared" si="16"/>
        <v>33.359865291724532</v>
      </c>
      <c r="L20" s="187">
        <f>Ори!C8</f>
        <v>158.35</v>
      </c>
      <c r="M20" s="187">
        <f>Ори!D8</f>
        <v>92.925219999999996</v>
      </c>
      <c r="N20" s="184">
        <f t="shared" si="17"/>
        <v>58.683435427849695</v>
      </c>
      <c r="O20" s="184">
        <f>Ори!C9</f>
        <v>1.6950000000000001</v>
      </c>
      <c r="P20" s="184">
        <f>Ори!D9</f>
        <v>0.69808000000000003</v>
      </c>
      <c r="Q20" s="184">
        <f t="shared" si="18"/>
        <v>41.184660766961649</v>
      </c>
      <c r="R20" s="184">
        <f>Ори!C10</f>
        <v>264.49</v>
      </c>
      <c r="S20" s="184">
        <f>Ори!D10</f>
        <v>128.97353000000001</v>
      </c>
      <c r="T20" s="184">
        <f t="shared" si="19"/>
        <v>48.763102574766535</v>
      </c>
      <c r="U20" s="184">
        <f>Ори!C11</f>
        <v>0</v>
      </c>
      <c r="V20" s="380">
        <f>Ори!D11</f>
        <v>-16.899270000000001</v>
      </c>
      <c r="W20" s="184" t="e">
        <f t="shared" si="20"/>
        <v>#DIV/0!</v>
      </c>
      <c r="X20" s="195">
        <f>Ори!C13</f>
        <v>40</v>
      </c>
      <c r="Y20" s="195">
        <f>Ори!D13</f>
        <v>9.3778500000000005</v>
      </c>
      <c r="Z20" s="187">
        <f t="shared" si="21"/>
        <v>23.444625000000002</v>
      </c>
      <c r="AA20" s="195">
        <f>Ори!C15</f>
        <v>326</v>
      </c>
      <c r="AB20" s="379">
        <f>Ори!D15</f>
        <v>44.170169999999999</v>
      </c>
      <c r="AC20" s="187">
        <f t="shared" si="22"/>
        <v>13.549131901840491</v>
      </c>
      <c r="AD20" s="195">
        <f>Ори!C16</f>
        <v>1550</v>
      </c>
      <c r="AE20" s="195">
        <f>Ори!D16</f>
        <v>104.68452000000001</v>
      </c>
      <c r="AF20" s="187">
        <f t="shared" si="4"/>
        <v>6.7538400000000003</v>
      </c>
      <c r="AG20" s="187">
        <f>Ори!C18</f>
        <v>10</v>
      </c>
      <c r="AH20" s="187">
        <f>Ори!D18</f>
        <v>2.14</v>
      </c>
      <c r="AI20" s="187">
        <f t="shared" si="23"/>
        <v>21.400000000000002</v>
      </c>
      <c r="AJ20" s="187"/>
      <c r="AK20" s="187"/>
      <c r="AL20" s="187" t="e">
        <f t="shared" si="5"/>
        <v>#DIV/0!</v>
      </c>
      <c r="AM20" s="195">
        <v>0</v>
      </c>
      <c r="AN20" s="195">
        <v>0</v>
      </c>
      <c r="AO20" s="187" t="e">
        <f t="shared" si="6"/>
        <v>#DIV/0!</v>
      </c>
      <c r="AP20" s="195">
        <f>Ори!C27</f>
        <v>50</v>
      </c>
      <c r="AQ20" s="397">
        <f>Ори!D27</f>
        <v>4.6500000000000004</v>
      </c>
      <c r="AR20" s="187">
        <f t="shared" si="24"/>
        <v>9.3000000000000007</v>
      </c>
      <c r="AS20" s="188">
        <f>Ори!C28</f>
        <v>30</v>
      </c>
      <c r="AT20" s="378">
        <f>Ори!D28</f>
        <v>18</v>
      </c>
      <c r="AU20" s="187">
        <f t="shared" si="25"/>
        <v>60</v>
      </c>
      <c r="AV20" s="195"/>
      <c r="AW20" s="195"/>
      <c r="AX20" s="187" t="e">
        <f t="shared" si="26"/>
        <v>#DIV/0!</v>
      </c>
      <c r="AY20" s="187">
        <f>Ори!C30</f>
        <v>0</v>
      </c>
      <c r="AZ20" s="224">
        <f>Ори!D30</f>
        <v>12.594049999999999</v>
      </c>
      <c r="BA20" s="187" t="e">
        <f t="shared" si="27"/>
        <v>#DIV/0!</v>
      </c>
      <c r="BB20" s="187"/>
      <c r="BC20" s="187"/>
      <c r="BD20" s="187"/>
      <c r="BE20" s="187">
        <f>Ори!C33</f>
        <v>0</v>
      </c>
      <c r="BF20" s="187">
        <f>Ори!D33</f>
        <v>0</v>
      </c>
      <c r="BG20" s="187" t="e">
        <f t="shared" si="28"/>
        <v>#DIV/0!</v>
      </c>
      <c r="BH20" s="187"/>
      <c r="BI20" s="187"/>
      <c r="BJ20" s="187" t="e">
        <f t="shared" si="29"/>
        <v>#DIV/0!</v>
      </c>
      <c r="BK20" s="187"/>
      <c r="BL20" s="187"/>
      <c r="BM20" s="187"/>
      <c r="BN20" s="187"/>
      <c r="BO20" s="353">
        <f>Ори!D34</f>
        <v>0</v>
      </c>
      <c r="BP20" s="187" t="e">
        <f t="shared" si="30"/>
        <v>#DIV/0!</v>
      </c>
      <c r="BQ20" s="187">
        <f>Ори!C36</f>
        <v>0</v>
      </c>
      <c r="BR20" s="187">
        <f>Ори!D36</f>
        <v>-4.6500000000000004</v>
      </c>
      <c r="BS20" s="187" t="e">
        <f t="shared" si="31"/>
        <v>#DIV/0!</v>
      </c>
      <c r="BT20" s="187"/>
      <c r="BU20" s="187"/>
      <c r="BV20" s="196" t="e">
        <f t="shared" si="32"/>
        <v>#DIV/0!</v>
      </c>
      <c r="BW20" s="196"/>
      <c r="BX20" s="196"/>
      <c r="BY20" s="196" t="e">
        <f t="shared" si="33"/>
        <v>#DIV/0!</v>
      </c>
      <c r="BZ20" s="186">
        <f t="shared" si="34"/>
        <v>3329.9829999999997</v>
      </c>
      <c r="CA20" s="186">
        <f t="shared" si="35"/>
        <v>947.93100000000004</v>
      </c>
      <c r="CB20" s="187">
        <f t="shared" si="53"/>
        <v>28.466541721083864</v>
      </c>
      <c r="CC20" s="187">
        <f>Ори!C41</f>
        <v>1462.5</v>
      </c>
      <c r="CD20" s="187">
        <f>Ори!D41</f>
        <v>609.375</v>
      </c>
      <c r="CE20" s="187">
        <f t="shared" si="36"/>
        <v>41.666666666666671</v>
      </c>
      <c r="CF20" s="187">
        <f>Ори!C42</f>
        <v>420</v>
      </c>
      <c r="CG20" s="187">
        <f>Ори!D42</f>
        <v>0</v>
      </c>
      <c r="CH20" s="187">
        <f t="shared" si="37"/>
        <v>0</v>
      </c>
      <c r="CI20" s="187">
        <f>Ори!C43</f>
        <v>1165.08</v>
      </c>
      <c r="CJ20" s="187">
        <f>Ори!D43</f>
        <v>263.95699999999999</v>
      </c>
      <c r="CK20" s="187">
        <f t="shared" si="7"/>
        <v>22.655697462835171</v>
      </c>
      <c r="CL20" s="187">
        <f>Ори!C45</f>
        <v>182.40299999999999</v>
      </c>
      <c r="CM20" s="187">
        <f>Ори!D45</f>
        <v>74.599000000000004</v>
      </c>
      <c r="CN20" s="187">
        <f t="shared" si="8"/>
        <v>40.897901898543338</v>
      </c>
      <c r="CO20" s="187">
        <f>Ори!C46</f>
        <v>100</v>
      </c>
      <c r="CP20" s="187">
        <f>Ори!D46</f>
        <v>0</v>
      </c>
      <c r="CQ20" s="187">
        <f>CP20/CO20*100</f>
        <v>0</v>
      </c>
      <c r="CR20" s="383">
        <f>Ори!C47</f>
        <v>0</v>
      </c>
      <c r="CS20" s="187">
        <f>Ори!D47</f>
        <v>0</v>
      </c>
      <c r="CT20" s="187" t="e">
        <f t="shared" si="9"/>
        <v>#DIV/0!</v>
      </c>
      <c r="CU20" s="187"/>
      <c r="CV20" s="187"/>
      <c r="CW20" s="187"/>
      <c r="CX20" s="195"/>
      <c r="CY20" s="195"/>
      <c r="CZ20" s="187" t="e">
        <f t="shared" si="38"/>
        <v>#DIV/0!</v>
      </c>
      <c r="DA20" s="187"/>
      <c r="DB20" s="187"/>
      <c r="DC20" s="187"/>
      <c r="DD20" s="187"/>
      <c r="DE20" s="187"/>
      <c r="DF20" s="187"/>
      <c r="DG20" s="188">
        <f t="shared" si="39"/>
        <v>6364.4174800000001</v>
      </c>
      <c r="DH20" s="188">
        <f t="shared" si="39"/>
        <v>1728.8632499999999</v>
      </c>
      <c r="DI20" s="187">
        <f t="shared" si="40"/>
        <v>27.164516712376319</v>
      </c>
      <c r="DJ20" s="195">
        <f t="shared" si="41"/>
        <v>1224.2350000000001</v>
      </c>
      <c r="DK20" s="195">
        <f t="shared" si="41"/>
        <v>472.10902999999996</v>
      </c>
      <c r="DL20" s="187">
        <f t="shared" si="42"/>
        <v>38.56359522477301</v>
      </c>
      <c r="DM20" s="187">
        <f>Ори!C58</f>
        <v>1195.0350000000001</v>
      </c>
      <c r="DN20" s="187">
        <f>Ори!D58</f>
        <v>468.07452999999998</v>
      </c>
      <c r="DO20" s="187">
        <f t="shared" si="43"/>
        <v>39.168269548590622</v>
      </c>
      <c r="DP20" s="187">
        <f>Ори!C61</f>
        <v>0</v>
      </c>
      <c r="DQ20" s="187">
        <f>Ори!D61</f>
        <v>0</v>
      </c>
      <c r="DR20" s="187" t="e">
        <f t="shared" si="44"/>
        <v>#DIV/0!</v>
      </c>
      <c r="DS20" s="187">
        <f>Ори!C62</f>
        <v>5</v>
      </c>
      <c r="DT20" s="187">
        <f>Ори!D62</f>
        <v>0</v>
      </c>
      <c r="DU20" s="187">
        <f t="shared" si="45"/>
        <v>0</v>
      </c>
      <c r="DV20" s="187">
        <f>Ори!C63</f>
        <v>24.2</v>
      </c>
      <c r="DW20" s="187">
        <f>Ори!D63</f>
        <v>4.0345000000000004</v>
      </c>
      <c r="DX20" s="187">
        <f t="shared" si="46"/>
        <v>16.671487603305788</v>
      </c>
      <c r="DY20" s="187">
        <f>Ори!C65</f>
        <v>179.892</v>
      </c>
      <c r="DZ20" s="187">
        <f>Ори!D65</f>
        <v>62.756</v>
      </c>
      <c r="EA20" s="187">
        <f t="shared" si="47"/>
        <v>34.885375669846354</v>
      </c>
      <c r="EB20" s="187">
        <f>Ори!C66</f>
        <v>13.5</v>
      </c>
      <c r="EC20" s="187">
        <f>Ори!D66</f>
        <v>2.95</v>
      </c>
      <c r="ED20" s="187">
        <f t="shared" si="48"/>
        <v>21.851851851851851</v>
      </c>
      <c r="EE20" s="195">
        <f>Ори!C72</f>
        <v>1958.6814800000002</v>
      </c>
      <c r="EF20" s="195">
        <f>Ори!D72</f>
        <v>346.86745000000002</v>
      </c>
      <c r="EG20" s="187">
        <f t="shared" si="49"/>
        <v>17.709232130994572</v>
      </c>
      <c r="EH20" s="195">
        <f>Ори!C77</f>
        <v>1337.009</v>
      </c>
      <c r="EI20" s="195">
        <f>Ори!D77</f>
        <v>216.67876999999999</v>
      </c>
      <c r="EJ20" s="187">
        <f t="shared" si="50"/>
        <v>16.206231222078536</v>
      </c>
      <c r="EK20" s="195">
        <f>Ори!C82</f>
        <v>1639.1</v>
      </c>
      <c r="EL20" s="197">
        <f>Ори!D82</f>
        <v>627.50199999999995</v>
      </c>
      <c r="EM20" s="187">
        <f t="shared" si="10"/>
        <v>38.283326215606124</v>
      </c>
      <c r="EN20" s="187">
        <f>Ори!C84</f>
        <v>0</v>
      </c>
      <c r="EO20" s="187">
        <f>Ори!D84</f>
        <v>0</v>
      </c>
      <c r="EP20" s="187" t="e">
        <f t="shared" si="11"/>
        <v>#DIV/0!</v>
      </c>
      <c r="EQ20" s="198">
        <f>Ори!C89</f>
        <v>12</v>
      </c>
      <c r="ER20" s="198">
        <f>Ори!D89</f>
        <v>0</v>
      </c>
      <c r="ES20" s="187">
        <f t="shared" si="51"/>
        <v>0</v>
      </c>
      <c r="ET20" s="187">
        <f>Ори!C95</f>
        <v>0</v>
      </c>
      <c r="EU20" s="187">
        <f>Ори!D95</f>
        <v>0</v>
      </c>
      <c r="EV20" s="184" t="e">
        <f t="shared" si="52"/>
        <v>#DIV/0!</v>
      </c>
      <c r="EW20" s="191">
        <f t="shared" si="12"/>
        <v>-359.81648000000041</v>
      </c>
      <c r="EX20" s="191">
        <f t="shared" si="13"/>
        <v>-302.84233999999992</v>
      </c>
      <c r="EY20" s="184">
        <f t="shared" si="54"/>
        <v>84.165778065529281</v>
      </c>
      <c r="EZ20" s="192"/>
      <c r="FA20" s="193"/>
      <c r="FC20" s="193"/>
      <c r="FF20" s="200"/>
      <c r="FG20" s="200"/>
      <c r="FH20" s="200"/>
      <c r="FI20" s="200"/>
      <c r="FJ20" s="200"/>
      <c r="FK20" s="200"/>
      <c r="FL20" s="200"/>
      <c r="FM20" s="200"/>
      <c r="FN20" s="200"/>
    </row>
    <row r="21" spans="1:170" s="169" customFormat="1" ht="15" customHeight="1">
      <c r="A21" s="181">
        <v>8</v>
      </c>
      <c r="B21" s="194" t="s">
        <v>310</v>
      </c>
      <c r="C21" s="417">
        <f t="shared" si="14"/>
        <v>7421.5149999999994</v>
      </c>
      <c r="D21" s="405">
        <f t="shared" si="0"/>
        <v>2497.1873399999999</v>
      </c>
      <c r="E21" s="187">
        <f t="shared" si="1"/>
        <v>33.647945736146866</v>
      </c>
      <c r="F21" s="185">
        <f t="shared" si="2"/>
        <v>1917.2080000000001</v>
      </c>
      <c r="G21" s="185">
        <f t="shared" si="3"/>
        <v>608.00293999999997</v>
      </c>
      <c r="H21" s="187">
        <f t="shared" si="15"/>
        <v>31.712935685642869</v>
      </c>
      <c r="I21" s="195">
        <f>Сят!C6</f>
        <v>111.54300000000001</v>
      </c>
      <c r="J21" s="188">
        <f>Сят!D6</f>
        <v>54.365090000000002</v>
      </c>
      <c r="K21" s="187">
        <f t="shared" si="16"/>
        <v>48.739131993939552</v>
      </c>
      <c r="L21" s="187">
        <f>Сят!C8</f>
        <v>195.33</v>
      </c>
      <c r="M21" s="187">
        <f>Сят!D8</f>
        <v>114.62348</v>
      </c>
      <c r="N21" s="184">
        <f t="shared" si="17"/>
        <v>58.6819638560385</v>
      </c>
      <c r="O21" s="184">
        <f>Сят!C9</f>
        <v>2.0950000000000002</v>
      </c>
      <c r="P21" s="184">
        <f>Сят!D9</f>
        <v>0.86111000000000004</v>
      </c>
      <c r="Q21" s="184">
        <f t="shared" si="18"/>
        <v>41.103102625298327</v>
      </c>
      <c r="R21" s="184">
        <f>Сят!C10</f>
        <v>326.24</v>
      </c>
      <c r="S21" s="184">
        <f>Сят!D10</f>
        <v>159.08917</v>
      </c>
      <c r="T21" s="184">
        <f t="shared" si="19"/>
        <v>48.764458680725845</v>
      </c>
      <c r="U21" s="184">
        <f>Сят!C11</f>
        <v>0</v>
      </c>
      <c r="V21" s="380">
        <f>Сят!D11</f>
        <v>-20.845310000000001</v>
      </c>
      <c r="W21" s="184" t="e">
        <f t="shared" si="20"/>
        <v>#DIV/0!</v>
      </c>
      <c r="X21" s="195">
        <f>Сят!C13</f>
        <v>45</v>
      </c>
      <c r="Y21" s="195">
        <f>Сят!D13</f>
        <v>98.753339999999994</v>
      </c>
      <c r="Z21" s="187">
        <f t="shared" si="21"/>
        <v>219.45186666666666</v>
      </c>
      <c r="AA21" s="195">
        <f>Сят!C15</f>
        <v>138</v>
      </c>
      <c r="AB21" s="379">
        <f>Сят!D15</f>
        <v>7.7496999999999998</v>
      </c>
      <c r="AC21" s="187">
        <f t="shared" si="22"/>
        <v>5.6157246376811587</v>
      </c>
      <c r="AD21" s="195">
        <f>Сят!C16</f>
        <v>1000</v>
      </c>
      <c r="AE21" s="195">
        <f>Сят!D16</f>
        <v>166.42395999999999</v>
      </c>
      <c r="AF21" s="187">
        <f t="shared" si="4"/>
        <v>16.642395999999998</v>
      </c>
      <c r="AG21" s="187">
        <f>Сят!C18</f>
        <v>10</v>
      </c>
      <c r="AH21" s="187">
        <f>Сят!D18</f>
        <v>3.15</v>
      </c>
      <c r="AI21" s="187">
        <f t="shared" si="23"/>
        <v>31.5</v>
      </c>
      <c r="AJ21" s="187">
        <f>Сят!C22</f>
        <v>0</v>
      </c>
      <c r="AK21" s="187">
        <f>Сят!D20</f>
        <v>0</v>
      </c>
      <c r="AL21" s="187" t="e">
        <f t="shared" si="5"/>
        <v>#DIV/0!</v>
      </c>
      <c r="AM21" s="195">
        <v>0</v>
      </c>
      <c r="AN21" s="195">
        <v>0</v>
      </c>
      <c r="AO21" s="187" t="e">
        <f t="shared" si="6"/>
        <v>#DIV/0!</v>
      </c>
      <c r="AP21" s="195">
        <f>Сят!C27</f>
        <v>83</v>
      </c>
      <c r="AQ21" s="397">
        <f>Сят!D27</f>
        <v>21.01</v>
      </c>
      <c r="AR21" s="187">
        <f t="shared" si="24"/>
        <v>25.313253012048193</v>
      </c>
      <c r="AS21" s="188">
        <f>Сят!C28</f>
        <v>6</v>
      </c>
      <c r="AT21" s="378">
        <f>Сят!D28</f>
        <v>2.8224</v>
      </c>
      <c r="AU21" s="187">
        <f t="shared" si="25"/>
        <v>47.04</v>
      </c>
      <c r="AV21" s="195"/>
      <c r="AW21" s="195"/>
      <c r="AX21" s="187" t="e">
        <f t="shared" si="26"/>
        <v>#DIV/0!</v>
      </c>
      <c r="AY21" s="187">
        <f>Сят!C30</f>
        <v>0</v>
      </c>
      <c r="AZ21" s="224">
        <f>Сят!D30</f>
        <v>0</v>
      </c>
      <c r="BA21" s="187" t="e">
        <f t="shared" si="27"/>
        <v>#DIV/0!</v>
      </c>
      <c r="BB21" s="187"/>
      <c r="BC21" s="187"/>
      <c r="BD21" s="187"/>
      <c r="BE21" s="187">
        <f>Сят!C33</f>
        <v>0</v>
      </c>
      <c r="BF21" s="187">
        <f>Сят!D33</f>
        <v>0</v>
      </c>
      <c r="BG21" s="187" t="e">
        <f t="shared" si="28"/>
        <v>#DIV/0!</v>
      </c>
      <c r="BH21" s="187"/>
      <c r="BI21" s="187"/>
      <c r="BJ21" s="187" t="e">
        <f t="shared" si="29"/>
        <v>#DIV/0!</v>
      </c>
      <c r="BK21" s="187"/>
      <c r="BL21" s="187"/>
      <c r="BM21" s="187"/>
      <c r="BN21" s="187">
        <f>Сят!C34</f>
        <v>0</v>
      </c>
      <c r="BO21" s="353">
        <f>Сят!D34</f>
        <v>0</v>
      </c>
      <c r="BP21" s="187" t="e">
        <f t="shared" si="30"/>
        <v>#DIV/0!</v>
      </c>
      <c r="BQ21" s="187">
        <f>Сят!C36</f>
        <v>0</v>
      </c>
      <c r="BR21" s="187">
        <f>Сят!D36</f>
        <v>0</v>
      </c>
      <c r="BS21" s="187" t="e">
        <f t="shared" si="31"/>
        <v>#DIV/0!</v>
      </c>
      <c r="BT21" s="187"/>
      <c r="BU21" s="187"/>
      <c r="BV21" s="196" t="e">
        <f t="shared" si="32"/>
        <v>#DIV/0!</v>
      </c>
      <c r="BW21" s="196"/>
      <c r="BX21" s="196"/>
      <c r="BY21" s="196" t="e">
        <f t="shared" si="33"/>
        <v>#DIV/0!</v>
      </c>
      <c r="BZ21" s="186">
        <f t="shared" si="34"/>
        <v>5504.3069999999998</v>
      </c>
      <c r="CA21" s="186">
        <f t="shared" si="35"/>
        <v>1889.1844000000001</v>
      </c>
      <c r="CB21" s="187">
        <f t="shared" si="53"/>
        <v>34.321930081298156</v>
      </c>
      <c r="CC21" s="187">
        <f>Сят!C41</f>
        <v>2862</v>
      </c>
      <c r="CD21" s="187">
        <f>Сят!D41</f>
        <v>1192.5</v>
      </c>
      <c r="CE21" s="187">
        <f t="shared" si="36"/>
        <v>41.666666666666671</v>
      </c>
      <c r="CF21" s="187">
        <f>Сят!C42</f>
        <v>0</v>
      </c>
      <c r="CG21" s="187">
        <f>Сят!D42</f>
        <v>0</v>
      </c>
      <c r="CH21" s="187" t="e">
        <f t="shared" si="37"/>
        <v>#DIV/0!</v>
      </c>
      <c r="CI21" s="187">
        <f>Сят!C43</f>
        <v>2060.44</v>
      </c>
      <c r="CJ21" s="187">
        <f>Сят!D43</f>
        <v>396.66399999999999</v>
      </c>
      <c r="CK21" s="187">
        <f t="shared" si="7"/>
        <v>19.251422026363301</v>
      </c>
      <c r="CL21" s="187">
        <f>Сят!C44</f>
        <v>182.04300000000001</v>
      </c>
      <c r="CM21" s="187">
        <f>Сят!D44</f>
        <v>75.196399999999997</v>
      </c>
      <c r="CN21" s="187">
        <f t="shared" si="8"/>
        <v>41.306943963788775</v>
      </c>
      <c r="CO21" s="187">
        <f>Сят!C48</f>
        <v>175</v>
      </c>
      <c r="CP21" s="187">
        <f>Сят!D48</f>
        <v>0</v>
      </c>
      <c r="CQ21" s="187">
        <f>CP21/CO21*100</f>
        <v>0</v>
      </c>
      <c r="CR21" s="383">
        <f>Сят!C49</f>
        <v>224.82400000000001</v>
      </c>
      <c r="CS21" s="187">
        <f>Сят!D49</f>
        <v>224.82400000000001</v>
      </c>
      <c r="CT21" s="187">
        <f t="shared" si="9"/>
        <v>100</v>
      </c>
      <c r="CU21" s="187"/>
      <c r="CV21" s="187">
        <f>Сят!D50</f>
        <v>0</v>
      </c>
      <c r="CW21" s="187"/>
      <c r="CX21" s="195"/>
      <c r="CY21" s="195"/>
      <c r="CZ21" s="187" t="e">
        <f t="shared" si="38"/>
        <v>#DIV/0!</v>
      </c>
      <c r="DA21" s="187"/>
      <c r="DB21" s="187"/>
      <c r="DC21" s="187"/>
      <c r="DD21" s="187"/>
      <c r="DE21" s="187"/>
      <c r="DF21" s="187"/>
      <c r="DG21" s="188">
        <f t="shared" si="39"/>
        <v>7710.0388500000008</v>
      </c>
      <c r="DH21" s="188">
        <f t="shared" si="39"/>
        <v>2018.57107</v>
      </c>
      <c r="DI21" s="187">
        <f t="shared" si="40"/>
        <v>26.181075209497806</v>
      </c>
      <c r="DJ21" s="195">
        <f t="shared" si="41"/>
        <v>1377.5060000000001</v>
      </c>
      <c r="DK21" s="195">
        <f>Сят!D56</f>
        <v>467.90504999999996</v>
      </c>
      <c r="DL21" s="187">
        <f t="shared" si="42"/>
        <v>33.967550776548336</v>
      </c>
      <c r="DM21" s="187">
        <f>Сят!C58</f>
        <v>1348</v>
      </c>
      <c r="DN21" s="187">
        <f>Сят!D58</f>
        <v>463.39954999999998</v>
      </c>
      <c r="DO21" s="187">
        <f t="shared" si="43"/>
        <v>34.376821216617209</v>
      </c>
      <c r="DP21" s="187">
        <f>Сят!C61</f>
        <v>0</v>
      </c>
      <c r="DQ21" s="187">
        <f>Сят!D61</f>
        <v>0</v>
      </c>
      <c r="DR21" s="187" t="e">
        <f t="shared" si="44"/>
        <v>#DIV/0!</v>
      </c>
      <c r="DS21" s="187">
        <f>Сят!C62</f>
        <v>5</v>
      </c>
      <c r="DT21" s="187">
        <f>Сят!D62</f>
        <v>0</v>
      </c>
      <c r="DU21" s="187">
        <f t="shared" si="45"/>
        <v>0</v>
      </c>
      <c r="DV21" s="187">
        <f>Сят!C63</f>
        <v>24.506</v>
      </c>
      <c r="DW21" s="187">
        <f>Сят!D63</f>
        <v>4.5054999999999996</v>
      </c>
      <c r="DX21" s="187">
        <f t="shared" si="46"/>
        <v>18.385293397535296</v>
      </c>
      <c r="DY21" s="187">
        <f>Сят!C65</f>
        <v>179.892</v>
      </c>
      <c r="DZ21" s="187">
        <f>Сят!D65</f>
        <v>63.827770000000001</v>
      </c>
      <c r="EA21" s="187">
        <f t="shared" si="47"/>
        <v>35.481160918773483</v>
      </c>
      <c r="EB21" s="187">
        <f>Сят!C66</f>
        <v>9.6999999999999993</v>
      </c>
      <c r="EC21" s="187">
        <f>Сят!D66</f>
        <v>0.65</v>
      </c>
      <c r="ED21" s="187">
        <f t="shared" si="48"/>
        <v>6.7010309278350526</v>
      </c>
      <c r="EE21" s="195">
        <f>Сят!C72</f>
        <v>3450.3148500000002</v>
      </c>
      <c r="EF21" s="195">
        <f>Сят!D72</f>
        <v>509.34730999999999</v>
      </c>
      <c r="EG21" s="187">
        <f t="shared" si="49"/>
        <v>14.762342920675774</v>
      </c>
      <c r="EH21" s="195">
        <f>Сят!C77</f>
        <v>639.46900000000005</v>
      </c>
      <c r="EI21" s="195">
        <f>Сят!D77</f>
        <v>82.5</v>
      </c>
      <c r="EJ21" s="187">
        <f t="shared" si="50"/>
        <v>12.90132907146398</v>
      </c>
      <c r="EK21" s="195">
        <f>Сят!C81</f>
        <v>2028.6880000000001</v>
      </c>
      <c r="EL21" s="197">
        <f>Сят!D81</f>
        <v>889.87194</v>
      </c>
      <c r="EM21" s="187">
        <f t="shared" si="10"/>
        <v>43.864405960896889</v>
      </c>
      <c r="EN21" s="187">
        <f>Сят!C83</f>
        <v>0</v>
      </c>
      <c r="EO21" s="187">
        <f>Сят!D83</f>
        <v>0</v>
      </c>
      <c r="EP21" s="187" t="e">
        <f t="shared" si="11"/>
        <v>#DIV/0!</v>
      </c>
      <c r="EQ21" s="198">
        <f>Сят!C88</f>
        <v>24.469000000000001</v>
      </c>
      <c r="ER21" s="198">
        <f>Сят!D88</f>
        <v>4.4690000000000003</v>
      </c>
      <c r="ES21" s="187">
        <f t="shared" si="51"/>
        <v>18.263925783644609</v>
      </c>
      <c r="ET21" s="187">
        <f>Сят!C94</f>
        <v>0</v>
      </c>
      <c r="EU21" s="187">
        <f>Сят!D94</f>
        <v>0</v>
      </c>
      <c r="EV21" s="184" t="e">
        <f t="shared" si="52"/>
        <v>#DIV/0!</v>
      </c>
      <c r="EW21" s="191">
        <f t="shared" si="12"/>
        <v>-288.5238500000014</v>
      </c>
      <c r="EX21" s="191">
        <f t="shared" si="13"/>
        <v>478.61626999999999</v>
      </c>
      <c r="EY21" s="184">
        <f t="shared" si="54"/>
        <v>-165.88447367522571</v>
      </c>
      <c r="EZ21" s="192"/>
      <c r="FA21" s="193"/>
      <c r="FB21" s="200"/>
      <c r="FC21" s="193"/>
      <c r="FD21" s="200"/>
      <c r="FE21" s="200"/>
      <c r="FF21" s="200"/>
      <c r="FG21" s="200"/>
      <c r="FH21" s="200"/>
      <c r="FI21" s="200"/>
      <c r="FJ21" s="200"/>
      <c r="FK21" s="200"/>
      <c r="FL21" s="200"/>
      <c r="FM21" s="200"/>
      <c r="FN21" s="200"/>
    </row>
    <row r="22" spans="1:170" s="231" customFormat="1" ht="15" customHeight="1">
      <c r="A22" s="222">
        <v>9</v>
      </c>
      <c r="B22" s="223" t="s">
        <v>311</v>
      </c>
      <c r="C22" s="419">
        <f>F22+BZ22</f>
        <v>9302.2994299999991</v>
      </c>
      <c r="D22" s="406">
        <f t="shared" si="0"/>
        <v>1923.50452</v>
      </c>
      <c r="E22" s="224">
        <f t="shared" si="1"/>
        <v>20.677731720790245</v>
      </c>
      <c r="F22" s="225">
        <f>I22+X22+AA22+AD22+AG22+AM22+AS22+BE22+BQ22+BN22+AJ22+AY22+L22+R22+O22+U22+AP22</f>
        <v>1839.3039999999999</v>
      </c>
      <c r="G22" s="225">
        <f t="shared" si="3"/>
        <v>558.38851999999997</v>
      </c>
      <c r="H22" s="224">
        <f t="shared" si="15"/>
        <v>30.358685676755993</v>
      </c>
      <c r="I22" s="188">
        <f>Тор!C6</f>
        <v>105.069</v>
      </c>
      <c r="J22" s="188">
        <f>Тор!D6</f>
        <v>42.433039999999998</v>
      </c>
      <c r="K22" s="224">
        <f t="shared" si="16"/>
        <v>40.385879755208478</v>
      </c>
      <c r="L22" s="224">
        <f>Тор!C8</f>
        <v>270.89</v>
      </c>
      <c r="M22" s="224">
        <f>Тор!D8</f>
        <v>158.96346</v>
      </c>
      <c r="N22" s="224">
        <f t="shared" si="17"/>
        <v>58.681922551589203</v>
      </c>
      <c r="O22" s="224">
        <f>Тор!C9</f>
        <v>2.9049999999999998</v>
      </c>
      <c r="P22" s="224">
        <f>Тор!D9</f>
        <v>1.1941999999999999</v>
      </c>
      <c r="Q22" s="224">
        <f t="shared" si="18"/>
        <v>41.108433734939759</v>
      </c>
      <c r="R22" s="224">
        <f>Тор!C10</f>
        <v>452.44</v>
      </c>
      <c r="S22" s="224">
        <f>Тор!D10</f>
        <v>220.62984</v>
      </c>
      <c r="T22" s="224">
        <f t="shared" si="19"/>
        <v>48.764441693926273</v>
      </c>
      <c r="U22" s="224">
        <f>Тор!C11</f>
        <v>0</v>
      </c>
      <c r="V22" s="381">
        <f>Тор!D11</f>
        <v>-28.908930000000002</v>
      </c>
      <c r="W22" s="224" t="e">
        <f t="shared" si="20"/>
        <v>#DIV/0!</v>
      </c>
      <c r="X22" s="188">
        <f>Тор!C13</f>
        <v>25</v>
      </c>
      <c r="Y22" s="188">
        <f>Тор!D13</f>
        <v>52.619700000000002</v>
      </c>
      <c r="Z22" s="224">
        <f t="shared" si="21"/>
        <v>210.47880000000001</v>
      </c>
      <c r="AA22" s="188">
        <f>Тор!C15</f>
        <v>153</v>
      </c>
      <c r="AB22" s="379">
        <f>Тор!D15</f>
        <v>6.57463</v>
      </c>
      <c r="AC22" s="224">
        <f t="shared" si="22"/>
        <v>4.297143790849673</v>
      </c>
      <c r="AD22" s="188">
        <f>Тор!C16</f>
        <v>470</v>
      </c>
      <c r="AE22" s="188">
        <f>Тор!D16</f>
        <v>-145.67036999999999</v>
      </c>
      <c r="AF22" s="224">
        <f t="shared" si="4"/>
        <v>-30.993695744680849</v>
      </c>
      <c r="AG22" s="224">
        <f>Тор!C18</f>
        <v>10</v>
      </c>
      <c r="AH22" s="224">
        <f>Тор!D18</f>
        <v>4.0999999999999996</v>
      </c>
      <c r="AI22" s="224">
        <f t="shared" si="23"/>
        <v>41</v>
      </c>
      <c r="AJ22" s="224"/>
      <c r="AK22" s="224">
        <f>Тор!D20</f>
        <v>0</v>
      </c>
      <c r="AL22" s="224" t="e">
        <f t="shared" si="5"/>
        <v>#DIV/0!</v>
      </c>
      <c r="AM22" s="188">
        <v>0</v>
      </c>
      <c r="AN22" s="188">
        <v>0</v>
      </c>
      <c r="AO22" s="224" t="e">
        <f t="shared" si="6"/>
        <v>#DIV/0!</v>
      </c>
      <c r="AP22" s="188">
        <f>Тор!C27</f>
        <v>300</v>
      </c>
      <c r="AQ22" s="398">
        <f>Тор!D27</f>
        <v>203.77209999999999</v>
      </c>
      <c r="AR22" s="224">
        <f t="shared" si="24"/>
        <v>67.924033333333327</v>
      </c>
      <c r="AS22" s="188">
        <f>Тор!C28</f>
        <v>50</v>
      </c>
      <c r="AT22" s="379">
        <f>Тор!D28</f>
        <v>20.34646</v>
      </c>
      <c r="AU22" s="224">
        <f t="shared" si="25"/>
        <v>40.692920000000001</v>
      </c>
      <c r="AV22" s="188"/>
      <c r="AW22" s="188"/>
      <c r="AX22" s="224" t="e">
        <f t="shared" si="26"/>
        <v>#DIV/0!</v>
      </c>
      <c r="AY22" s="224">
        <f>Тор!C29</f>
        <v>0</v>
      </c>
      <c r="AZ22" s="224">
        <f>Тор!D29</f>
        <v>22.334389999999999</v>
      </c>
      <c r="BA22" s="224" t="e">
        <f t="shared" si="27"/>
        <v>#DIV/0!</v>
      </c>
      <c r="BB22" s="224"/>
      <c r="BC22" s="224"/>
      <c r="BD22" s="224"/>
      <c r="BE22" s="224">
        <f>Тор!C34+Тор!C33</f>
        <v>0</v>
      </c>
      <c r="BF22" s="224">
        <f>Тор!D32</f>
        <v>0</v>
      </c>
      <c r="BG22" s="224" t="e">
        <f t="shared" si="28"/>
        <v>#DIV/0!</v>
      </c>
      <c r="BH22" s="224"/>
      <c r="BI22" s="224"/>
      <c r="BJ22" s="224" t="e">
        <f t="shared" si="29"/>
        <v>#DIV/0!</v>
      </c>
      <c r="BK22" s="224"/>
      <c r="BL22" s="224"/>
      <c r="BM22" s="224"/>
      <c r="BN22" s="224"/>
      <c r="BO22" s="354">
        <f>Тор!D35</f>
        <v>0</v>
      </c>
      <c r="BP22" s="224" t="e">
        <f t="shared" si="30"/>
        <v>#DIV/0!</v>
      </c>
      <c r="BQ22" s="224">
        <f>Тор!C37</f>
        <v>0</v>
      </c>
      <c r="BR22" s="224">
        <f>Тор!D37</f>
        <v>0</v>
      </c>
      <c r="BS22" s="224" t="e">
        <f t="shared" si="31"/>
        <v>#DIV/0!</v>
      </c>
      <c r="BT22" s="224"/>
      <c r="BU22" s="224"/>
      <c r="BV22" s="226" t="e">
        <f t="shared" si="32"/>
        <v>#DIV/0!</v>
      </c>
      <c r="BW22" s="226"/>
      <c r="BX22" s="226"/>
      <c r="BY22" s="226" t="e">
        <f t="shared" si="33"/>
        <v>#DIV/0!</v>
      </c>
      <c r="BZ22" s="188">
        <f t="shared" si="34"/>
        <v>7462.9954299999999</v>
      </c>
      <c r="CA22" s="186">
        <f t="shared" si="35"/>
        <v>1365.116</v>
      </c>
      <c r="CB22" s="224">
        <f t="shared" si="53"/>
        <v>18.291797346042323</v>
      </c>
      <c r="CC22" s="224">
        <f>Тор!C42</f>
        <v>1424.6</v>
      </c>
      <c r="CD22" s="224">
        <f>Тор!D42</f>
        <v>593.58500000000004</v>
      </c>
      <c r="CE22" s="224">
        <f t="shared" si="36"/>
        <v>41.666783658570836</v>
      </c>
      <c r="CF22" s="224">
        <f>Тор!C43</f>
        <v>280</v>
      </c>
      <c r="CG22" s="224">
        <f>Тор!D43</f>
        <v>130</v>
      </c>
      <c r="CH22" s="224">
        <f t="shared" si="37"/>
        <v>46.428571428571431</v>
      </c>
      <c r="CI22" s="224">
        <f>Тор!C44</f>
        <v>4448.5478199999998</v>
      </c>
      <c r="CJ22" s="224">
        <f>Тор!D44</f>
        <v>377.03199999999998</v>
      </c>
      <c r="CK22" s="224">
        <f t="shared" si="7"/>
        <v>8.4753950110398044</v>
      </c>
      <c r="CL22" s="224">
        <f>Тор!C45</f>
        <v>181.68199999999999</v>
      </c>
      <c r="CM22" s="224">
        <f>Тор!D45</f>
        <v>74.599000000000004</v>
      </c>
      <c r="CN22" s="224">
        <f t="shared" si="8"/>
        <v>41.060204092865561</v>
      </c>
      <c r="CO22" s="224">
        <f>Тор!C46</f>
        <v>620</v>
      </c>
      <c r="CP22" s="224">
        <f>Тор!D46</f>
        <v>0</v>
      </c>
      <c r="CQ22" s="224"/>
      <c r="CR22" s="381">
        <f>Тор!C48</f>
        <v>508.16561000000002</v>
      </c>
      <c r="CS22" s="224">
        <f>Тор!D48</f>
        <v>189.9</v>
      </c>
      <c r="CT22" s="224">
        <f t="shared" si="9"/>
        <v>37.369707092142654</v>
      </c>
      <c r="CU22" s="224"/>
      <c r="CV22" s="224">
        <f>Тор!D49</f>
        <v>0</v>
      </c>
      <c r="CW22" s="224"/>
      <c r="CX22" s="188"/>
      <c r="CY22" s="188"/>
      <c r="CZ22" s="224" t="e">
        <f t="shared" si="38"/>
        <v>#DIV/0!</v>
      </c>
      <c r="DA22" s="224"/>
      <c r="DB22" s="224"/>
      <c r="DC22" s="224"/>
      <c r="DD22" s="224"/>
      <c r="DE22" s="224"/>
      <c r="DF22" s="224"/>
      <c r="DG22" s="188">
        <f t="shared" si="39"/>
        <v>9736.5230700000011</v>
      </c>
      <c r="DH22" s="188">
        <f t="shared" si="39"/>
        <v>1519.16227</v>
      </c>
      <c r="DI22" s="224">
        <f t="shared" si="40"/>
        <v>15.602718332592621</v>
      </c>
      <c r="DJ22" s="188">
        <f t="shared" si="41"/>
        <v>1109.4089999999999</v>
      </c>
      <c r="DK22" s="188">
        <f t="shared" si="41"/>
        <v>377.45856000000003</v>
      </c>
      <c r="DL22" s="224">
        <f t="shared" si="42"/>
        <v>34.023390832416183</v>
      </c>
      <c r="DM22" s="224">
        <f>Тор!C58</f>
        <v>1079.2149999999999</v>
      </c>
      <c r="DN22" s="224">
        <f>Тор!D58</f>
        <v>372.26456000000002</v>
      </c>
      <c r="DO22" s="224">
        <f t="shared" si="43"/>
        <v>34.494012777806091</v>
      </c>
      <c r="DP22" s="224">
        <f>Тор!C61</f>
        <v>0</v>
      </c>
      <c r="DQ22" s="224">
        <f>Тор!D61</f>
        <v>0</v>
      </c>
      <c r="DR22" s="224" t="e">
        <f t="shared" si="44"/>
        <v>#DIV/0!</v>
      </c>
      <c r="DS22" s="224">
        <f>Тор!C62</f>
        <v>5</v>
      </c>
      <c r="DT22" s="224">
        <f>Тор!D62</f>
        <v>0</v>
      </c>
      <c r="DU22" s="224">
        <f t="shared" si="45"/>
        <v>0</v>
      </c>
      <c r="DV22" s="224">
        <f>Тор!C63</f>
        <v>25.193999999999999</v>
      </c>
      <c r="DW22" s="224">
        <f>Тор!D63</f>
        <v>5.194</v>
      </c>
      <c r="DX22" s="224">
        <f t="shared" si="46"/>
        <v>20.616019687227119</v>
      </c>
      <c r="DY22" s="224">
        <f>Тор!C65</f>
        <v>179.892</v>
      </c>
      <c r="DZ22" s="224">
        <f>+Тор!D64</f>
        <v>65.043120000000002</v>
      </c>
      <c r="EA22" s="224">
        <f t="shared" si="47"/>
        <v>36.156760723100525</v>
      </c>
      <c r="EB22" s="224">
        <f>Тор!C66</f>
        <v>38.99</v>
      </c>
      <c r="EC22" s="224">
        <f>Тор!D66</f>
        <v>34.79</v>
      </c>
      <c r="ED22" s="224">
        <f t="shared" si="48"/>
        <v>89.228007181328536</v>
      </c>
      <c r="EE22" s="188">
        <f>Тор!C72</f>
        <v>6183.4035700000004</v>
      </c>
      <c r="EF22" s="188">
        <f>Тор!D72</f>
        <v>460.93525</v>
      </c>
      <c r="EG22" s="224">
        <f t="shared" si="49"/>
        <v>7.4543937619779195</v>
      </c>
      <c r="EH22" s="188">
        <f>Тор!C78</f>
        <v>699.72850000000005</v>
      </c>
      <c r="EI22" s="188">
        <f>Тор!D78</f>
        <v>67.713340000000002</v>
      </c>
      <c r="EJ22" s="224">
        <f t="shared" si="50"/>
        <v>9.6770876132671457</v>
      </c>
      <c r="EK22" s="188">
        <f>Тор!C82</f>
        <v>1500.1</v>
      </c>
      <c r="EL22" s="227">
        <f>Тор!D82</f>
        <v>513.22199999999998</v>
      </c>
      <c r="EM22" s="224">
        <f t="shared" si="10"/>
        <v>34.212519165388976</v>
      </c>
      <c r="EN22" s="224">
        <f>Тор!C84</f>
        <v>0</v>
      </c>
      <c r="EO22" s="224">
        <f>Тор!D84</f>
        <v>0</v>
      </c>
      <c r="EP22" s="224" t="e">
        <f t="shared" si="11"/>
        <v>#DIV/0!</v>
      </c>
      <c r="EQ22" s="225">
        <f>Тор!C97</f>
        <v>25</v>
      </c>
      <c r="ER22" s="225">
        <f>Тор!D97</f>
        <v>0</v>
      </c>
      <c r="ES22" s="224">
        <f t="shared" si="51"/>
        <v>0</v>
      </c>
      <c r="ET22" s="224">
        <f>Тор!C95</f>
        <v>0</v>
      </c>
      <c r="EU22" s="224">
        <f>Тор!D95</f>
        <v>0</v>
      </c>
      <c r="EV22" s="224" t="e">
        <f t="shared" si="52"/>
        <v>#DIV/0!</v>
      </c>
      <c r="EW22" s="228">
        <f t="shared" si="12"/>
        <v>-434.22364000000198</v>
      </c>
      <c r="EX22" s="228">
        <f t="shared" si="13"/>
        <v>404.34224999999992</v>
      </c>
      <c r="EY22" s="224">
        <f t="shared" si="54"/>
        <v>-93.118433164992595</v>
      </c>
      <c r="EZ22" s="229"/>
      <c r="FA22" s="230"/>
      <c r="FC22" s="230"/>
      <c r="FF22" s="321"/>
      <c r="FG22" s="321"/>
      <c r="FH22" s="321"/>
      <c r="FI22" s="321"/>
      <c r="FJ22" s="321"/>
      <c r="FK22" s="321"/>
      <c r="FL22" s="321"/>
      <c r="FM22" s="321"/>
      <c r="FN22" s="321"/>
    </row>
    <row r="23" spans="1:170" s="169" customFormat="1" ht="15" customHeight="1">
      <c r="A23" s="181">
        <v>10</v>
      </c>
      <c r="B23" s="194" t="s">
        <v>312</v>
      </c>
      <c r="C23" s="417">
        <f t="shared" si="14"/>
        <v>5061.2496300000003</v>
      </c>
      <c r="D23" s="405">
        <f t="shared" si="0"/>
        <v>1325.6475</v>
      </c>
      <c r="E23" s="187">
        <f t="shared" si="1"/>
        <v>26.192098728787656</v>
      </c>
      <c r="F23" s="185">
        <f t="shared" si="2"/>
        <v>1029.2919999999999</v>
      </c>
      <c r="G23" s="185">
        <f t="shared" si="3"/>
        <v>548.24029999999993</v>
      </c>
      <c r="H23" s="187">
        <f t="shared" si="15"/>
        <v>53.263826008557338</v>
      </c>
      <c r="I23" s="195">
        <f>Хор!C6</f>
        <v>79.421999999999997</v>
      </c>
      <c r="J23" s="188">
        <f>Хор!D6</f>
        <v>17.823039999999999</v>
      </c>
      <c r="K23" s="187">
        <f t="shared" si="16"/>
        <v>22.440935760872303</v>
      </c>
      <c r="L23" s="187">
        <f>Хор!C8</f>
        <v>123.79</v>
      </c>
      <c r="M23" s="187">
        <f>Хор!D8</f>
        <v>72.642049999999998</v>
      </c>
      <c r="N23" s="184">
        <f t="shared" si="17"/>
        <v>58.681678649325463</v>
      </c>
      <c r="O23" s="184">
        <f>Хор!C9</f>
        <v>1.33</v>
      </c>
      <c r="P23" s="184">
        <f>Хор!D9</f>
        <v>0.54571000000000003</v>
      </c>
      <c r="Q23" s="184">
        <f t="shared" si="18"/>
        <v>41.030827067669172</v>
      </c>
      <c r="R23" s="184">
        <f>Хор!C10</f>
        <v>206.75</v>
      </c>
      <c r="S23" s="184">
        <f>Хор!D10</f>
        <v>100.82192000000001</v>
      </c>
      <c r="T23" s="184">
        <f t="shared" si="19"/>
        <v>48.76513663845224</v>
      </c>
      <c r="U23" s="184">
        <f>Хор!C11</f>
        <v>0</v>
      </c>
      <c r="V23" s="380">
        <f>Хор!D11</f>
        <v>-13.21062</v>
      </c>
      <c r="W23" s="184" t="e">
        <f t="shared" si="20"/>
        <v>#DIV/0!</v>
      </c>
      <c r="X23" s="195">
        <f>Хор!C13</f>
        <v>5</v>
      </c>
      <c r="Y23" s="195">
        <f>Хор!D13</f>
        <v>1.67065</v>
      </c>
      <c r="Z23" s="187">
        <f t="shared" si="21"/>
        <v>33.412999999999997</v>
      </c>
      <c r="AA23" s="195">
        <f>Хор!C15</f>
        <v>179</v>
      </c>
      <c r="AB23" s="379">
        <f>Хор!D15</f>
        <v>244.00548000000001</v>
      </c>
      <c r="AC23" s="187">
        <f t="shared" si="22"/>
        <v>136.31591061452514</v>
      </c>
      <c r="AD23" s="195">
        <f>Хор!C16</f>
        <v>392</v>
      </c>
      <c r="AE23" s="195">
        <f>Хор!D16</f>
        <v>44.974679999999999</v>
      </c>
      <c r="AF23" s="187">
        <f t="shared" si="4"/>
        <v>11.473132653061224</v>
      </c>
      <c r="AG23" s="187">
        <f>Хор!C18</f>
        <v>10</v>
      </c>
      <c r="AH23" s="187">
        <f>Хор!D18</f>
        <v>2</v>
      </c>
      <c r="AI23" s="187">
        <f t="shared" si="23"/>
        <v>20</v>
      </c>
      <c r="AJ23" s="187"/>
      <c r="AK23" s="187"/>
      <c r="AL23" s="187" t="e">
        <f t="shared" si="5"/>
        <v>#DIV/0!</v>
      </c>
      <c r="AM23" s="195">
        <v>0</v>
      </c>
      <c r="AN23" s="195">
        <v>0</v>
      </c>
      <c r="AO23" s="187" t="e">
        <f t="shared" si="6"/>
        <v>#DIV/0!</v>
      </c>
      <c r="AP23" s="195">
        <f>Хор!C27</f>
        <v>32</v>
      </c>
      <c r="AQ23" s="397">
        <f>Хор!D27</f>
        <v>76.967389999999995</v>
      </c>
      <c r="AR23" s="187">
        <f t="shared" si="24"/>
        <v>240.52309374999999</v>
      </c>
      <c r="AS23" s="188">
        <f>Хор!C28</f>
        <v>0</v>
      </c>
      <c r="AT23" s="378">
        <f>Хор!D28</f>
        <v>0</v>
      </c>
      <c r="AU23" s="187" t="e">
        <f t="shared" si="25"/>
        <v>#DIV/0!</v>
      </c>
      <c r="AV23" s="195"/>
      <c r="AW23" s="195"/>
      <c r="AX23" s="187" t="e">
        <f t="shared" si="26"/>
        <v>#DIV/0!</v>
      </c>
      <c r="AY23" s="187">
        <f>Хор!C29</f>
        <v>0</v>
      </c>
      <c r="AZ23" s="224">
        <f>Хор!D29</f>
        <v>0</v>
      </c>
      <c r="BA23" s="187" t="e">
        <f t="shared" si="27"/>
        <v>#DIV/0!</v>
      </c>
      <c r="BB23" s="187"/>
      <c r="BC23" s="187"/>
      <c r="BD23" s="187"/>
      <c r="BE23" s="187">
        <f>Хор!C33</f>
        <v>0</v>
      </c>
      <c r="BF23" s="187">
        <f>Хор!D33</f>
        <v>0</v>
      </c>
      <c r="BG23" s="187" t="e">
        <f t="shared" si="28"/>
        <v>#DIV/0!</v>
      </c>
      <c r="BH23" s="187"/>
      <c r="BI23" s="187"/>
      <c r="BJ23" s="187" t="e">
        <f t="shared" si="29"/>
        <v>#DIV/0!</v>
      </c>
      <c r="BK23" s="187"/>
      <c r="BL23" s="187"/>
      <c r="BM23" s="187"/>
      <c r="BN23" s="187"/>
      <c r="BO23" s="353"/>
      <c r="BP23" s="187" t="e">
        <f t="shared" si="30"/>
        <v>#DIV/0!</v>
      </c>
      <c r="BQ23" s="187">
        <f>Хор!C34</f>
        <v>0</v>
      </c>
      <c r="BR23" s="187">
        <f>Хор!D34</f>
        <v>0</v>
      </c>
      <c r="BS23" s="187" t="e">
        <f t="shared" si="31"/>
        <v>#DIV/0!</v>
      </c>
      <c r="BT23" s="187"/>
      <c r="BU23" s="187"/>
      <c r="BV23" s="196" t="e">
        <f t="shared" si="32"/>
        <v>#DIV/0!</v>
      </c>
      <c r="BW23" s="196"/>
      <c r="BX23" s="196"/>
      <c r="BY23" s="196" t="e">
        <f t="shared" si="33"/>
        <v>#DIV/0!</v>
      </c>
      <c r="BZ23" s="186">
        <f t="shared" si="34"/>
        <v>4031.9576300000003</v>
      </c>
      <c r="CA23" s="186">
        <f t="shared" si="35"/>
        <v>777.40719999999999</v>
      </c>
      <c r="CB23" s="187">
        <f t="shared" si="53"/>
        <v>19.281135154190594</v>
      </c>
      <c r="CC23" s="187">
        <f>Хор!C39</f>
        <v>1275.4000000000001</v>
      </c>
      <c r="CD23" s="187">
        <f>Хор!D39</f>
        <v>531.41499999999996</v>
      </c>
      <c r="CE23" s="187">
        <f t="shared" si="36"/>
        <v>41.66653598870942</v>
      </c>
      <c r="CF23" s="187">
        <f>Хор!C41</f>
        <v>90</v>
      </c>
      <c r="CG23" s="187">
        <f>Хор!D41</f>
        <v>45</v>
      </c>
      <c r="CH23" s="187">
        <f t="shared" si="37"/>
        <v>50</v>
      </c>
      <c r="CI23" s="187">
        <f>Хор!C42</f>
        <v>1537.9304299999999</v>
      </c>
      <c r="CJ23" s="187">
        <f>Хор!D42</f>
        <v>157.52000000000001</v>
      </c>
      <c r="CK23" s="187">
        <f t="shared" si="7"/>
        <v>10.242335864308245</v>
      </c>
      <c r="CL23" s="187">
        <f>Хор!C43</f>
        <v>92.456000000000003</v>
      </c>
      <c r="CM23" s="187">
        <f>Хор!D43</f>
        <v>37.301000000000002</v>
      </c>
      <c r="CN23" s="187">
        <f t="shared" si="8"/>
        <v>40.344596348533358</v>
      </c>
      <c r="CO23" s="187">
        <f>Хор!C44</f>
        <v>1030</v>
      </c>
      <c r="CP23" s="187">
        <f>Хор!D44</f>
        <v>0</v>
      </c>
      <c r="CQ23" s="187"/>
      <c r="CR23" s="383">
        <f>Хор!C45</f>
        <v>6.1711999999999998</v>
      </c>
      <c r="CS23" s="187">
        <f>Хор!D45</f>
        <v>6.1711999999999998</v>
      </c>
      <c r="CT23" s="187">
        <f t="shared" si="9"/>
        <v>100</v>
      </c>
      <c r="CU23" s="187"/>
      <c r="CV23" s="187"/>
      <c r="CW23" s="187"/>
      <c r="CX23" s="195"/>
      <c r="CY23" s="195"/>
      <c r="CZ23" s="187" t="e">
        <f t="shared" si="38"/>
        <v>#DIV/0!</v>
      </c>
      <c r="DA23" s="187"/>
      <c r="DB23" s="187"/>
      <c r="DC23" s="187"/>
      <c r="DD23" s="187"/>
      <c r="DE23" s="187">
        <f>Хор!D48</f>
        <v>0</v>
      </c>
      <c r="DF23" s="187"/>
      <c r="DG23" s="188">
        <f t="shared" si="39"/>
        <v>5344.80213</v>
      </c>
      <c r="DH23" s="188">
        <f t="shared" si="39"/>
        <v>996.79867999999999</v>
      </c>
      <c r="DI23" s="187">
        <f t="shared" si="40"/>
        <v>18.649870579961021</v>
      </c>
      <c r="DJ23" s="195">
        <f t="shared" si="41"/>
        <v>992.09100000000001</v>
      </c>
      <c r="DK23" s="195">
        <f t="shared" si="41"/>
        <v>339.44866999999999</v>
      </c>
      <c r="DL23" s="187">
        <f t="shared" si="42"/>
        <v>34.215477209247943</v>
      </c>
      <c r="DM23" s="187">
        <f>Хор!C56</f>
        <v>984.4</v>
      </c>
      <c r="DN23" s="187">
        <f>Хор!D56</f>
        <v>336.75817000000001</v>
      </c>
      <c r="DO23" s="187">
        <f t="shared" si="43"/>
        <v>34.209484965461193</v>
      </c>
      <c r="DP23" s="187">
        <f>Хор!C59</f>
        <v>0</v>
      </c>
      <c r="DQ23" s="187">
        <f>Хор!D59</f>
        <v>0</v>
      </c>
      <c r="DR23" s="187" t="e">
        <f t="shared" si="44"/>
        <v>#DIV/0!</v>
      </c>
      <c r="DS23" s="187">
        <f>Хор!C60</f>
        <v>5</v>
      </c>
      <c r="DT23" s="187">
        <f>Хор!D60</f>
        <v>0</v>
      </c>
      <c r="DU23" s="187">
        <f t="shared" si="45"/>
        <v>0</v>
      </c>
      <c r="DV23" s="187">
        <f>Хор!C61</f>
        <v>2.6909999999999998</v>
      </c>
      <c r="DW23" s="187">
        <f>Хор!D61</f>
        <v>2.6905000000000001</v>
      </c>
      <c r="DX23" s="187">
        <f t="shared" si="46"/>
        <v>99.981419546636957</v>
      </c>
      <c r="DY23" s="187">
        <f>Хор!C63</f>
        <v>89.944999999999993</v>
      </c>
      <c r="DZ23" s="187">
        <f>Хор!D63</f>
        <v>31.38</v>
      </c>
      <c r="EA23" s="187">
        <f t="shared" si="47"/>
        <v>34.887987103229747</v>
      </c>
      <c r="EB23" s="187">
        <f>Хор!C64</f>
        <v>6.4</v>
      </c>
      <c r="EC23" s="187">
        <f>Хор!D64</f>
        <v>0</v>
      </c>
      <c r="ED23" s="187">
        <f t="shared" si="48"/>
        <v>0</v>
      </c>
      <c r="EE23" s="195">
        <f>Хор!C70</f>
        <v>2148.5418299999997</v>
      </c>
      <c r="EF23" s="195">
        <f>Хор!D70</f>
        <v>192.83500000000001</v>
      </c>
      <c r="EG23" s="187">
        <f t="shared" si="49"/>
        <v>8.9751568858214892</v>
      </c>
      <c r="EH23" s="195">
        <f>Хор!C75</f>
        <v>238.12430000000001</v>
      </c>
      <c r="EI23" s="195">
        <f>Хор!D75</f>
        <v>71.135009999999994</v>
      </c>
      <c r="EJ23" s="187">
        <f t="shared" si="50"/>
        <v>29.873057894553391</v>
      </c>
      <c r="EK23" s="195">
        <f>Хор!C79</f>
        <v>1863.7</v>
      </c>
      <c r="EL23" s="197">
        <f>Хор!D79</f>
        <v>360</v>
      </c>
      <c r="EM23" s="187">
        <f t="shared" si="10"/>
        <v>19.316413585877555</v>
      </c>
      <c r="EN23" s="187">
        <f>Хор!C81</f>
        <v>0</v>
      </c>
      <c r="EO23" s="187">
        <f>Хор!D81</f>
        <v>0</v>
      </c>
      <c r="EP23" s="187" t="e">
        <f t="shared" si="11"/>
        <v>#DIV/0!</v>
      </c>
      <c r="EQ23" s="198">
        <f>Хор!C86</f>
        <v>6</v>
      </c>
      <c r="ER23" s="198">
        <f>Хор!D86</f>
        <v>2</v>
      </c>
      <c r="ES23" s="187">
        <f t="shared" si="51"/>
        <v>33.333333333333329</v>
      </c>
      <c r="ET23" s="187">
        <f>Хор!C92</f>
        <v>0</v>
      </c>
      <c r="EU23" s="187">
        <f>Хор!D92</f>
        <v>0</v>
      </c>
      <c r="EV23" s="184" t="e">
        <f t="shared" si="52"/>
        <v>#DIV/0!</v>
      </c>
      <c r="EW23" s="191">
        <f t="shared" si="12"/>
        <v>-283.55249999999978</v>
      </c>
      <c r="EX23" s="191">
        <f t="shared" si="13"/>
        <v>328.84882000000005</v>
      </c>
      <c r="EY23" s="184">
        <f t="shared" si="54"/>
        <v>-115.97457966337814</v>
      </c>
      <c r="EZ23" s="192"/>
      <c r="FA23" s="193"/>
      <c r="FC23" s="193"/>
    </row>
    <row r="24" spans="1:170" s="387" customFormat="1" ht="15" customHeight="1">
      <c r="A24" s="382">
        <v>11</v>
      </c>
      <c r="B24" s="194" t="s">
        <v>313</v>
      </c>
      <c r="C24" s="418">
        <f t="shared" si="14"/>
        <v>6108.9151000000011</v>
      </c>
      <c r="D24" s="405">
        <f t="shared" si="0"/>
        <v>2439.7655100000002</v>
      </c>
      <c r="E24" s="187">
        <f t="shared" si="1"/>
        <v>39.937787153074034</v>
      </c>
      <c r="F24" s="198">
        <f t="shared" si="2"/>
        <v>1081.296</v>
      </c>
      <c r="G24" s="198">
        <f t="shared" si="3"/>
        <v>391.03350999999998</v>
      </c>
      <c r="H24" s="187">
        <f t="shared" si="15"/>
        <v>36.163410389014658</v>
      </c>
      <c r="I24" s="195">
        <f>Чум!C6</f>
        <v>86.510999999999996</v>
      </c>
      <c r="J24" s="188">
        <f>Чум!D6</f>
        <v>43.972560000000001</v>
      </c>
      <c r="K24" s="187">
        <f t="shared" si="16"/>
        <v>50.828865693380031</v>
      </c>
      <c r="L24" s="187">
        <f>Чум!C8</f>
        <v>118.16</v>
      </c>
      <c r="M24" s="187">
        <f>Чум!D8</f>
        <v>69.340130000000002</v>
      </c>
      <c r="N24" s="187">
        <f t="shared" si="17"/>
        <v>58.683251523358159</v>
      </c>
      <c r="O24" s="187">
        <f>Чум!C9</f>
        <v>1.2649999999999999</v>
      </c>
      <c r="P24" s="187">
        <f>Чум!D9</f>
        <v>0.52092000000000005</v>
      </c>
      <c r="Q24" s="187">
        <f t="shared" si="18"/>
        <v>41.179446640316215</v>
      </c>
      <c r="R24" s="187">
        <f>Чум!C10</f>
        <v>197.36</v>
      </c>
      <c r="S24" s="187">
        <f>Чум!D10</f>
        <v>96.239140000000006</v>
      </c>
      <c r="T24" s="187">
        <f t="shared" si="19"/>
        <v>48.763244831779488</v>
      </c>
      <c r="U24" s="187">
        <f>Чум!C11</f>
        <v>0</v>
      </c>
      <c r="V24" s="383">
        <f>Чум!D11</f>
        <v>-12.610139999999999</v>
      </c>
      <c r="W24" s="187" t="e">
        <f t="shared" si="20"/>
        <v>#DIV/0!</v>
      </c>
      <c r="X24" s="195">
        <f>Чум!C13</f>
        <v>65</v>
      </c>
      <c r="Y24" s="195">
        <f>Чум!D13</f>
        <v>69.128699999999995</v>
      </c>
      <c r="Z24" s="187">
        <f t="shared" si="21"/>
        <v>106.35184615384614</v>
      </c>
      <c r="AA24" s="195">
        <f>Чум!C15</f>
        <v>88</v>
      </c>
      <c r="AB24" s="379">
        <f>Чум!D15</f>
        <v>4.0890199999999997</v>
      </c>
      <c r="AC24" s="187">
        <f t="shared" si="22"/>
        <v>4.6466136363636359</v>
      </c>
      <c r="AD24" s="195">
        <f>Чум!C16</f>
        <v>460</v>
      </c>
      <c r="AE24" s="195">
        <f>Чум!D16</f>
        <v>55.857779999999998</v>
      </c>
      <c r="AF24" s="187">
        <f t="shared" si="4"/>
        <v>12.142995652173912</v>
      </c>
      <c r="AG24" s="187">
        <f>Чум!C18</f>
        <v>10</v>
      </c>
      <c r="AH24" s="187">
        <f>Чум!D18</f>
        <v>1.95</v>
      </c>
      <c r="AI24" s="187">
        <f t="shared" si="23"/>
        <v>19.5</v>
      </c>
      <c r="AJ24" s="187">
        <f>Чум!C22</f>
        <v>0</v>
      </c>
      <c r="AK24" s="187">
        <f>Чум!D20</f>
        <v>0</v>
      </c>
      <c r="AL24" s="187" t="e">
        <f>AK24/AJ24*100</f>
        <v>#DIV/0!</v>
      </c>
      <c r="AM24" s="195">
        <v>0</v>
      </c>
      <c r="AN24" s="195"/>
      <c r="AO24" s="187" t="e">
        <f t="shared" si="6"/>
        <v>#DIV/0!</v>
      </c>
      <c r="AP24" s="195">
        <f>Чум!C27</f>
        <v>55</v>
      </c>
      <c r="AQ24" s="397">
        <f>Чум!D27</f>
        <v>43.258000000000003</v>
      </c>
      <c r="AR24" s="187">
        <f t="shared" si="24"/>
        <v>78.650909090909096</v>
      </c>
      <c r="AS24" s="195">
        <f>Чум!C28</f>
        <v>0</v>
      </c>
      <c r="AT24" s="378">
        <f>Чум!D28</f>
        <v>0</v>
      </c>
      <c r="AU24" s="187" t="e">
        <f t="shared" si="25"/>
        <v>#DIV/0!</v>
      </c>
      <c r="AV24" s="195"/>
      <c r="AW24" s="195"/>
      <c r="AX24" s="187" t="e">
        <f t="shared" si="26"/>
        <v>#DIV/0!</v>
      </c>
      <c r="AY24" s="187">
        <f>Чум!C30</f>
        <v>0</v>
      </c>
      <c r="AZ24" s="224">
        <f>Чум!D30</f>
        <v>19.287400000000002</v>
      </c>
      <c r="BA24" s="187" t="e">
        <f t="shared" si="27"/>
        <v>#DIV/0!</v>
      </c>
      <c r="BB24" s="187"/>
      <c r="BC24" s="187"/>
      <c r="BD24" s="187"/>
      <c r="BE24" s="187">
        <f>Чум!C33</f>
        <v>0</v>
      </c>
      <c r="BF24" s="187">
        <f>Чум!D33</f>
        <v>0</v>
      </c>
      <c r="BG24" s="187" t="e">
        <f t="shared" si="28"/>
        <v>#DIV/0!</v>
      </c>
      <c r="BH24" s="187"/>
      <c r="BI24" s="187"/>
      <c r="BJ24" s="187" t="e">
        <f t="shared" si="29"/>
        <v>#DIV/0!</v>
      </c>
      <c r="BK24" s="187"/>
      <c r="BL24" s="187"/>
      <c r="BM24" s="187"/>
      <c r="BN24" s="187"/>
      <c r="BO24" s="353">
        <f>Чум!D34</f>
        <v>0</v>
      </c>
      <c r="BP24" s="187" t="e">
        <f t="shared" si="30"/>
        <v>#DIV/0!</v>
      </c>
      <c r="BQ24" s="187">
        <f>Чум!C37</f>
        <v>0</v>
      </c>
      <c r="BR24" s="187">
        <f>Чум!D37</f>
        <v>0</v>
      </c>
      <c r="BS24" s="187" t="e">
        <f t="shared" si="31"/>
        <v>#DIV/0!</v>
      </c>
      <c r="BT24" s="187"/>
      <c r="BU24" s="187"/>
      <c r="BV24" s="196" t="e">
        <f t="shared" si="32"/>
        <v>#DIV/0!</v>
      </c>
      <c r="BW24" s="196"/>
      <c r="BX24" s="196"/>
      <c r="BY24" s="196" t="e">
        <f t="shared" si="33"/>
        <v>#DIV/0!</v>
      </c>
      <c r="BZ24" s="195">
        <f t="shared" si="34"/>
        <v>5027.6191000000008</v>
      </c>
      <c r="CA24" s="195">
        <f t="shared" si="35"/>
        <v>2048.732</v>
      </c>
      <c r="CB24" s="187">
        <f t="shared" si="53"/>
        <v>40.749546838184294</v>
      </c>
      <c r="CC24" s="187">
        <f>Чум!C42</f>
        <v>1969.9</v>
      </c>
      <c r="CD24" s="187">
        <f>Чум!D42</f>
        <v>820.79</v>
      </c>
      <c r="CE24" s="187">
        <f t="shared" si="36"/>
        <v>41.666582060003044</v>
      </c>
      <c r="CF24" s="187">
        <f>Чум!C43</f>
        <v>685</v>
      </c>
      <c r="CG24" s="187">
        <f>Чум!D43</f>
        <v>650</v>
      </c>
      <c r="CH24" s="187">
        <f t="shared" si="37"/>
        <v>94.890510948905103</v>
      </c>
      <c r="CI24" s="187">
        <f>Чум!C44</f>
        <v>1825.30438</v>
      </c>
      <c r="CJ24" s="187">
        <f>Чум!D44</f>
        <v>211.2</v>
      </c>
      <c r="CK24" s="187">
        <f t="shared" si="7"/>
        <v>11.570672941682197</v>
      </c>
      <c r="CL24" s="187">
        <f>Чум!C45</f>
        <v>92.710999999999999</v>
      </c>
      <c r="CM24" s="187">
        <f>Чум!D45</f>
        <v>37.301000000000002</v>
      </c>
      <c r="CN24" s="187">
        <f t="shared" si="8"/>
        <v>40.233629234934369</v>
      </c>
      <c r="CO24" s="187">
        <f>Чум!C46</f>
        <v>125.26285</v>
      </c>
      <c r="CP24" s="187">
        <f>Чум!D46</f>
        <v>0</v>
      </c>
      <c r="CQ24" s="187"/>
      <c r="CR24" s="383">
        <f>Чум!C50</f>
        <v>329.44087000000002</v>
      </c>
      <c r="CS24" s="187">
        <f>Чум!D50</f>
        <v>329.44099999999997</v>
      </c>
      <c r="CT24" s="187">
        <f t="shared" si="9"/>
        <v>100.00003946079912</v>
      </c>
      <c r="CU24" s="187"/>
      <c r="CV24" s="187"/>
      <c r="CW24" s="187"/>
      <c r="CX24" s="195"/>
      <c r="CY24" s="195"/>
      <c r="CZ24" s="187" t="e">
        <f t="shared" si="38"/>
        <v>#DIV/0!</v>
      </c>
      <c r="DA24" s="187"/>
      <c r="DB24" s="187"/>
      <c r="DC24" s="187"/>
      <c r="DD24" s="187"/>
      <c r="DE24" s="187"/>
      <c r="DF24" s="187"/>
      <c r="DG24" s="188">
        <f t="shared" si="39"/>
        <v>6278.9986200000003</v>
      </c>
      <c r="DH24" s="188">
        <f t="shared" si="39"/>
        <v>1978.5916100000002</v>
      </c>
      <c r="DI24" s="187">
        <f t="shared" si="40"/>
        <v>31.511260469109644</v>
      </c>
      <c r="DJ24" s="195">
        <f t="shared" si="41"/>
        <v>1308.2380000000001</v>
      </c>
      <c r="DK24" s="195">
        <f t="shared" si="41"/>
        <v>473.23124999999999</v>
      </c>
      <c r="DL24" s="187">
        <f t="shared" si="42"/>
        <v>36.173177204759376</v>
      </c>
      <c r="DM24" s="187">
        <f>Чум!C58</f>
        <v>1280</v>
      </c>
      <c r="DN24" s="187">
        <f>Чум!D58</f>
        <v>469.99324999999999</v>
      </c>
      <c r="DO24" s="187">
        <f t="shared" si="43"/>
        <v>36.718222656249999</v>
      </c>
      <c r="DP24" s="187">
        <f>Чум!C61</f>
        <v>0</v>
      </c>
      <c r="DQ24" s="187">
        <f>Чум!D61</f>
        <v>0</v>
      </c>
      <c r="DR24" s="187" t="e">
        <f t="shared" si="44"/>
        <v>#DIV/0!</v>
      </c>
      <c r="DS24" s="187">
        <f>Чум!C62</f>
        <v>5</v>
      </c>
      <c r="DT24" s="187">
        <f>Чум!D62</f>
        <v>0</v>
      </c>
      <c r="DU24" s="187">
        <f t="shared" si="45"/>
        <v>0</v>
      </c>
      <c r="DV24" s="187">
        <f>Чум!C63</f>
        <v>23.238</v>
      </c>
      <c r="DW24" s="187">
        <f>Чум!D63</f>
        <v>3.238</v>
      </c>
      <c r="DX24" s="187">
        <f t="shared" si="46"/>
        <v>13.934073500301231</v>
      </c>
      <c r="DY24" s="187">
        <f>Чум!C65</f>
        <v>89.945999999999998</v>
      </c>
      <c r="DZ24" s="187">
        <f>Чум!D65</f>
        <v>31.889119999999998</v>
      </c>
      <c r="EA24" s="187">
        <f t="shared" si="47"/>
        <v>35.453627732194867</v>
      </c>
      <c r="EB24" s="187">
        <f>Чум!C66</f>
        <v>6.8</v>
      </c>
      <c r="EC24" s="187">
        <f>Чум!D66</f>
        <v>0.6</v>
      </c>
      <c r="ED24" s="187">
        <f t="shared" si="48"/>
        <v>8.8235294117647065</v>
      </c>
      <c r="EE24" s="195">
        <f>Чум!C72</f>
        <v>2534.8808400000003</v>
      </c>
      <c r="EF24" s="195">
        <f>Чум!D72</f>
        <v>342.37101999999999</v>
      </c>
      <c r="EG24" s="187">
        <f t="shared" si="49"/>
        <v>13.506395038277223</v>
      </c>
      <c r="EH24" s="195">
        <f>Чум!C77</f>
        <v>687.73378000000002</v>
      </c>
      <c r="EI24" s="195">
        <f>Чум!D77</f>
        <v>74.093999999999994</v>
      </c>
      <c r="EJ24" s="187">
        <f t="shared" si="50"/>
        <v>10.773645581288735</v>
      </c>
      <c r="EK24" s="195">
        <f>Чум!C81</f>
        <v>1615.4</v>
      </c>
      <c r="EL24" s="197">
        <f>Чум!D81</f>
        <v>1055.4062200000001</v>
      </c>
      <c r="EM24" s="187">
        <f t="shared" si="10"/>
        <v>65.334048532871108</v>
      </c>
      <c r="EN24" s="187">
        <f>Чум!C83</f>
        <v>0</v>
      </c>
      <c r="EO24" s="187">
        <f>Чум!D83</f>
        <v>0</v>
      </c>
      <c r="EP24" s="187" t="e">
        <f t="shared" si="11"/>
        <v>#DIV/0!</v>
      </c>
      <c r="EQ24" s="198">
        <f>Чум!C88</f>
        <v>36</v>
      </c>
      <c r="ER24" s="198">
        <f>Чум!D88</f>
        <v>1</v>
      </c>
      <c r="ES24" s="187">
        <f t="shared" si="51"/>
        <v>2.7777777777777777</v>
      </c>
      <c r="ET24" s="187">
        <f>Чум!C94</f>
        <v>0</v>
      </c>
      <c r="EU24" s="187">
        <f>Чум!D94</f>
        <v>0</v>
      </c>
      <c r="EV24" s="187" t="e">
        <f t="shared" si="52"/>
        <v>#DIV/0!</v>
      </c>
      <c r="EW24" s="384">
        <f t="shared" si="12"/>
        <v>-170.08351999999923</v>
      </c>
      <c r="EX24" s="384">
        <f t="shared" si="13"/>
        <v>461.1739</v>
      </c>
      <c r="EY24" s="187">
        <f t="shared" si="54"/>
        <v>-271.14555249091865</v>
      </c>
      <c r="EZ24" s="385"/>
      <c r="FA24" s="386"/>
      <c r="FC24" s="386"/>
    </row>
    <row r="25" spans="1:170" s="231" customFormat="1" ht="15" customHeight="1">
      <c r="A25" s="222">
        <v>12</v>
      </c>
      <c r="B25" s="223" t="s">
        <v>314</v>
      </c>
      <c r="C25" s="419">
        <f t="shared" si="14"/>
        <v>4099.6331199999995</v>
      </c>
      <c r="D25" s="406">
        <f t="shared" si="0"/>
        <v>1226.0369800000001</v>
      </c>
      <c r="E25" s="224">
        <f t="shared" si="1"/>
        <v>29.906017053545519</v>
      </c>
      <c r="F25" s="225">
        <f t="shared" si="2"/>
        <v>833.452</v>
      </c>
      <c r="G25" s="225">
        <f t="shared" si="3"/>
        <v>308.85898000000003</v>
      </c>
      <c r="H25" s="224">
        <f t="shared" si="15"/>
        <v>37.057800569198953</v>
      </c>
      <c r="I25" s="188">
        <f>Шать!C6</f>
        <v>37.046999999999997</v>
      </c>
      <c r="J25" s="188">
        <f>Шать!D6</f>
        <v>16.734770000000001</v>
      </c>
      <c r="K25" s="224">
        <f t="shared" si="16"/>
        <v>45.171727805220399</v>
      </c>
      <c r="L25" s="224">
        <f>Шать!C8</f>
        <v>121.37</v>
      </c>
      <c r="M25" s="224">
        <f>Шать!D8</f>
        <v>71.226960000000005</v>
      </c>
      <c r="N25" s="224">
        <f t="shared" si="17"/>
        <v>58.68580374062784</v>
      </c>
      <c r="O25" s="224">
        <f>Шать!C9</f>
        <v>1.3049999999999999</v>
      </c>
      <c r="P25" s="224">
        <f>Шать!D9</f>
        <v>0.53508999999999995</v>
      </c>
      <c r="Q25" s="224">
        <f t="shared" si="18"/>
        <v>41.003065134099614</v>
      </c>
      <c r="R25" s="224">
        <f>Шать!C10</f>
        <v>202.73</v>
      </c>
      <c r="S25" s="224">
        <f>Шать!D10</f>
        <v>98.857889999999998</v>
      </c>
      <c r="T25" s="224">
        <f t="shared" si="19"/>
        <v>48.763325605485129</v>
      </c>
      <c r="U25" s="224">
        <f>Шать!C11</f>
        <v>0</v>
      </c>
      <c r="V25" s="381">
        <f>Шать!D11</f>
        <v>-12.95326</v>
      </c>
      <c r="W25" s="224" t="e">
        <f t="shared" si="20"/>
        <v>#DIV/0!</v>
      </c>
      <c r="X25" s="188">
        <f>Шать!C13</f>
        <v>10</v>
      </c>
      <c r="Y25" s="188">
        <f>Шать!D13</f>
        <v>41.775889999999997</v>
      </c>
      <c r="Z25" s="224">
        <f t="shared" si="21"/>
        <v>417.75889999999993</v>
      </c>
      <c r="AA25" s="188">
        <f>Шать!C15</f>
        <v>42</v>
      </c>
      <c r="AB25" s="379">
        <f>Шать!D15</f>
        <v>1.6998</v>
      </c>
      <c r="AC25" s="224">
        <f t="shared" si="22"/>
        <v>4.0471428571428572</v>
      </c>
      <c r="AD25" s="188">
        <f>Шать!C16</f>
        <v>305</v>
      </c>
      <c r="AE25" s="188">
        <f>Шать!D16</f>
        <v>21.416920000000001</v>
      </c>
      <c r="AF25" s="224">
        <f t="shared" si="4"/>
        <v>7.0219409836065578</v>
      </c>
      <c r="AG25" s="224">
        <f>Шать!C18</f>
        <v>5</v>
      </c>
      <c r="AH25" s="224">
        <f>Шать!D18</f>
        <v>1.95</v>
      </c>
      <c r="AI25" s="224">
        <f t="shared" si="23"/>
        <v>39</v>
      </c>
      <c r="AJ25" s="224"/>
      <c r="AK25" s="224"/>
      <c r="AL25" s="224" t="e">
        <f>AJ25/AK25*100</f>
        <v>#DIV/0!</v>
      </c>
      <c r="AM25" s="188">
        <v>0</v>
      </c>
      <c r="AN25" s="188">
        <f>0</f>
        <v>0</v>
      </c>
      <c r="AO25" s="224" t="e">
        <f t="shared" si="6"/>
        <v>#DIV/0!</v>
      </c>
      <c r="AP25" s="188">
        <f>Шать!C27</f>
        <v>62</v>
      </c>
      <c r="AQ25" s="397">
        <f>Шать!D27</f>
        <v>51.997799999999998</v>
      </c>
      <c r="AR25" s="224">
        <f t="shared" si="24"/>
        <v>83.867419354838702</v>
      </c>
      <c r="AS25" s="188">
        <f>Шать!C28</f>
        <v>17</v>
      </c>
      <c r="AT25" s="379">
        <f>Шать!D28</f>
        <v>10.837999999999999</v>
      </c>
      <c r="AU25" s="224">
        <f t="shared" si="25"/>
        <v>63.752941176470578</v>
      </c>
      <c r="AV25" s="188"/>
      <c r="AW25" s="188"/>
      <c r="AX25" s="224" t="e">
        <f t="shared" si="26"/>
        <v>#DIV/0!</v>
      </c>
      <c r="AY25" s="224">
        <f>Шать!C29</f>
        <v>30</v>
      </c>
      <c r="AZ25" s="224">
        <f>Шать!D29</f>
        <v>4.7791199999999998</v>
      </c>
      <c r="BA25" s="224">
        <f t="shared" si="27"/>
        <v>15.930400000000001</v>
      </c>
      <c r="BB25" s="224"/>
      <c r="BC25" s="224"/>
      <c r="BD25" s="224"/>
      <c r="BE25" s="224">
        <f>Шать!C33</f>
        <v>0</v>
      </c>
      <c r="BF25" s="224">
        <f>Шать!D33</f>
        <v>0</v>
      </c>
      <c r="BG25" s="224" t="e">
        <f t="shared" si="28"/>
        <v>#DIV/0!</v>
      </c>
      <c r="BH25" s="224"/>
      <c r="BI25" s="224"/>
      <c r="BJ25" s="224" t="e">
        <f t="shared" si="29"/>
        <v>#DIV/0!</v>
      </c>
      <c r="BK25" s="224"/>
      <c r="BL25" s="224"/>
      <c r="BM25" s="224"/>
      <c r="BN25" s="224">
        <f>Шать!C34</f>
        <v>0</v>
      </c>
      <c r="BO25" s="354">
        <f>Шать!D34</f>
        <v>0</v>
      </c>
      <c r="BP25" s="224" t="e">
        <f t="shared" si="30"/>
        <v>#DIV/0!</v>
      </c>
      <c r="BQ25" s="224">
        <f>Шать!C37</f>
        <v>0</v>
      </c>
      <c r="BR25" s="224">
        <f>Шать!D39</f>
        <v>0</v>
      </c>
      <c r="BS25" s="224" t="e">
        <f t="shared" si="31"/>
        <v>#DIV/0!</v>
      </c>
      <c r="BT25" s="224"/>
      <c r="BU25" s="224"/>
      <c r="BV25" s="226" t="e">
        <f t="shared" si="32"/>
        <v>#DIV/0!</v>
      </c>
      <c r="BW25" s="226"/>
      <c r="BX25" s="226"/>
      <c r="BY25" s="226" t="e">
        <f t="shared" si="33"/>
        <v>#DIV/0!</v>
      </c>
      <c r="BZ25" s="188">
        <f t="shared" si="34"/>
        <v>3266.1811199999997</v>
      </c>
      <c r="CA25" s="186">
        <f t="shared" si="35"/>
        <v>917.178</v>
      </c>
      <c r="CB25" s="224">
        <f t="shared" si="53"/>
        <v>28.081051426811261</v>
      </c>
      <c r="CC25" s="224">
        <f>Шать!C42</f>
        <v>1347.9</v>
      </c>
      <c r="CD25" s="224">
        <f>Шать!D42</f>
        <v>561.625</v>
      </c>
      <c r="CE25" s="224">
        <f t="shared" si="36"/>
        <v>41.666666666666664</v>
      </c>
      <c r="CF25" s="224">
        <f>Шать!C43</f>
        <v>320</v>
      </c>
      <c r="CG25" s="224">
        <f>Шать!D43</f>
        <v>145</v>
      </c>
      <c r="CH25" s="224">
        <f t="shared" si="37"/>
        <v>45.3125</v>
      </c>
      <c r="CI25" s="224">
        <f>Шать!C44</f>
        <v>1213.53934</v>
      </c>
      <c r="CJ25" s="224">
        <f>Шать!D44</f>
        <v>173.25200000000001</v>
      </c>
      <c r="CK25" s="224">
        <f t="shared" si="7"/>
        <v>14.276587028484796</v>
      </c>
      <c r="CL25" s="224">
        <f>Шать!C45</f>
        <v>91.480999999999995</v>
      </c>
      <c r="CM25" s="224">
        <f>Шать!D45</f>
        <v>37.301000000000002</v>
      </c>
      <c r="CN25" s="224">
        <f t="shared" si="8"/>
        <v>40.774587072725488</v>
      </c>
      <c r="CO25" s="224">
        <f>Шать!C46</f>
        <v>175</v>
      </c>
      <c r="CP25" s="224">
        <f>Шать!D46</f>
        <v>0</v>
      </c>
      <c r="CQ25" s="224"/>
      <c r="CR25" s="381">
        <f>Шать!C50</f>
        <v>118.26078</v>
      </c>
      <c r="CS25" s="224">
        <f>Шать!D50</f>
        <v>0</v>
      </c>
      <c r="CT25" s="224">
        <f t="shared" si="9"/>
        <v>0</v>
      </c>
      <c r="CU25" s="224"/>
      <c r="CV25" s="224"/>
      <c r="CW25" s="224"/>
      <c r="CX25" s="188"/>
      <c r="CY25" s="188"/>
      <c r="CZ25" s="224" t="e">
        <f t="shared" si="38"/>
        <v>#DIV/0!</v>
      </c>
      <c r="DA25" s="224"/>
      <c r="DB25" s="224"/>
      <c r="DC25" s="224"/>
      <c r="DD25" s="224"/>
      <c r="DE25" s="224"/>
      <c r="DF25" s="224"/>
      <c r="DG25" s="188">
        <f t="shared" si="39"/>
        <v>4269.7824899999996</v>
      </c>
      <c r="DH25" s="188">
        <f t="shared" si="39"/>
        <v>993.05752999999982</v>
      </c>
      <c r="DI25" s="224">
        <f>DH25/DG25*100</f>
        <v>23.257801359338092</v>
      </c>
      <c r="DJ25" s="188">
        <f t="shared" si="41"/>
        <v>1090.578</v>
      </c>
      <c r="DK25" s="188">
        <f t="shared" si="41"/>
        <v>341.45101999999997</v>
      </c>
      <c r="DL25" s="224">
        <f t="shared" si="42"/>
        <v>31.309179169211188</v>
      </c>
      <c r="DM25" s="224">
        <f>Шать!C58</f>
        <v>1078.4780000000001</v>
      </c>
      <c r="DN25" s="224">
        <f>Шать!D58</f>
        <v>338.87302</v>
      </c>
      <c r="DO25" s="224">
        <f t="shared" si="43"/>
        <v>31.42141239784214</v>
      </c>
      <c r="DP25" s="224">
        <f>Шать!C61</f>
        <v>0</v>
      </c>
      <c r="DQ25" s="224">
        <f>Шать!D61</f>
        <v>0</v>
      </c>
      <c r="DR25" s="224" t="e">
        <f t="shared" si="44"/>
        <v>#DIV/0!</v>
      </c>
      <c r="DS25" s="224">
        <f>Шать!C62</f>
        <v>5</v>
      </c>
      <c r="DT25" s="224">
        <f>Шать!D62</f>
        <v>0</v>
      </c>
      <c r="DU25" s="224">
        <f t="shared" si="45"/>
        <v>0</v>
      </c>
      <c r="DV25" s="224">
        <f>Шать!C63</f>
        <v>7.1</v>
      </c>
      <c r="DW25" s="224">
        <f>Шать!D63</f>
        <v>2.5779999999999998</v>
      </c>
      <c r="DX25" s="224">
        <f t="shared" si="46"/>
        <v>36.309859154929576</v>
      </c>
      <c r="DY25" s="224">
        <f>Шать!C65</f>
        <v>89.944999999999993</v>
      </c>
      <c r="DZ25" s="224">
        <f>Шать!D65</f>
        <v>31.962039999999998</v>
      </c>
      <c r="EA25" s="224">
        <f t="shared" si="47"/>
        <v>35.535093668352886</v>
      </c>
      <c r="EB25" s="224">
        <f>Шать!C66</f>
        <v>9.4</v>
      </c>
      <c r="EC25" s="224">
        <f>Шать!D66</f>
        <v>0</v>
      </c>
      <c r="ED25" s="224">
        <f t="shared" si="48"/>
        <v>0</v>
      </c>
      <c r="EE25" s="188">
        <f>Шать!C72</f>
        <v>1891.95949</v>
      </c>
      <c r="EF25" s="188">
        <f>Шать!D72</f>
        <v>214.97809999999998</v>
      </c>
      <c r="EG25" s="224">
        <f t="shared" si="49"/>
        <v>11.362722147925059</v>
      </c>
      <c r="EH25" s="188">
        <f>Шать!C77</f>
        <v>385.5</v>
      </c>
      <c r="EI25" s="188">
        <f>Шать!D77</f>
        <v>64.466369999999998</v>
      </c>
      <c r="EJ25" s="224">
        <f t="shared" si="50"/>
        <v>16.722793774319065</v>
      </c>
      <c r="EK25" s="188">
        <f>Шать!C81</f>
        <v>801.4</v>
      </c>
      <c r="EL25" s="227">
        <f>Шать!D81</f>
        <v>340.2</v>
      </c>
      <c r="EM25" s="224">
        <f t="shared" si="10"/>
        <v>42.450711255303219</v>
      </c>
      <c r="EN25" s="224">
        <f>Шать!C83</f>
        <v>0</v>
      </c>
      <c r="EO25" s="224">
        <f>Шать!D83</f>
        <v>0</v>
      </c>
      <c r="EP25" s="224" t="e">
        <f t="shared" si="11"/>
        <v>#DIV/0!</v>
      </c>
      <c r="EQ25" s="225">
        <f>Шать!C88</f>
        <v>1</v>
      </c>
      <c r="ER25" s="225">
        <f>Шать!D88</f>
        <v>0</v>
      </c>
      <c r="ES25" s="224">
        <f t="shared" si="51"/>
        <v>0</v>
      </c>
      <c r="ET25" s="224">
        <f>Шать!C94</f>
        <v>0</v>
      </c>
      <c r="EU25" s="224">
        <f>Шать!D94</f>
        <v>0</v>
      </c>
      <c r="EV25" s="224" t="e">
        <f t="shared" si="52"/>
        <v>#DIV/0!</v>
      </c>
      <c r="EW25" s="228">
        <f t="shared" si="12"/>
        <v>-170.14937000000009</v>
      </c>
      <c r="EX25" s="228">
        <f t="shared" si="13"/>
        <v>232.97945000000027</v>
      </c>
      <c r="EY25" s="224">
        <f t="shared" si="54"/>
        <v>-136.9264252932586</v>
      </c>
      <c r="EZ25" s="229"/>
      <c r="FA25" s="230"/>
      <c r="FC25" s="230"/>
    </row>
    <row r="26" spans="1:170" s="387" customFormat="1" ht="15" customHeight="1">
      <c r="A26" s="388">
        <v>13</v>
      </c>
      <c r="B26" s="194" t="s">
        <v>315</v>
      </c>
      <c r="C26" s="418">
        <f t="shared" si="14"/>
        <v>6572.53262</v>
      </c>
      <c r="D26" s="405">
        <f t="shared" si="0"/>
        <v>1612.78033</v>
      </c>
      <c r="E26" s="187">
        <f t="shared" si="1"/>
        <v>24.538186772818179</v>
      </c>
      <c r="F26" s="198">
        <f t="shared" si="2"/>
        <v>2928.6920000000005</v>
      </c>
      <c r="G26" s="198">
        <f t="shared" si="3"/>
        <v>981.51033000000007</v>
      </c>
      <c r="H26" s="187">
        <f t="shared" si="15"/>
        <v>33.513607098322389</v>
      </c>
      <c r="I26" s="195">
        <f>Юнг!C6</f>
        <v>132.63200000000001</v>
      </c>
      <c r="J26" s="188">
        <f>Юнг!D6</f>
        <v>47.610390000000002</v>
      </c>
      <c r="K26" s="187">
        <f t="shared" si="16"/>
        <v>35.896608661559803</v>
      </c>
      <c r="L26" s="187">
        <f>Юнг!C8</f>
        <v>186.49</v>
      </c>
      <c r="M26" s="187">
        <f>Юнг!D8</f>
        <v>109.43479000000001</v>
      </c>
      <c r="N26" s="187">
        <f t="shared" si="17"/>
        <v>58.68131803313851</v>
      </c>
      <c r="O26" s="187">
        <f>Юнг!C9</f>
        <v>2</v>
      </c>
      <c r="P26" s="187">
        <f>Юнг!D9</f>
        <v>0.82211999999999996</v>
      </c>
      <c r="Q26" s="187">
        <f t="shared" si="18"/>
        <v>41.105999999999995</v>
      </c>
      <c r="R26" s="187">
        <f>Юнг!C10</f>
        <v>311.47000000000003</v>
      </c>
      <c r="S26" s="187">
        <f>Юнг!D10</f>
        <v>151.88763</v>
      </c>
      <c r="T26" s="187">
        <f t="shared" si="19"/>
        <v>48.764770282852275</v>
      </c>
      <c r="U26" s="187">
        <f>Юнг!C11</f>
        <v>0</v>
      </c>
      <c r="V26" s="383">
        <f>Юнг!D11</f>
        <v>-19.901730000000001</v>
      </c>
      <c r="W26" s="187" t="e">
        <f t="shared" si="20"/>
        <v>#DIV/0!</v>
      </c>
      <c r="X26" s="195">
        <f>Юнг!C13</f>
        <v>40</v>
      </c>
      <c r="Y26" s="195">
        <f>Юнг!D13</f>
        <v>13.89498</v>
      </c>
      <c r="Z26" s="187">
        <f t="shared" si="21"/>
        <v>34.737450000000003</v>
      </c>
      <c r="AA26" s="195">
        <f>Юнг!C15</f>
        <v>229</v>
      </c>
      <c r="AB26" s="379">
        <f>Юнг!D15</f>
        <v>13.092829999999999</v>
      </c>
      <c r="AC26" s="187">
        <f t="shared" si="22"/>
        <v>5.7173930131004367</v>
      </c>
      <c r="AD26" s="195">
        <f>Юнг!C16</f>
        <v>1700</v>
      </c>
      <c r="AE26" s="195">
        <f>Юнг!D16</f>
        <v>501.09498000000002</v>
      </c>
      <c r="AF26" s="187">
        <f t="shared" si="4"/>
        <v>29.476175294117645</v>
      </c>
      <c r="AG26" s="187">
        <f>Юнг!C18</f>
        <v>12</v>
      </c>
      <c r="AH26" s="187">
        <f>Юнг!D18</f>
        <v>5.4</v>
      </c>
      <c r="AI26" s="187">
        <f t="shared" si="23"/>
        <v>45</v>
      </c>
      <c r="AJ26" s="187"/>
      <c r="AK26" s="187"/>
      <c r="AL26" s="187" t="e">
        <f>AJ26/AK26*100</f>
        <v>#DIV/0!</v>
      </c>
      <c r="AM26" s="195">
        <v>0</v>
      </c>
      <c r="AN26" s="195"/>
      <c r="AO26" s="187" t="e">
        <f t="shared" si="6"/>
        <v>#DIV/0!</v>
      </c>
      <c r="AP26" s="195">
        <f>Юнг!C27</f>
        <v>224.4</v>
      </c>
      <c r="AQ26" s="397">
        <f>Юнг!D27</f>
        <v>82.555300000000003</v>
      </c>
      <c r="AR26" s="187">
        <f t="shared" si="24"/>
        <v>36.789349376114082</v>
      </c>
      <c r="AS26" s="195">
        <f>Юнг!C28</f>
        <v>50.7</v>
      </c>
      <c r="AT26" s="378">
        <f>Юнг!D28</f>
        <v>33.558750000000003</v>
      </c>
      <c r="AU26" s="187">
        <f t="shared" si="25"/>
        <v>66.190828402366861</v>
      </c>
      <c r="AV26" s="195"/>
      <c r="AW26" s="195"/>
      <c r="AX26" s="187" t="e">
        <f t="shared" si="26"/>
        <v>#DIV/0!</v>
      </c>
      <c r="AY26" s="187">
        <f>Юнг!C30</f>
        <v>40</v>
      </c>
      <c r="AZ26" s="224">
        <f>Юнг!D30</f>
        <v>42.060290000000002</v>
      </c>
      <c r="BA26" s="187">
        <f t="shared" si="27"/>
        <v>105.15072499999999</v>
      </c>
      <c r="BB26" s="187"/>
      <c r="BC26" s="187"/>
      <c r="BD26" s="187"/>
      <c r="BE26" s="187">
        <f>Юнг!C33</f>
        <v>0</v>
      </c>
      <c r="BF26" s="187">
        <f>Юнг!D31</f>
        <v>0</v>
      </c>
      <c r="BG26" s="187" t="e">
        <f t="shared" si="28"/>
        <v>#DIV/0!</v>
      </c>
      <c r="BH26" s="187"/>
      <c r="BI26" s="187"/>
      <c r="BJ26" s="187" t="e">
        <f t="shared" si="29"/>
        <v>#DIV/0!</v>
      </c>
      <c r="BK26" s="187"/>
      <c r="BL26" s="187"/>
      <c r="BM26" s="187"/>
      <c r="BN26" s="187"/>
      <c r="BO26" s="353">
        <f>Юнг!D34</f>
        <v>0</v>
      </c>
      <c r="BP26" s="187" t="e">
        <f t="shared" si="30"/>
        <v>#DIV/0!</v>
      </c>
      <c r="BQ26" s="187">
        <f>Юнг!C36</f>
        <v>0</v>
      </c>
      <c r="BR26" s="187">
        <f>Юнг!D36</f>
        <v>0</v>
      </c>
      <c r="BS26" s="187" t="e">
        <f t="shared" si="31"/>
        <v>#DIV/0!</v>
      </c>
      <c r="BT26" s="187"/>
      <c r="BU26" s="187"/>
      <c r="BV26" s="196" t="e">
        <f t="shared" si="32"/>
        <v>#DIV/0!</v>
      </c>
      <c r="BW26" s="196"/>
      <c r="BX26" s="196"/>
      <c r="BY26" s="196" t="e">
        <f t="shared" si="33"/>
        <v>#DIV/0!</v>
      </c>
      <c r="BZ26" s="195">
        <f t="shared" si="34"/>
        <v>3643.8406199999995</v>
      </c>
      <c r="CA26" s="195">
        <f t="shared" si="35"/>
        <v>631.2700000000001</v>
      </c>
      <c r="CB26" s="187">
        <f t="shared" si="53"/>
        <v>17.324303278665358</v>
      </c>
      <c r="CC26" s="187">
        <f>Юнг!C41</f>
        <v>767.8</v>
      </c>
      <c r="CD26" s="187">
        <f>Юнг!D41</f>
        <v>319.91500000000002</v>
      </c>
      <c r="CE26" s="187">
        <f t="shared" si="36"/>
        <v>41.666449596249031</v>
      </c>
      <c r="CF26" s="187">
        <f>Юнг!C42</f>
        <v>830</v>
      </c>
      <c r="CG26" s="187">
        <f>Юнг!D42</f>
        <v>0</v>
      </c>
      <c r="CH26" s="187">
        <f t="shared" si="37"/>
        <v>0</v>
      </c>
      <c r="CI26" s="187">
        <f>Юнг!C43</f>
        <v>1855.8026199999999</v>
      </c>
      <c r="CJ26" s="187">
        <f>Юнг!D43</f>
        <v>274.05399999999997</v>
      </c>
      <c r="CK26" s="187">
        <f t="shared" si="7"/>
        <v>14.767410986842986</v>
      </c>
      <c r="CL26" s="187">
        <f>Юнг!C44</f>
        <v>91.736000000000004</v>
      </c>
      <c r="CM26" s="187">
        <f>Юнг!D44</f>
        <v>37.301000000000002</v>
      </c>
      <c r="CN26" s="187">
        <f t="shared" si="8"/>
        <v>40.661245312636261</v>
      </c>
      <c r="CO26" s="187">
        <f>Юнг!C45</f>
        <v>98.501999999999995</v>
      </c>
      <c r="CP26" s="187">
        <f>Юнг!D45</f>
        <v>0</v>
      </c>
      <c r="CQ26" s="187"/>
      <c r="CR26" s="383">
        <f>Юнг!C48</f>
        <v>0</v>
      </c>
      <c r="CS26" s="187">
        <f>Юнг!D48</f>
        <v>0</v>
      </c>
      <c r="CT26" s="187" t="e">
        <f t="shared" si="9"/>
        <v>#DIV/0!</v>
      </c>
      <c r="CU26" s="187"/>
      <c r="CV26" s="187">
        <f>Юнг!D47</f>
        <v>0</v>
      </c>
      <c r="CW26" s="187"/>
      <c r="CX26" s="195"/>
      <c r="CY26" s="195"/>
      <c r="CZ26" s="187" t="e">
        <f t="shared" si="38"/>
        <v>#DIV/0!</v>
      </c>
      <c r="DA26" s="187"/>
      <c r="DB26" s="187"/>
      <c r="DC26" s="187"/>
      <c r="DD26" s="187"/>
      <c r="DE26" s="187"/>
      <c r="DF26" s="187"/>
      <c r="DG26" s="188">
        <f t="shared" si="39"/>
        <v>6755.4331399999992</v>
      </c>
      <c r="DH26" s="188">
        <f t="shared" si="39"/>
        <v>1481.4876300000001</v>
      </c>
      <c r="DI26" s="187">
        <f t="shared" si="40"/>
        <v>21.930312968799516</v>
      </c>
      <c r="DJ26" s="195">
        <f t="shared" si="41"/>
        <v>1454.2819999999999</v>
      </c>
      <c r="DK26" s="195">
        <f t="shared" si="41"/>
        <v>494.03646000000003</v>
      </c>
      <c r="DL26" s="187">
        <f t="shared" si="42"/>
        <v>33.971159651291842</v>
      </c>
      <c r="DM26" s="187">
        <f>Юнг!C57</f>
        <v>1425.6</v>
      </c>
      <c r="DN26" s="187">
        <f>Юнг!D57</f>
        <v>490.35446000000002</v>
      </c>
      <c r="DO26" s="187">
        <f t="shared" si="43"/>
        <v>34.396356621773293</v>
      </c>
      <c r="DP26" s="187">
        <f>Юнг!C60</f>
        <v>0</v>
      </c>
      <c r="DQ26" s="187">
        <f>Юнг!D60</f>
        <v>0</v>
      </c>
      <c r="DR26" s="187" t="e">
        <f t="shared" si="44"/>
        <v>#DIV/0!</v>
      </c>
      <c r="DS26" s="187">
        <f>Юнг!C61</f>
        <v>5</v>
      </c>
      <c r="DT26" s="187">
        <f>Юнг!D61</f>
        <v>0</v>
      </c>
      <c r="DU26" s="187">
        <f t="shared" si="45"/>
        <v>0</v>
      </c>
      <c r="DV26" s="187">
        <f>Юнг!C62</f>
        <v>23.681999999999999</v>
      </c>
      <c r="DW26" s="187">
        <f>Юнг!D62</f>
        <v>3.6819999999999999</v>
      </c>
      <c r="DX26" s="187">
        <f t="shared" si="46"/>
        <v>15.547673338400472</v>
      </c>
      <c r="DY26" s="187">
        <f>Юнг!C64</f>
        <v>89.945999999999998</v>
      </c>
      <c r="DZ26" s="187">
        <f>Юнг!D64</f>
        <v>31.673159999999999</v>
      </c>
      <c r="EA26" s="187">
        <f t="shared" si="47"/>
        <v>35.213528116870123</v>
      </c>
      <c r="EB26" s="187">
        <f>Юнг!C65</f>
        <v>24.314999999999998</v>
      </c>
      <c r="EC26" s="187">
        <f>Юнг!D65</f>
        <v>3.6</v>
      </c>
      <c r="ED26" s="187">
        <f t="shared" si="48"/>
        <v>14.805675508945098</v>
      </c>
      <c r="EE26" s="195">
        <f>Юнг!C71</f>
        <v>3106.1230399999999</v>
      </c>
      <c r="EF26" s="195">
        <f>Юнг!D71</f>
        <v>431.64529000000005</v>
      </c>
      <c r="EG26" s="187">
        <f t="shared" si="49"/>
        <v>13.896593420201411</v>
      </c>
      <c r="EH26" s="195">
        <f>Юнг!C76</f>
        <v>379.23410000000001</v>
      </c>
      <c r="EI26" s="195">
        <f>Юнг!D76</f>
        <v>83.809719999999999</v>
      </c>
      <c r="EJ26" s="187">
        <f t="shared" si="50"/>
        <v>22.099732065233585</v>
      </c>
      <c r="EK26" s="195">
        <f>Юнг!C80</f>
        <v>1681.2</v>
      </c>
      <c r="EL26" s="197">
        <f>Юнг!D80</f>
        <v>426.39</v>
      </c>
      <c r="EM26" s="187">
        <f t="shared" si="10"/>
        <v>25.362241256245539</v>
      </c>
      <c r="EN26" s="187">
        <f>Юнг!C82</f>
        <v>0</v>
      </c>
      <c r="EO26" s="187">
        <f>Юнг!D82</f>
        <v>0</v>
      </c>
      <c r="EP26" s="187" t="e">
        <f t="shared" si="11"/>
        <v>#DIV/0!</v>
      </c>
      <c r="EQ26" s="198">
        <f>Юнг!C87</f>
        <v>20.332999999999998</v>
      </c>
      <c r="ER26" s="198">
        <f>Юнг!D87</f>
        <v>10.333</v>
      </c>
      <c r="ES26" s="187">
        <f t="shared" si="51"/>
        <v>50.818865883047273</v>
      </c>
      <c r="ET26" s="187">
        <f>Юнг!C93</f>
        <v>0</v>
      </c>
      <c r="EU26" s="187">
        <f>Юнг!D93</f>
        <v>0</v>
      </c>
      <c r="EV26" s="187" t="e">
        <f t="shared" si="52"/>
        <v>#DIV/0!</v>
      </c>
      <c r="EW26" s="384">
        <f t="shared" si="12"/>
        <v>-182.90051999999923</v>
      </c>
      <c r="EX26" s="384">
        <f t="shared" si="13"/>
        <v>131.29269999999997</v>
      </c>
      <c r="EY26" s="187">
        <f t="shared" si="54"/>
        <v>-71.783666880772415</v>
      </c>
      <c r="EZ26" s="385"/>
      <c r="FA26" s="386"/>
      <c r="FC26" s="386"/>
    </row>
    <row r="27" spans="1:170" s="169" customFormat="1" ht="15" customHeight="1">
      <c r="A27" s="181">
        <v>14</v>
      </c>
      <c r="B27" s="194" t="s">
        <v>316</v>
      </c>
      <c r="C27" s="417">
        <f t="shared" si="14"/>
        <v>6769.0080000000007</v>
      </c>
      <c r="D27" s="405">
        <f t="shared" si="0"/>
        <v>2845.2178500000005</v>
      </c>
      <c r="E27" s="187">
        <f t="shared" si="1"/>
        <v>42.033010597712398</v>
      </c>
      <c r="F27" s="185">
        <f>I27+X27+AA27+AD27+AG27+AM27+AS27+BE27+BQ27+BN27+AJ27+AY27+L27+R27+O27+U27+AP27</f>
        <v>1522.8040000000001</v>
      </c>
      <c r="G27" s="185">
        <f t="shared" si="3"/>
        <v>599.81385</v>
      </c>
      <c r="H27" s="187">
        <f t="shared" si="15"/>
        <v>39.388775574532239</v>
      </c>
      <c r="I27" s="195">
        <f>Юсь!C6</f>
        <v>132.44399999999999</v>
      </c>
      <c r="J27" s="188">
        <f>Юсь!D6</f>
        <v>63.18741</v>
      </c>
      <c r="K27" s="187">
        <f t="shared" si="16"/>
        <v>47.708775029446407</v>
      </c>
      <c r="L27" s="187">
        <f>Юсь!C8</f>
        <v>250.79</v>
      </c>
      <c r="M27" s="187">
        <f>Юсь!D8</f>
        <v>147.17090999999999</v>
      </c>
      <c r="N27" s="184">
        <f t="shared" si="17"/>
        <v>58.682925953985411</v>
      </c>
      <c r="O27" s="184">
        <f>Юсь!C9</f>
        <v>2.69</v>
      </c>
      <c r="P27" s="184">
        <f>Юсь!D9</f>
        <v>1.10558</v>
      </c>
      <c r="Q27" s="184">
        <f t="shared" si="18"/>
        <v>41.099628252788108</v>
      </c>
      <c r="R27" s="184">
        <f>Юсь!C10</f>
        <v>418.88</v>
      </c>
      <c r="S27" s="184">
        <f>Юсь!D10</f>
        <v>204.26262</v>
      </c>
      <c r="T27" s="184">
        <f t="shared" si="19"/>
        <v>48.763994461420936</v>
      </c>
      <c r="U27" s="184">
        <f>Юсь!C11</f>
        <v>0</v>
      </c>
      <c r="V27" s="380">
        <f>Юсь!D11</f>
        <v>-26.764320000000001</v>
      </c>
      <c r="W27" s="184" t="e">
        <f t="shared" si="20"/>
        <v>#DIV/0!</v>
      </c>
      <c r="X27" s="195">
        <f>Юсь!C13</f>
        <v>10</v>
      </c>
      <c r="Y27" s="195">
        <f>Юсь!D13</f>
        <v>0.31428</v>
      </c>
      <c r="Z27" s="187">
        <f t="shared" si="21"/>
        <v>3.1427999999999998</v>
      </c>
      <c r="AA27" s="195">
        <f>Юсь!C15</f>
        <v>128</v>
      </c>
      <c r="AB27" s="379">
        <f>Юсь!D15</f>
        <v>5.4309200000000004</v>
      </c>
      <c r="AC27" s="187">
        <f t="shared" si="22"/>
        <v>4.2429062500000008</v>
      </c>
      <c r="AD27" s="195">
        <f>Юсь!C16</f>
        <v>325</v>
      </c>
      <c r="AE27" s="195">
        <f>Юсь!D16</f>
        <v>21.028040000000001</v>
      </c>
      <c r="AF27" s="187">
        <f t="shared" si="4"/>
        <v>6.4701661538461543</v>
      </c>
      <c r="AG27" s="187">
        <f>Юсь!C18</f>
        <v>5</v>
      </c>
      <c r="AH27" s="187">
        <f>Юсь!D18</f>
        <v>2.2000000000000002</v>
      </c>
      <c r="AI27" s="187">
        <f t="shared" si="23"/>
        <v>44.000000000000007</v>
      </c>
      <c r="AJ27" s="187"/>
      <c r="AK27" s="187"/>
      <c r="AL27" s="187" t="e">
        <f>AJ27/AK27*100</f>
        <v>#DIV/0!</v>
      </c>
      <c r="AM27" s="195">
        <v>0</v>
      </c>
      <c r="AN27" s="195">
        <v>0</v>
      </c>
      <c r="AO27" s="187" t="e">
        <f t="shared" si="6"/>
        <v>#DIV/0!</v>
      </c>
      <c r="AP27" s="195">
        <f>Юсь!C27</f>
        <v>0</v>
      </c>
      <c r="AQ27" s="397">
        <f>Юсь!D27</f>
        <v>0</v>
      </c>
      <c r="AR27" s="187" t="e">
        <f t="shared" si="24"/>
        <v>#DIV/0!</v>
      </c>
      <c r="AS27" s="188">
        <f>Юсь!C28</f>
        <v>50</v>
      </c>
      <c r="AT27" s="378">
        <f>Юсь!D28</f>
        <v>10</v>
      </c>
      <c r="AU27" s="187">
        <f t="shared" si="25"/>
        <v>20</v>
      </c>
      <c r="AV27" s="195"/>
      <c r="AW27" s="195"/>
      <c r="AX27" s="187" t="e">
        <f t="shared" si="26"/>
        <v>#DIV/0!</v>
      </c>
      <c r="AY27" s="187">
        <f>Юсь!C30</f>
        <v>200</v>
      </c>
      <c r="AZ27" s="224">
        <f>Юсь!D30</f>
        <v>171.87841</v>
      </c>
      <c r="BA27" s="187">
        <f t="shared" si="27"/>
        <v>85.939205000000001</v>
      </c>
      <c r="BB27" s="187"/>
      <c r="BC27" s="187"/>
      <c r="BD27" s="187"/>
      <c r="BE27" s="187">
        <f>Юсь!C31</f>
        <v>0</v>
      </c>
      <c r="BF27" s="187">
        <f>Юсь!D31</f>
        <v>0</v>
      </c>
      <c r="BG27" s="187" t="e">
        <f t="shared" si="28"/>
        <v>#DIV/0!</v>
      </c>
      <c r="BH27" s="187"/>
      <c r="BI27" s="187"/>
      <c r="BJ27" s="187" t="e">
        <f t="shared" si="29"/>
        <v>#DIV/0!</v>
      </c>
      <c r="BK27" s="187"/>
      <c r="BL27" s="187"/>
      <c r="BM27" s="187"/>
      <c r="BN27" s="187"/>
      <c r="BO27" s="353"/>
      <c r="BP27" s="187" t="e">
        <f t="shared" si="30"/>
        <v>#DIV/0!</v>
      </c>
      <c r="BQ27" s="187">
        <f>Юсь!C34</f>
        <v>0</v>
      </c>
      <c r="BR27" s="187">
        <f>Юсь!D34</f>
        <v>0</v>
      </c>
      <c r="BS27" s="187" t="e">
        <f t="shared" si="31"/>
        <v>#DIV/0!</v>
      </c>
      <c r="BT27" s="187"/>
      <c r="BU27" s="187"/>
      <c r="BV27" s="196" t="e">
        <f t="shared" si="32"/>
        <v>#DIV/0!</v>
      </c>
      <c r="BW27" s="196"/>
      <c r="BX27" s="196"/>
      <c r="BY27" s="196" t="e">
        <f t="shared" si="33"/>
        <v>#DIV/0!</v>
      </c>
      <c r="BZ27" s="186">
        <f t="shared" si="34"/>
        <v>5246.2040000000006</v>
      </c>
      <c r="CA27" s="186">
        <f t="shared" si="35"/>
        <v>2245.4040000000005</v>
      </c>
      <c r="CB27" s="187">
        <f t="shared" si="53"/>
        <v>42.800546833481889</v>
      </c>
      <c r="CC27" s="187">
        <f>Юсь!C39</f>
        <v>3029</v>
      </c>
      <c r="CD27" s="187">
        <f>Юсь!D39</f>
        <v>1262.085</v>
      </c>
      <c r="CE27" s="187">
        <f t="shared" si="36"/>
        <v>41.666721690326838</v>
      </c>
      <c r="CF27" s="353">
        <f>Юсь!C41</f>
        <v>712.5</v>
      </c>
      <c r="CG27" s="187">
        <f>Юсь!D41</f>
        <v>650</v>
      </c>
      <c r="CH27" s="187">
        <f t="shared" si="37"/>
        <v>91.228070175438589</v>
      </c>
      <c r="CI27" s="187">
        <f>Юсь!C42</f>
        <v>1262.047</v>
      </c>
      <c r="CJ27" s="187">
        <f>Юсь!D42</f>
        <v>258.72000000000003</v>
      </c>
      <c r="CK27" s="187">
        <f t="shared" si="7"/>
        <v>20.500028921268385</v>
      </c>
      <c r="CL27" s="187">
        <f>Юсь!C43</f>
        <v>182.65700000000001</v>
      </c>
      <c r="CM27" s="187">
        <f>Юсь!D43</f>
        <v>74.599000000000004</v>
      </c>
      <c r="CN27" s="187">
        <f t="shared" si="8"/>
        <v>40.841029908517058</v>
      </c>
      <c r="CO27" s="187">
        <f>Юсь!C50</f>
        <v>60</v>
      </c>
      <c r="CP27" s="187">
        <f>Юсь!D50</f>
        <v>0</v>
      </c>
      <c r="CQ27" s="187"/>
      <c r="CR27" s="383">
        <f>Юсь!C51</f>
        <v>0</v>
      </c>
      <c r="CS27" s="187">
        <f>Юсь!D51</f>
        <v>0</v>
      </c>
      <c r="CT27" s="187" t="e">
        <f t="shared" si="9"/>
        <v>#DIV/0!</v>
      </c>
      <c r="CU27" s="187"/>
      <c r="CV27" s="187"/>
      <c r="CW27" s="187"/>
      <c r="CX27" s="195"/>
      <c r="CY27" s="195"/>
      <c r="CZ27" s="187" t="e">
        <f t="shared" si="38"/>
        <v>#DIV/0!</v>
      </c>
      <c r="DA27" s="187"/>
      <c r="DB27" s="187"/>
      <c r="DC27" s="187"/>
      <c r="DD27" s="187"/>
      <c r="DE27" s="187"/>
      <c r="DF27" s="187"/>
      <c r="DG27" s="188">
        <f t="shared" si="39"/>
        <v>7029.57755</v>
      </c>
      <c r="DH27" s="188">
        <f t="shared" si="39"/>
        <v>2962.9315900000001</v>
      </c>
      <c r="DI27" s="187">
        <f t="shared" si="40"/>
        <v>42.14949716288428</v>
      </c>
      <c r="DJ27" s="195">
        <f t="shared" si="41"/>
        <v>1284.7919999999999</v>
      </c>
      <c r="DK27" s="195">
        <f t="shared" si="41"/>
        <v>476.24270999999999</v>
      </c>
      <c r="DL27" s="187">
        <f t="shared" si="42"/>
        <v>37.067689555974823</v>
      </c>
      <c r="DM27" s="187">
        <f>Юсь!C59</f>
        <v>1225.2919999999999</v>
      </c>
      <c r="DN27" s="187">
        <f>Юсь!D59</f>
        <v>422.05070999999998</v>
      </c>
      <c r="DO27" s="187">
        <f t="shared" si="43"/>
        <v>34.444908642184885</v>
      </c>
      <c r="DP27" s="187">
        <f>Юсь!C62</f>
        <v>0</v>
      </c>
      <c r="DQ27" s="187">
        <f>Юсь!D62</f>
        <v>0</v>
      </c>
      <c r="DR27" s="187" t="e">
        <f t="shared" si="44"/>
        <v>#DIV/0!</v>
      </c>
      <c r="DS27" s="187">
        <f>Юсь!C63</f>
        <v>5</v>
      </c>
      <c r="DT27" s="187">
        <f>Юсь!D63</f>
        <v>0</v>
      </c>
      <c r="DU27" s="187">
        <f t="shared" si="45"/>
        <v>0</v>
      </c>
      <c r="DV27" s="187">
        <f>Юсь!C64</f>
        <v>54.5</v>
      </c>
      <c r="DW27" s="187">
        <f>Юсь!D64</f>
        <v>54.192</v>
      </c>
      <c r="DX27" s="187">
        <f t="shared" si="46"/>
        <v>99.434862385321097</v>
      </c>
      <c r="DY27" s="187">
        <f>Юсь!C66</f>
        <v>179.892</v>
      </c>
      <c r="DZ27" s="187">
        <f>Юсь!D66</f>
        <v>62.956000000000003</v>
      </c>
      <c r="EA27" s="187">
        <f t="shared" si="47"/>
        <v>34.99655348764815</v>
      </c>
      <c r="EB27" s="187">
        <f>Юсь!C67</f>
        <v>18.399999999999999</v>
      </c>
      <c r="EC27" s="187">
        <f>Юсь!D67</f>
        <v>3.5</v>
      </c>
      <c r="ED27" s="187">
        <f t="shared" si="48"/>
        <v>19.021739130434785</v>
      </c>
      <c r="EE27" s="195">
        <f>Юсь!C73</f>
        <v>2317.6485499999999</v>
      </c>
      <c r="EF27" s="195">
        <f>Юсь!D73</f>
        <v>445.46100000000001</v>
      </c>
      <c r="EG27" s="187">
        <f t="shared" si="49"/>
        <v>19.220386110741426</v>
      </c>
      <c r="EH27" s="195">
        <f>Юсь!C78</f>
        <v>504.66699999999997</v>
      </c>
      <c r="EI27" s="195">
        <f>Юсь!D78</f>
        <v>346.0136</v>
      </c>
      <c r="EJ27" s="187">
        <f t="shared" si="50"/>
        <v>68.562755242565899</v>
      </c>
      <c r="EK27" s="195">
        <f>Юсь!C82</f>
        <v>2697.1779999999999</v>
      </c>
      <c r="EL27" s="197">
        <f>Юсь!D82</f>
        <v>1628.75828</v>
      </c>
      <c r="EM27" s="187">
        <f t="shared" si="10"/>
        <v>60.38749685782696</v>
      </c>
      <c r="EN27" s="187">
        <f>Юсь!C84</f>
        <v>0</v>
      </c>
      <c r="EO27" s="187">
        <f>Юсь!D84</f>
        <v>0</v>
      </c>
      <c r="EP27" s="187" t="e">
        <f t="shared" si="11"/>
        <v>#DIV/0!</v>
      </c>
      <c r="EQ27" s="198">
        <f>Юсь!C89</f>
        <v>27</v>
      </c>
      <c r="ER27" s="198">
        <f>Юсь!D89</f>
        <v>0</v>
      </c>
      <c r="ES27" s="187">
        <f t="shared" si="51"/>
        <v>0</v>
      </c>
      <c r="ET27" s="187">
        <f>Юсь!C95</f>
        <v>0</v>
      </c>
      <c r="EU27" s="187">
        <f>Юсь!D95</f>
        <v>0</v>
      </c>
      <c r="EV27" s="184" t="e">
        <f t="shared" si="52"/>
        <v>#DIV/0!</v>
      </c>
      <c r="EW27" s="191">
        <f t="shared" si="12"/>
        <v>-260.56954999999925</v>
      </c>
      <c r="EX27" s="191">
        <f t="shared" si="13"/>
        <v>-117.71373999999969</v>
      </c>
      <c r="EY27" s="184">
        <f t="shared" si="54"/>
        <v>45.175554856659197</v>
      </c>
      <c r="EZ27" s="192"/>
      <c r="FA27" s="193"/>
      <c r="FC27" s="193"/>
    </row>
    <row r="28" spans="1:170" s="169" customFormat="1" ht="15" customHeight="1">
      <c r="A28" s="181">
        <v>15</v>
      </c>
      <c r="B28" s="194" t="s">
        <v>317</v>
      </c>
      <c r="C28" s="418">
        <f t="shared" si="14"/>
        <v>13189.448579999998</v>
      </c>
      <c r="D28" s="405">
        <f>G28+CA28+CY28</f>
        <v>2013.5401500000003</v>
      </c>
      <c r="E28" s="187">
        <f>D28/C28*100</f>
        <v>15.266295158489488</v>
      </c>
      <c r="F28" s="185">
        <f t="shared" si="2"/>
        <v>3043.3092899999997</v>
      </c>
      <c r="G28" s="185">
        <f>J28+Y28+AB28+AE28+AH28+AN28+AT28+BF28+AK28+BR28+BO28+AZ28+M28+S28+P28+V28+AQ28</f>
        <v>663.11575000000005</v>
      </c>
      <c r="H28" s="187">
        <f>G28/F28*100</f>
        <v>21.789298648643108</v>
      </c>
      <c r="I28" s="195">
        <f>Яра!C6</f>
        <v>137.33699999999999</v>
      </c>
      <c r="J28" s="188">
        <f>Яра!D6</f>
        <v>49.93571</v>
      </c>
      <c r="K28" s="187">
        <f t="shared" si="16"/>
        <v>36.359983107247139</v>
      </c>
      <c r="L28" s="187">
        <f>Яра!C8</f>
        <v>274.90499999999997</v>
      </c>
      <c r="M28" s="187">
        <f>Яра!D8</f>
        <v>161.32195999999999</v>
      </c>
      <c r="N28" s="184">
        <f t="shared" si="17"/>
        <v>58.682803150179154</v>
      </c>
      <c r="O28" s="184">
        <f>Яра!C9</f>
        <v>2.948</v>
      </c>
      <c r="P28" s="184">
        <f>Яра!D9</f>
        <v>1.2119</v>
      </c>
      <c r="Q28" s="184">
        <f t="shared" si="18"/>
        <v>41.109226594301226</v>
      </c>
      <c r="R28" s="184">
        <f>Яра!C10</f>
        <v>459.15699999999998</v>
      </c>
      <c r="S28" s="184">
        <f>Яра!D10</f>
        <v>223.90324000000001</v>
      </c>
      <c r="T28" s="184">
        <f t="shared" si="19"/>
        <v>48.763982690016711</v>
      </c>
      <c r="U28" s="184">
        <f>Яра!C11</f>
        <v>0</v>
      </c>
      <c r="V28" s="380">
        <f>Яра!D11</f>
        <v>-29.337820000000001</v>
      </c>
      <c r="W28" s="184" t="e">
        <f t="shared" si="20"/>
        <v>#DIV/0!</v>
      </c>
      <c r="X28" s="195">
        <f>Яра!C13</f>
        <v>21</v>
      </c>
      <c r="Y28" s="195">
        <f>Яра!D13</f>
        <v>18.549779999999998</v>
      </c>
      <c r="Z28" s="187">
        <f t="shared" si="21"/>
        <v>88.332285714285703</v>
      </c>
      <c r="AA28" s="195">
        <f>Яра!C15</f>
        <v>201</v>
      </c>
      <c r="AB28" s="379">
        <f>Яра!D15</f>
        <v>21.514710000000001</v>
      </c>
      <c r="AC28" s="187">
        <f t="shared" si="22"/>
        <v>10.703835820895522</v>
      </c>
      <c r="AD28" s="195">
        <f>Яра!C16</f>
        <v>1494.3772899999999</v>
      </c>
      <c r="AE28" s="195">
        <f>Яра!D16</f>
        <v>129.22044</v>
      </c>
      <c r="AF28" s="187">
        <f t="shared" si="4"/>
        <v>8.647109459218294</v>
      </c>
      <c r="AG28" s="187">
        <f>Яра!C18</f>
        <v>12</v>
      </c>
      <c r="AH28" s="187">
        <f>Яра!D18</f>
        <v>4.2699999999999996</v>
      </c>
      <c r="AI28" s="187">
        <f t="shared" si="23"/>
        <v>35.583333333333329</v>
      </c>
      <c r="AJ28" s="187"/>
      <c r="AK28" s="187"/>
      <c r="AL28" s="187" t="e">
        <f>AJ28/AK28*100</f>
        <v>#DIV/0!</v>
      </c>
      <c r="AM28" s="195">
        <v>0</v>
      </c>
      <c r="AN28" s="195">
        <v>0</v>
      </c>
      <c r="AO28" s="187" t="e">
        <f t="shared" si="6"/>
        <v>#DIV/0!</v>
      </c>
      <c r="AP28" s="195">
        <f>Яра!C27</f>
        <v>10</v>
      </c>
      <c r="AQ28" s="397">
        <f>Яра!D27</f>
        <v>0.65500000000000003</v>
      </c>
      <c r="AR28" s="187">
        <f t="shared" si="24"/>
        <v>6.5500000000000007</v>
      </c>
      <c r="AS28" s="188">
        <f>Яра!C28</f>
        <v>0</v>
      </c>
      <c r="AT28" s="378">
        <f>Яра!D28</f>
        <v>0</v>
      </c>
      <c r="AU28" s="187" t="e">
        <f t="shared" si="25"/>
        <v>#DIV/0!</v>
      </c>
      <c r="AV28" s="195"/>
      <c r="AW28" s="195"/>
      <c r="AX28" s="187" t="e">
        <f t="shared" si="26"/>
        <v>#DIV/0!</v>
      </c>
      <c r="AY28" s="187">
        <f>Яра!C31</f>
        <v>0</v>
      </c>
      <c r="AZ28" s="224">
        <f>Яра!D31</f>
        <v>42.991239999999998</v>
      </c>
      <c r="BA28" s="187" t="e">
        <f t="shared" si="27"/>
        <v>#DIV/0!</v>
      </c>
      <c r="BB28" s="187"/>
      <c r="BC28" s="187"/>
      <c r="BD28" s="187"/>
      <c r="BE28" s="187">
        <f>Яра!C34</f>
        <v>430.58499999999998</v>
      </c>
      <c r="BF28" s="187">
        <v>0</v>
      </c>
      <c r="BG28" s="187">
        <f t="shared" si="28"/>
        <v>0</v>
      </c>
      <c r="BH28" s="187"/>
      <c r="BI28" s="187"/>
      <c r="BJ28" s="187" t="e">
        <f t="shared" si="29"/>
        <v>#DIV/0!</v>
      </c>
      <c r="BK28" s="187"/>
      <c r="BL28" s="187"/>
      <c r="BM28" s="187"/>
      <c r="BN28" s="187">
        <f>Яра!C35</f>
        <v>0</v>
      </c>
      <c r="BO28" s="353">
        <f>Яра!D35</f>
        <v>38.87959</v>
      </c>
      <c r="BP28" s="187" t="e">
        <f t="shared" si="30"/>
        <v>#DIV/0!</v>
      </c>
      <c r="BQ28" s="187">
        <f>Яра!C37</f>
        <v>0</v>
      </c>
      <c r="BR28" s="187">
        <f>Яра!D37</f>
        <v>0</v>
      </c>
      <c r="BS28" s="187" t="e">
        <f t="shared" si="31"/>
        <v>#DIV/0!</v>
      </c>
      <c r="BT28" s="187"/>
      <c r="BU28" s="187"/>
      <c r="BV28" s="196" t="e">
        <f t="shared" si="32"/>
        <v>#DIV/0!</v>
      </c>
      <c r="BW28" s="196"/>
      <c r="BX28" s="196"/>
      <c r="BY28" s="196" t="e">
        <f t="shared" si="33"/>
        <v>#DIV/0!</v>
      </c>
      <c r="BZ28" s="186">
        <f t="shared" si="34"/>
        <v>10146.139289999999</v>
      </c>
      <c r="CA28" s="186">
        <f t="shared" si="35"/>
        <v>1350.4244000000001</v>
      </c>
      <c r="CB28" s="187">
        <f t="shared" si="53"/>
        <v>13.309736456417209</v>
      </c>
      <c r="CC28" s="187">
        <f>Яра!C42</f>
        <v>1852.8</v>
      </c>
      <c r="CD28" s="187">
        <f>Яра!D42</f>
        <v>772</v>
      </c>
      <c r="CE28" s="187">
        <f t="shared" si="36"/>
        <v>41.666666666666671</v>
      </c>
      <c r="CF28" s="187">
        <f>Яра!C43</f>
        <v>494</v>
      </c>
      <c r="CG28" s="187">
        <f>Яра!D43</f>
        <v>100</v>
      </c>
      <c r="CH28" s="187">
        <f t="shared" si="37"/>
        <v>20.242914979757085</v>
      </c>
      <c r="CI28" s="187">
        <f>Яра!C44</f>
        <v>4723.53629</v>
      </c>
      <c r="CJ28" s="187">
        <f>Яра!D44</f>
        <v>403.22800000000001</v>
      </c>
      <c r="CK28" s="187">
        <f t="shared" si="7"/>
        <v>8.5365703837960769</v>
      </c>
      <c r="CL28" s="187">
        <f>Яра!C45</f>
        <v>182.04300000000001</v>
      </c>
      <c r="CM28" s="187">
        <f>Яра!D45</f>
        <v>75.196399999999997</v>
      </c>
      <c r="CN28" s="187">
        <f t="shared" si="8"/>
        <v>41.306943963788775</v>
      </c>
      <c r="CO28" s="187">
        <f>Яра!C47</f>
        <v>2893.76</v>
      </c>
      <c r="CP28" s="187">
        <f>Яра!D47</f>
        <v>0</v>
      </c>
      <c r="CQ28" s="187"/>
      <c r="CR28" s="383">
        <f>Яра!C51</f>
        <v>0</v>
      </c>
      <c r="CS28" s="187">
        <f>Яра!D51</f>
        <v>0</v>
      </c>
      <c r="CT28" s="187" t="e">
        <f t="shared" si="9"/>
        <v>#DIV/0!</v>
      </c>
      <c r="CU28" s="187"/>
      <c r="CV28" s="187"/>
      <c r="CW28" s="187"/>
      <c r="CX28" s="195"/>
      <c r="CY28" s="195"/>
      <c r="CZ28" s="187" t="e">
        <f t="shared" si="38"/>
        <v>#DIV/0!</v>
      </c>
      <c r="DA28" s="187"/>
      <c r="DB28" s="187">
        <f>Яра!D46</f>
        <v>0</v>
      </c>
      <c r="DC28" s="187" t="e">
        <f>DB28/DA28</f>
        <v>#DIV/0!</v>
      </c>
      <c r="DD28" s="187"/>
      <c r="DE28" s="187"/>
      <c r="DF28" s="187"/>
      <c r="DG28" s="188">
        <f t="shared" si="39"/>
        <v>14404.347639999998</v>
      </c>
      <c r="DH28" s="188">
        <f t="shared" si="39"/>
        <v>2196.6977199999997</v>
      </c>
      <c r="DI28" s="187">
        <f t="shared" si="40"/>
        <v>15.25024093350749</v>
      </c>
      <c r="DJ28" s="195">
        <f t="shared" si="41"/>
        <v>1320</v>
      </c>
      <c r="DK28" s="195">
        <f t="shared" si="41"/>
        <v>512.36355000000003</v>
      </c>
      <c r="DL28" s="187">
        <f t="shared" si="42"/>
        <v>38.81542045454546</v>
      </c>
      <c r="DM28" s="187">
        <f>Яра!C59</f>
        <v>1267.0999999999999</v>
      </c>
      <c r="DN28" s="187">
        <f>Яра!D59</f>
        <v>504.59404999999998</v>
      </c>
      <c r="DO28" s="187">
        <f t="shared" si="43"/>
        <v>39.822748796464367</v>
      </c>
      <c r="DP28" s="187">
        <f>Яра!C62</f>
        <v>20.13</v>
      </c>
      <c r="DQ28" s="187">
        <f>Яра!D62</f>
        <v>0</v>
      </c>
      <c r="DR28" s="187">
        <f t="shared" si="44"/>
        <v>0</v>
      </c>
      <c r="DS28" s="187">
        <f>Яра!C63</f>
        <v>5</v>
      </c>
      <c r="DT28" s="187">
        <f>Яра!D63</f>
        <v>0</v>
      </c>
      <c r="DU28" s="187">
        <f t="shared" si="45"/>
        <v>0</v>
      </c>
      <c r="DV28" s="187">
        <f>Яра!C64</f>
        <v>27.77</v>
      </c>
      <c r="DW28" s="187">
        <f>Яра!D64</f>
        <v>7.7694999999999999</v>
      </c>
      <c r="DX28" s="187">
        <f t="shared" si="46"/>
        <v>27.97803384947785</v>
      </c>
      <c r="DY28" s="187">
        <f>Яра!C66</f>
        <v>179.892</v>
      </c>
      <c r="DZ28" s="187">
        <f>Яра!D65</f>
        <v>63.244230000000002</v>
      </c>
      <c r="EA28" s="187">
        <f t="shared" si="47"/>
        <v>35.156777399773198</v>
      </c>
      <c r="EB28" s="187">
        <f>Яра!C67</f>
        <v>12.175000000000001</v>
      </c>
      <c r="EC28" s="187">
        <f>Яра!D67</f>
        <v>1.175</v>
      </c>
      <c r="ED28" s="187">
        <f t="shared" si="48"/>
        <v>9.6509240246406574</v>
      </c>
      <c r="EE28" s="195">
        <f>Яра!C73</f>
        <v>5523.0478000000003</v>
      </c>
      <c r="EF28" s="195">
        <f>Яра!D73</f>
        <v>507.36457999999999</v>
      </c>
      <c r="EG28" s="187">
        <f t="shared" si="49"/>
        <v>9.1863152080631991</v>
      </c>
      <c r="EH28" s="195">
        <f>Яра!C78</f>
        <v>770.34400000000005</v>
      </c>
      <c r="EI28" s="195">
        <f>Яра!D78</f>
        <v>203.01786000000001</v>
      </c>
      <c r="EJ28" s="187">
        <f t="shared" si="50"/>
        <v>26.354182027769411</v>
      </c>
      <c r="EK28" s="195">
        <f>Яра!C82</f>
        <v>6565.6698399999996</v>
      </c>
      <c r="EL28" s="197">
        <f>Яра!D82</f>
        <v>883.76350000000002</v>
      </c>
      <c r="EM28" s="187">
        <f t="shared" si="10"/>
        <v>13.460370709106506</v>
      </c>
      <c r="EN28" s="187">
        <f>Яра!C84</f>
        <v>0</v>
      </c>
      <c r="EO28" s="187">
        <f>Яра!D84</f>
        <v>0</v>
      </c>
      <c r="EP28" s="187" t="e">
        <f t="shared" si="11"/>
        <v>#DIV/0!</v>
      </c>
      <c r="EQ28" s="198">
        <f>Яра!C89</f>
        <v>33.219000000000001</v>
      </c>
      <c r="ER28" s="198">
        <f>Яра!D89</f>
        <v>25.768999999999998</v>
      </c>
      <c r="ES28" s="187">
        <f t="shared" si="51"/>
        <v>77.573075649477701</v>
      </c>
      <c r="ET28" s="187">
        <f>Яра!C95</f>
        <v>0</v>
      </c>
      <c r="EU28" s="187">
        <f>Яра!D95</f>
        <v>0</v>
      </c>
      <c r="EV28" s="184" t="e">
        <f t="shared" si="52"/>
        <v>#DIV/0!</v>
      </c>
      <c r="EW28" s="191">
        <f t="shared" si="12"/>
        <v>-1214.8990599999997</v>
      </c>
      <c r="EX28" s="191">
        <f t="shared" si="13"/>
        <v>-183.1575699999994</v>
      </c>
      <c r="EY28" s="184">
        <f t="shared" si="54"/>
        <v>15.075949601936431</v>
      </c>
      <c r="EZ28" s="192"/>
      <c r="FA28" s="193"/>
      <c r="FC28" s="193"/>
    </row>
    <row r="29" spans="1:170" s="169" customFormat="1" ht="15" customHeight="1">
      <c r="A29" s="181">
        <v>16</v>
      </c>
      <c r="B29" s="182" t="s">
        <v>318</v>
      </c>
      <c r="C29" s="183">
        <f t="shared" si="14"/>
        <v>12175.362449999999</v>
      </c>
      <c r="D29" s="405">
        <f t="shared" si="0"/>
        <v>2646.1572699999997</v>
      </c>
      <c r="E29" s="184">
        <f t="shared" si="1"/>
        <v>21.733704280811779</v>
      </c>
      <c r="F29" s="185">
        <f t="shared" si="2"/>
        <v>2115.6602800000001</v>
      </c>
      <c r="G29" s="185">
        <f t="shared" si="3"/>
        <v>529.00558999999998</v>
      </c>
      <c r="H29" s="184">
        <f t="shared" si="15"/>
        <v>25.004278569714415</v>
      </c>
      <c r="I29" s="186">
        <f>Яро!C6</f>
        <v>109.68899999999999</v>
      </c>
      <c r="J29" s="188">
        <f>Яро!D6</f>
        <v>41.512410000000003</v>
      </c>
      <c r="K29" s="184">
        <f t="shared" si="16"/>
        <v>37.845554248830794</v>
      </c>
      <c r="L29" s="184">
        <f>Яро!C8</f>
        <v>157.55000000000001</v>
      </c>
      <c r="M29" s="184">
        <f>Яро!D8</f>
        <v>92.453519999999997</v>
      </c>
      <c r="N29" s="184">
        <f t="shared" si="17"/>
        <v>58.682018406854965</v>
      </c>
      <c r="O29" s="184">
        <f>Яро!C9</f>
        <v>1.69</v>
      </c>
      <c r="P29" s="184">
        <f>Яро!D9</f>
        <v>0.69454000000000005</v>
      </c>
      <c r="Q29" s="184">
        <f t="shared" si="18"/>
        <v>41.097041420118344</v>
      </c>
      <c r="R29" s="184">
        <f>Яро!C10</f>
        <v>263.14</v>
      </c>
      <c r="S29" s="184">
        <f>Яро!D10</f>
        <v>128.31883999999999</v>
      </c>
      <c r="T29" s="184">
        <f t="shared" si="19"/>
        <v>48.764475184312531</v>
      </c>
      <c r="U29" s="184">
        <f>Яро!C11</f>
        <v>0</v>
      </c>
      <c r="V29" s="380">
        <f>Яро!D11</f>
        <v>-16.813490000000002</v>
      </c>
      <c r="W29" s="184" t="e">
        <f t="shared" si="20"/>
        <v>#DIV/0!</v>
      </c>
      <c r="X29" s="186">
        <f>Яро!C13</f>
        <v>5</v>
      </c>
      <c r="Y29" s="186">
        <f>Яро!D13</f>
        <v>0.77749999999999997</v>
      </c>
      <c r="Z29" s="184">
        <f t="shared" si="21"/>
        <v>15.55</v>
      </c>
      <c r="AA29" s="186">
        <f>Яро!C15</f>
        <v>228</v>
      </c>
      <c r="AB29" s="379">
        <f>Яро!D15</f>
        <v>94.584710000000001</v>
      </c>
      <c r="AC29" s="184">
        <f t="shared" si="22"/>
        <v>41.484521929824567</v>
      </c>
      <c r="AD29" s="186">
        <f>Яро!C16</f>
        <v>1028</v>
      </c>
      <c r="AE29" s="186">
        <f>Яро!D16</f>
        <v>83.39761</v>
      </c>
      <c r="AF29" s="184">
        <f t="shared" si="4"/>
        <v>8.1126079766536954</v>
      </c>
      <c r="AG29" s="184">
        <f>Яро!C18</f>
        <v>5</v>
      </c>
      <c r="AH29" s="184">
        <f>Яро!D18</f>
        <v>2.75</v>
      </c>
      <c r="AI29" s="184">
        <f t="shared" si="23"/>
        <v>55.000000000000007</v>
      </c>
      <c r="AJ29" s="184"/>
      <c r="AK29" s="184"/>
      <c r="AL29" s="184" t="e">
        <f>AJ29/AK29*100</f>
        <v>#DIV/0!</v>
      </c>
      <c r="AM29" s="186">
        <v>0</v>
      </c>
      <c r="AN29" s="186">
        <v>0</v>
      </c>
      <c r="AO29" s="184" t="e">
        <f t="shared" si="6"/>
        <v>#DIV/0!</v>
      </c>
      <c r="AP29" s="186">
        <f>Яро!C26</f>
        <v>300</v>
      </c>
      <c r="AQ29" s="396">
        <f>Яро!D27</f>
        <v>89.837950000000006</v>
      </c>
      <c r="AR29" s="184">
        <f t="shared" si="24"/>
        <v>29.945983333333338</v>
      </c>
      <c r="AS29" s="188">
        <v>0</v>
      </c>
      <c r="AT29" s="203">
        <f>Яро!D28</f>
        <v>0</v>
      </c>
      <c r="AU29" s="184" t="e">
        <f t="shared" si="25"/>
        <v>#DIV/0!</v>
      </c>
      <c r="AV29" s="186"/>
      <c r="AW29" s="186"/>
      <c r="AX29" s="184" t="e">
        <f t="shared" si="26"/>
        <v>#DIV/0!</v>
      </c>
      <c r="AY29" s="184"/>
      <c r="AZ29" s="224">
        <f>Яро!D29</f>
        <v>5.093</v>
      </c>
      <c r="BA29" s="184" t="e">
        <f t="shared" si="27"/>
        <v>#DIV/0!</v>
      </c>
      <c r="BB29" s="184"/>
      <c r="BC29" s="184"/>
      <c r="BD29" s="184"/>
      <c r="BE29" s="184">
        <f>Яро!C33</f>
        <v>17.591280000000001</v>
      </c>
      <c r="BF29" s="184">
        <f>Яро!D31</f>
        <v>6.399</v>
      </c>
      <c r="BG29" s="184">
        <f t="shared" si="28"/>
        <v>36.37597718869803</v>
      </c>
      <c r="BH29" s="184"/>
      <c r="BI29" s="184"/>
      <c r="BJ29" s="184" t="e">
        <f t="shared" si="29"/>
        <v>#DIV/0!</v>
      </c>
      <c r="BK29" s="184"/>
      <c r="BL29" s="184"/>
      <c r="BM29" s="184"/>
      <c r="BN29" s="184"/>
      <c r="BO29" s="184"/>
      <c r="BP29" s="184" t="e">
        <f t="shared" si="30"/>
        <v>#DIV/0!</v>
      </c>
      <c r="BQ29" s="184">
        <f>Яро!C34</f>
        <v>0</v>
      </c>
      <c r="BR29" s="184">
        <f>Яро!D34</f>
        <v>0</v>
      </c>
      <c r="BS29" s="184" t="e">
        <f t="shared" si="31"/>
        <v>#DIV/0!</v>
      </c>
      <c r="BT29" s="184"/>
      <c r="BU29" s="184"/>
      <c r="BV29" s="189" t="e">
        <f t="shared" si="32"/>
        <v>#DIV/0!</v>
      </c>
      <c r="BW29" s="189"/>
      <c r="BX29" s="189"/>
      <c r="BY29" s="189" t="e">
        <f t="shared" si="33"/>
        <v>#DIV/0!</v>
      </c>
      <c r="BZ29" s="186">
        <f t="shared" si="34"/>
        <v>10059.702169999999</v>
      </c>
      <c r="CA29" s="186">
        <f t="shared" si="35"/>
        <v>2117.1516799999999</v>
      </c>
      <c r="CB29" s="184">
        <f t="shared" si="53"/>
        <v>21.045868398706283</v>
      </c>
      <c r="CC29" s="187">
        <f>Яро!C39</f>
        <v>550.70000000000005</v>
      </c>
      <c r="CD29" s="187">
        <f>Яро!D39</f>
        <v>229.46</v>
      </c>
      <c r="CE29" s="184">
        <f t="shared" si="36"/>
        <v>41.666969311785003</v>
      </c>
      <c r="CF29" s="184">
        <f>Яро!C40</f>
        <v>3415</v>
      </c>
      <c r="CG29" s="184">
        <f>Яро!D40</f>
        <v>1340</v>
      </c>
      <c r="CH29" s="184">
        <f t="shared" si="37"/>
        <v>39.238653001464129</v>
      </c>
      <c r="CI29" s="184">
        <f>Яро!C41</f>
        <v>5600.5004900000004</v>
      </c>
      <c r="CJ29" s="184">
        <f>Яро!D41</f>
        <v>269.904</v>
      </c>
      <c r="CK29" s="184">
        <f t="shared" si="7"/>
        <v>4.8192835708510042</v>
      </c>
      <c r="CL29" s="184">
        <f>Яро!C42</f>
        <v>93.018000000000001</v>
      </c>
      <c r="CM29" s="184">
        <f>Яро!D42</f>
        <v>37.304000000000002</v>
      </c>
      <c r="CN29" s="184">
        <f t="shared" si="8"/>
        <v>40.104065879722206</v>
      </c>
      <c r="CO29" s="184">
        <f>Яро!C44</f>
        <v>160</v>
      </c>
      <c r="CP29" s="184">
        <f>Яро!D44</f>
        <v>0</v>
      </c>
      <c r="CQ29" s="184">
        <f>Яро!E44</f>
        <v>0</v>
      </c>
      <c r="CR29" s="380">
        <f>Яро!C45</f>
        <v>240.48367999999999</v>
      </c>
      <c r="CS29" s="184">
        <f>Яро!D45</f>
        <v>240.48367999999999</v>
      </c>
      <c r="CT29" s="184">
        <f t="shared" si="9"/>
        <v>100</v>
      </c>
      <c r="CU29" s="184"/>
      <c r="CV29" s="184"/>
      <c r="CW29" s="184"/>
      <c r="CX29" s="186"/>
      <c r="CY29" s="186"/>
      <c r="CZ29" s="184" t="e">
        <f t="shared" si="38"/>
        <v>#DIV/0!</v>
      </c>
      <c r="DA29" s="184"/>
      <c r="DB29" s="184"/>
      <c r="DC29" s="184"/>
      <c r="DD29" s="184"/>
      <c r="DE29" s="184"/>
      <c r="DF29" s="184"/>
      <c r="DG29" s="188">
        <f t="shared" si="39"/>
        <v>12227.636879999998</v>
      </c>
      <c r="DH29" s="188">
        <f t="shared" si="39"/>
        <v>2571.2502799999997</v>
      </c>
      <c r="DI29" s="184">
        <f t="shared" si="40"/>
        <v>21.028186437279942</v>
      </c>
      <c r="DJ29" s="186">
        <f t="shared" si="41"/>
        <v>1294.6619999999998</v>
      </c>
      <c r="DK29" s="186">
        <f t="shared" si="41"/>
        <v>451.75274999999999</v>
      </c>
      <c r="DL29" s="184">
        <f t="shared" si="42"/>
        <v>34.893489574885187</v>
      </c>
      <c r="DM29" s="184">
        <f>Яро!C55</f>
        <v>1286.5719999999999</v>
      </c>
      <c r="DN29" s="184">
        <f>Яро!D55</f>
        <v>448.66325000000001</v>
      </c>
      <c r="DO29" s="184">
        <f t="shared" si="43"/>
        <v>34.872766545517855</v>
      </c>
      <c r="DP29" s="184">
        <f>Яро!C58</f>
        <v>0</v>
      </c>
      <c r="DQ29" s="184">
        <f>Яро!D58</f>
        <v>0</v>
      </c>
      <c r="DR29" s="184" t="e">
        <f t="shared" si="44"/>
        <v>#DIV/0!</v>
      </c>
      <c r="DS29" s="184">
        <f>Яро!C59</f>
        <v>5</v>
      </c>
      <c r="DT29" s="184">
        <f>Яро!D59</f>
        <v>0</v>
      </c>
      <c r="DU29" s="184">
        <f t="shared" si="45"/>
        <v>0</v>
      </c>
      <c r="DV29" s="184">
        <f>Яро!C60</f>
        <v>3.09</v>
      </c>
      <c r="DW29" s="184">
        <f>Яро!D60</f>
        <v>3.0895000000000001</v>
      </c>
      <c r="DX29" s="184">
        <f t="shared" si="46"/>
        <v>99.983818770226549</v>
      </c>
      <c r="DY29" s="184">
        <f>Яро!C61</f>
        <v>89.944999999999993</v>
      </c>
      <c r="DZ29" s="184">
        <f>Яро!D61</f>
        <v>24.889849999999999</v>
      </c>
      <c r="EA29" s="184">
        <f t="shared" si="47"/>
        <v>27.672299738729222</v>
      </c>
      <c r="EB29" s="184">
        <f>Яро!C63</f>
        <v>18.399999999999999</v>
      </c>
      <c r="EC29" s="184">
        <f>Яро!D63</f>
        <v>4.6354300000000004</v>
      </c>
      <c r="ED29" s="184">
        <f t="shared" si="48"/>
        <v>25.192554347826089</v>
      </c>
      <c r="EE29" s="186">
        <f>Яро!C69</f>
        <v>4192.95093</v>
      </c>
      <c r="EF29" s="186">
        <f>Яро!D69</f>
        <v>1615.8894</v>
      </c>
      <c r="EG29" s="184">
        <f t="shared" si="49"/>
        <v>38.538237794259139</v>
      </c>
      <c r="EH29" s="186">
        <f>Яро!C74</f>
        <v>243.59333000000001</v>
      </c>
      <c r="EI29" s="186">
        <f>Яро!D74</f>
        <v>132.79785000000001</v>
      </c>
      <c r="EJ29" s="184">
        <f t="shared" si="50"/>
        <v>54.516209454503539</v>
      </c>
      <c r="EK29" s="186">
        <f>Яро!C79</f>
        <v>6384.80062</v>
      </c>
      <c r="EL29" s="190">
        <f>Яро!D78</f>
        <v>340</v>
      </c>
      <c r="EM29" s="184">
        <f t="shared" si="10"/>
        <v>5.3251467075568604</v>
      </c>
      <c r="EN29" s="184">
        <f>Яро!C80</f>
        <v>0</v>
      </c>
      <c r="EO29" s="184">
        <f>Яро!D80</f>
        <v>0</v>
      </c>
      <c r="EP29" s="184" t="e">
        <f t="shared" si="11"/>
        <v>#DIV/0!</v>
      </c>
      <c r="EQ29" s="185">
        <f>Яро!C85</f>
        <v>3.2850000000000001</v>
      </c>
      <c r="ER29" s="185">
        <f>Яро!D85</f>
        <v>1.2849999999999999</v>
      </c>
      <c r="ES29" s="184">
        <f t="shared" si="51"/>
        <v>39.117199391171994</v>
      </c>
      <c r="ET29" s="184">
        <f>Яро!C91</f>
        <v>0</v>
      </c>
      <c r="EU29" s="184">
        <f>Яро!D91</f>
        <v>0</v>
      </c>
      <c r="EV29" s="184" t="e">
        <f t="shared" si="52"/>
        <v>#DIV/0!</v>
      </c>
      <c r="EW29" s="191">
        <f t="shared" si="12"/>
        <v>-52.274429999999484</v>
      </c>
      <c r="EX29" s="191">
        <f t="shared" si="13"/>
        <v>74.906989999999951</v>
      </c>
      <c r="EY29" s="184">
        <f t="shared" si="54"/>
        <v>-143.29566099525272</v>
      </c>
      <c r="EZ29" s="192"/>
      <c r="FA29" s="193"/>
      <c r="FC29" s="193"/>
    </row>
    <row r="30" spans="1:170" s="169" customFormat="1" ht="17.25" customHeight="1">
      <c r="A30" s="201"/>
      <c r="B30" s="202"/>
      <c r="C30" s="183"/>
      <c r="D30" s="283"/>
      <c r="E30" s="184"/>
      <c r="F30" s="185"/>
      <c r="G30" s="186"/>
      <c r="H30" s="184"/>
      <c r="I30" s="186"/>
      <c r="J30" s="203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380"/>
      <c r="W30" s="184"/>
      <c r="X30" s="186"/>
      <c r="Y30" s="186"/>
      <c r="Z30" s="184"/>
      <c r="AA30" s="186"/>
      <c r="AB30" s="186"/>
      <c r="AC30" s="184"/>
      <c r="AD30" s="186"/>
      <c r="AE30" s="186"/>
      <c r="AF30" s="184"/>
      <c r="AG30" s="184"/>
      <c r="AH30" s="184"/>
      <c r="AI30" s="184"/>
      <c r="AJ30" s="184"/>
      <c r="AK30" s="184"/>
      <c r="AL30" s="184"/>
      <c r="AM30" s="186"/>
      <c r="AN30" s="186"/>
      <c r="AO30" s="184"/>
      <c r="AP30" s="186"/>
      <c r="AQ30" s="186"/>
      <c r="AR30" s="184"/>
      <c r="AS30" s="186"/>
      <c r="AT30" s="203"/>
      <c r="AU30" s="184"/>
      <c r="AV30" s="186"/>
      <c r="AW30" s="186"/>
      <c r="AX30" s="184"/>
      <c r="AY30" s="184"/>
      <c r="AZ30" s="224"/>
      <c r="BA30" s="184" t="e">
        <f t="shared" si="27"/>
        <v>#DIV/0!</v>
      </c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9"/>
      <c r="BW30" s="189"/>
      <c r="BX30" s="189"/>
      <c r="BY30" s="189"/>
      <c r="BZ30" s="203"/>
      <c r="CA30" s="186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4"/>
      <c r="CN30" s="184"/>
      <c r="CO30" s="184"/>
      <c r="CP30" s="184"/>
      <c r="CQ30" s="184"/>
      <c r="CR30" s="380"/>
      <c r="CS30" s="184"/>
      <c r="CT30" s="184"/>
      <c r="CU30" s="184"/>
      <c r="CV30" s="184"/>
      <c r="CW30" s="184"/>
      <c r="CX30" s="186"/>
      <c r="CY30" s="186"/>
      <c r="CZ30" s="184"/>
      <c r="DA30" s="184"/>
      <c r="DB30" s="184"/>
      <c r="DC30" s="184"/>
      <c r="DD30" s="184"/>
      <c r="DE30" s="184"/>
      <c r="DF30" s="184"/>
      <c r="DG30" s="186"/>
      <c r="DH30" s="186"/>
      <c r="DI30" s="184"/>
      <c r="DJ30" s="186"/>
      <c r="DK30" s="203"/>
      <c r="DL30" s="184"/>
      <c r="DM30" s="184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221"/>
      <c r="EA30" s="184"/>
      <c r="EB30" s="184"/>
      <c r="EC30" s="184"/>
      <c r="ED30" s="184"/>
      <c r="EE30" s="186"/>
      <c r="EF30" s="186"/>
      <c r="EG30" s="184"/>
      <c r="EH30" s="186"/>
      <c r="EI30" s="186"/>
      <c r="EJ30" s="184"/>
      <c r="EK30" s="186"/>
      <c r="EL30" s="186"/>
      <c r="EM30" s="184"/>
      <c r="EN30" s="184"/>
      <c r="EO30" s="184"/>
      <c r="EP30" s="184"/>
      <c r="EQ30" s="185"/>
      <c r="ER30" s="185"/>
      <c r="ES30" s="184"/>
      <c r="ET30" s="184"/>
      <c r="EU30" s="184"/>
      <c r="EV30" s="184"/>
      <c r="EW30" s="191"/>
      <c r="EX30" s="191"/>
      <c r="EY30" s="184" t="e">
        <f t="shared" si="54"/>
        <v>#DIV/0!</v>
      </c>
      <c r="FA30" s="193"/>
      <c r="FC30" s="193"/>
    </row>
    <row r="31" spans="1:170" s="204" customFormat="1" ht="15.75">
      <c r="A31" s="510" t="s">
        <v>179</v>
      </c>
      <c r="B31" s="511"/>
      <c r="C31" s="284">
        <f>SUM(C14:C29)</f>
        <v>141521.68038999999</v>
      </c>
      <c r="D31" s="284">
        <f>SUM(D14:D29)</f>
        <v>34585.294959999999</v>
      </c>
      <c r="E31" s="235">
        <f>D31/C31*100</f>
        <v>24.438160191916303</v>
      </c>
      <c r="F31" s="233">
        <f>SUM(F14:F29)</f>
        <v>39271.26857</v>
      </c>
      <c r="G31" s="232">
        <f>SUM(G14:G29)</f>
        <v>11175.755170000002</v>
      </c>
      <c r="H31" s="235">
        <f>G31/F31*100</f>
        <v>28.457841004243377</v>
      </c>
      <c r="I31" s="232">
        <f>SUM(I14:I29)</f>
        <v>5296.6999999999989</v>
      </c>
      <c r="J31" s="232">
        <f>SUM(J14:J29)</f>
        <v>2121.1353199999999</v>
      </c>
      <c r="K31" s="235">
        <f>J31/I31*100</f>
        <v>40.046355655408092</v>
      </c>
      <c r="L31" s="235">
        <f>SUM(L14:L29)</f>
        <v>3048.8849999999993</v>
      </c>
      <c r="M31" s="235">
        <f>SUM(M14:M29)</f>
        <v>1789.1644199999998</v>
      </c>
      <c r="N31" s="235">
        <f>M31/L31*100</f>
        <v>58.68258133711177</v>
      </c>
      <c r="O31" s="235">
        <f>SUM(O14:O29)</f>
        <v>32.633000000000003</v>
      </c>
      <c r="P31" s="235">
        <f>SUM(P14:P29)</f>
        <v>13.440799999999999</v>
      </c>
      <c r="Q31" s="235">
        <f>P31/O31*100</f>
        <v>41.187754726810276</v>
      </c>
      <c r="R31" s="235">
        <f>SUM(R14:R29)</f>
        <v>5092.3970000000008</v>
      </c>
      <c r="S31" s="235">
        <f>SUM(S14:S29)</f>
        <v>2483.2313300000001</v>
      </c>
      <c r="T31" s="235">
        <f>S31/R31*100</f>
        <v>48.76350626237506</v>
      </c>
      <c r="U31" s="235">
        <f>SUM(U14:U29)</f>
        <v>0</v>
      </c>
      <c r="V31" s="235">
        <f>SUM(V14:V29)</f>
        <v>-325.37550000000005</v>
      </c>
      <c r="W31" s="235" t="e">
        <f>V31/U31*100</f>
        <v>#DIV/0!</v>
      </c>
      <c r="X31" s="232">
        <f>SUM(X14:X29)</f>
        <v>470</v>
      </c>
      <c r="Y31" s="232">
        <f>SUM(Y14:Y29)</f>
        <v>522.24524000000008</v>
      </c>
      <c r="Z31" s="235">
        <f>Y31/X31*100</f>
        <v>111.11600851063832</v>
      </c>
      <c r="AA31" s="232">
        <f>SUM(AA14:AA29)</f>
        <v>4631</v>
      </c>
      <c r="AB31" s="232">
        <f>SUM(AB14:AB29)</f>
        <v>648.08966000000009</v>
      </c>
      <c r="AC31" s="235">
        <f>AB31/AA31*100</f>
        <v>13.994594256100196</v>
      </c>
      <c r="AD31" s="232">
        <f>SUM(AD14:AD29)</f>
        <v>17719.37729</v>
      </c>
      <c r="AE31" s="232">
        <f>SUM(AE14:AE29)</f>
        <v>2450.7956600000002</v>
      </c>
      <c r="AF31" s="235">
        <f>AE31/AD31*100</f>
        <v>13.831161331968007</v>
      </c>
      <c r="AG31" s="285">
        <f>SUM(AG14:AG29)</f>
        <v>147</v>
      </c>
      <c r="AH31" s="235">
        <f>SUM(AH14:AH29)</f>
        <v>50.53</v>
      </c>
      <c r="AI31" s="184">
        <f t="shared" si="23"/>
        <v>34.374149659863946</v>
      </c>
      <c r="AJ31" s="232">
        <f>AJ14+AJ15+AJ16+AJ17+AJ18+AJ19+AJ20+AJ21+AJ22+AJ23+AJ24+AJ25+AJ26+AJ27+AJ28+AJ29</f>
        <v>0</v>
      </c>
      <c r="AK31" s="232">
        <f>AK14+AK15+AK16+AK17+AK18+AK19+AK20+AK21+AK22+AK23+AK24+AK25+AK26+AK27+AK28+AK29</f>
        <v>0</v>
      </c>
      <c r="AL31" s="184" t="e">
        <f>AK31/AJ31*100</f>
        <v>#DIV/0!</v>
      </c>
      <c r="AM31" s="232">
        <f>SUM(AM14:AM29)</f>
        <v>0</v>
      </c>
      <c r="AN31" s="232">
        <f>SUM(AN14:AN29)</f>
        <v>0</v>
      </c>
      <c r="AO31" s="235" t="e">
        <f>AN31/AM31*100</f>
        <v>#DIV/0!</v>
      </c>
      <c r="AP31" s="232">
        <f>SUM(AP14:AP29)</f>
        <v>1611.4</v>
      </c>
      <c r="AQ31" s="232">
        <f>SUM(AQ14:AQ29)</f>
        <v>705.34391999999991</v>
      </c>
      <c r="AR31" s="235">
        <f>AQ31/AP31*100</f>
        <v>43.772118654586066</v>
      </c>
      <c r="AS31" s="232">
        <f>SUM(AS14:AS29)</f>
        <v>243.7</v>
      </c>
      <c r="AT31" s="232">
        <f>SUM(AT14:AT29)</f>
        <v>140.12136000000001</v>
      </c>
      <c r="AU31" s="235">
        <f>AT31/AS31*100</f>
        <v>57.497480508822328</v>
      </c>
      <c r="AV31" s="232">
        <f>SUM(AV14:AV29)</f>
        <v>0</v>
      </c>
      <c r="AW31" s="232">
        <f>SUM(AW14:AW29)</f>
        <v>0</v>
      </c>
      <c r="AX31" s="235" t="e">
        <f>AW31/AV31*100</f>
        <v>#DIV/0!</v>
      </c>
      <c r="AY31" s="235">
        <f>SUM(AY14:AY29)</f>
        <v>530</v>
      </c>
      <c r="AZ31" s="235">
        <f>SUM(AZ14:AZ29)</f>
        <v>508.83271999999999</v>
      </c>
      <c r="BA31" s="184">
        <f t="shared" si="27"/>
        <v>96.006173584905667</v>
      </c>
      <c r="BB31" s="184">
        <f>SUM(BB14:BB29)</f>
        <v>0</v>
      </c>
      <c r="BC31" s="184">
        <f>SUM(BC14:BC29)</f>
        <v>6.3845299999999998</v>
      </c>
      <c r="BD31" s="184" t="e">
        <f>BC31/BB31*100</f>
        <v>#DIV/0!</v>
      </c>
      <c r="BE31" s="233">
        <f>SUM(BE14:BE29)</f>
        <v>448.17627999999996</v>
      </c>
      <c r="BF31" s="232">
        <f>SUM(BF14:BF29)</f>
        <v>6.399</v>
      </c>
      <c r="BG31" s="232">
        <f t="shared" si="28"/>
        <v>1.4277864058312055</v>
      </c>
      <c r="BH31" s="232">
        <f>SUM(BH14:BH29)</f>
        <v>0</v>
      </c>
      <c r="BI31" s="232">
        <f>SUM(BI14:BI29)</f>
        <v>0</v>
      </c>
      <c r="BJ31" s="235" t="e">
        <f>BI31/BH31*100</f>
        <v>#DIV/0!</v>
      </c>
      <c r="BK31" s="235">
        <f>SUM(BK14:BK29)</f>
        <v>0</v>
      </c>
      <c r="BL31" s="235">
        <f>BL15+BL27+BL28+BL19+BL22+BL26+BL18</f>
        <v>0</v>
      </c>
      <c r="BM31" s="235" t="e">
        <f>BL31/BK31*100</f>
        <v>#DIV/0!</v>
      </c>
      <c r="BN31" s="235">
        <f>BN14+BN15+BN16+BN17+BN18+BN19+BN20+BN21+BN22+BN23+BN24+BN25+BN26+BN27+BN28+BN29</f>
        <v>0</v>
      </c>
      <c r="BO31" s="235">
        <f>BO14+BO15+BO16+BO17+BO18+BO19+BO20+BO21+BO22+BO23+BO24+BO25+BO26+BO27+BO28+BO29</f>
        <v>56.393550000000005</v>
      </c>
      <c r="BP31" s="235" t="e">
        <f>BO31/BN31*100</f>
        <v>#DIV/0!</v>
      </c>
      <c r="BQ31" s="232">
        <f>SUM(BQ14:BQ29)</f>
        <v>0</v>
      </c>
      <c r="BR31" s="232">
        <f>SUM(BR14:BR29)</f>
        <v>5.4076900000000006</v>
      </c>
      <c r="BS31" s="235" t="e">
        <f>BR31/BQ31*100</f>
        <v>#DIV/0!</v>
      </c>
      <c r="BT31" s="235">
        <f t="shared" ref="BT31:BY31" si="55">SUM(BT14:BT29)</f>
        <v>0</v>
      </c>
      <c r="BU31" s="235"/>
      <c r="BV31" s="235" t="e">
        <f t="shared" si="55"/>
        <v>#DIV/0!</v>
      </c>
      <c r="BW31" s="235">
        <f t="shared" si="55"/>
        <v>0</v>
      </c>
      <c r="BX31" s="235">
        <f t="shared" si="55"/>
        <v>0</v>
      </c>
      <c r="BY31" s="286" t="e">
        <f t="shared" si="55"/>
        <v>#DIV/0!</v>
      </c>
      <c r="BZ31" s="233">
        <f>SUM(BZ14:BZ29)</f>
        <v>102250.41182000001</v>
      </c>
      <c r="CA31" s="232">
        <f>SUM(CA14:CA29)</f>
        <v>23409.539790000003</v>
      </c>
      <c r="CB31" s="232">
        <f t="shared" si="53"/>
        <v>22.894323233836733</v>
      </c>
      <c r="CC31" s="232">
        <f>SUM(CC14:CC29)</f>
        <v>28294.000000000004</v>
      </c>
      <c r="CD31" s="232">
        <f>SUM(CD14:CD29)</f>
        <v>11788.915000000001</v>
      </c>
      <c r="CE31" s="232">
        <f>CD31/CC31*100</f>
        <v>41.66577719657878</v>
      </c>
      <c r="CF31" s="233">
        <f>SUM(CF14:CF29)</f>
        <v>8300.3080000000009</v>
      </c>
      <c r="CG31" s="232">
        <f>SUM(CG14:CG29)</f>
        <v>3232.5</v>
      </c>
      <c r="CH31" s="232">
        <f>CG31/CF31*100</f>
        <v>38.944337969145238</v>
      </c>
      <c r="CI31" s="232">
        <f>SUM(CI14:CI29)</f>
        <v>52483.431610000007</v>
      </c>
      <c r="CJ31" s="232">
        <f>SUM(CJ14:CJ29)</f>
        <v>4601.7139999999999</v>
      </c>
      <c r="CK31" s="232">
        <f>CJ31/CI31*100</f>
        <v>8.7679365827199565</v>
      </c>
      <c r="CL31" s="232">
        <f>SUM(CL14:CL29)</f>
        <v>2201.1</v>
      </c>
      <c r="CM31" s="232">
        <f>SUM(CM14:CM29)</f>
        <v>898.18700000000024</v>
      </c>
      <c r="CN31" s="232">
        <f t="shared" si="8"/>
        <v>40.806278678842411</v>
      </c>
      <c r="CO31" s="232">
        <f>SUM(CO14:CO29)</f>
        <v>7453.204130000001</v>
      </c>
      <c r="CP31" s="232">
        <f>SUM(CP14:CP29)</f>
        <v>0</v>
      </c>
      <c r="CQ31" s="232">
        <f>CP31/CO31*100</f>
        <v>0</v>
      </c>
      <c r="CR31" s="232">
        <f>SUM(CR14:CR29)</f>
        <v>3518.3680800000002</v>
      </c>
      <c r="CS31" s="232">
        <f>SUM(CS14:CS29)</f>
        <v>2888.22379</v>
      </c>
      <c r="CT31" s="232">
        <f t="shared" si="9"/>
        <v>82.089870199140719</v>
      </c>
      <c r="CU31" s="232">
        <f>SUM(CU14:CU29)</f>
        <v>0</v>
      </c>
      <c r="CV31" s="232">
        <f>SUM(CV14:CV29)</f>
        <v>0</v>
      </c>
      <c r="CW31" s="232" t="e">
        <f>CV31/CU31*100</f>
        <v>#DIV/0!</v>
      </c>
      <c r="CX31" s="232">
        <f>SUM(CX14:CX29)</f>
        <v>0</v>
      </c>
      <c r="CY31" s="232">
        <f>SUM(CY14:CY29)</f>
        <v>0</v>
      </c>
      <c r="CZ31" s="235" t="e">
        <f>CY31/CX31*100</f>
        <v>#DIV/0!</v>
      </c>
      <c r="DA31" s="235">
        <f>DA14+DA15+DA16+DA17+DA18+DA19+DA20+DA21+DA22+DA23+DA24+DA25+DA26+DA27+DA28+DA29</f>
        <v>0</v>
      </c>
      <c r="DB31" s="235">
        <f>DB14+DB15+DB16+DB17+DB18+DB19+DB20+DB21+DB22+DB23+DB24+DB25+DB26+DB27+DB28+DB29</f>
        <v>0</v>
      </c>
      <c r="DC31" s="235" t="e">
        <f>DB31/DA31*100</f>
        <v>#DIV/0!</v>
      </c>
      <c r="DD31" s="235">
        <f>DD14+DD15+DD16+DD17+DD18+DD19+DD20+DD21+DD22+DD23+DD24+DD25+DD26+DD27+DD28+DD29</f>
        <v>0</v>
      </c>
      <c r="DE31" s="235">
        <f>DE14+DE15+DE16+DE17+DE18+DE19+DE20+DE21+DE22+DE23+DE24+DE25+DE26+DE27+DE28+DE29</f>
        <v>0</v>
      </c>
      <c r="DF31" s="235">
        <v>0</v>
      </c>
      <c r="DG31" s="233">
        <f>SUM(DG14:DG29)</f>
        <v>149117.97814999998</v>
      </c>
      <c r="DH31" s="233">
        <f>SUM(DH14:DH29)</f>
        <v>33214.464219999994</v>
      </c>
      <c r="DI31" s="235">
        <f>DH31/DG31*100</f>
        <v>22.273950218523666</v>
      </c>
      <c r="DJ31" s="233">
        <f>SUM(DJ14:DJ29)</f>
        <v>22322.542000000001</v>
      </c>
      <c r="DK31" s="233">
        <f>SUM(DK14:DK29)</f>
        <v>7880.0072199999995</v>
      </c>
      <c r="DL31" s="235">
        <f>DK31/DJ31*100</f>
        <v>35.300671491624918</v>
      </c>
      <c r="DM31" s="232">
        <f>SUM(DM14:DM29)</f>
        <v>21712.286</v>
      </c>
      <c r="DN31" s="233">
        <f>SUM(DN14:DN29)</f>
        <v>7574.7716499999988</v>
      </c>
      <c r="DO31" s="235">
        <f>DN31/DM31*100</f>
        <v>34.887029629215455</v>
      </c>
      <c r="DP31" s="232">
        <f>SUM(DP14:DP29)</f>
        <v>20.13</v>
      </c>
      <c r="DQ31" s="232">
        <f>SUM(DQ14:DQ29)</f>
        <v>0</v>
      </c>
      <c r="DR31" s="235">
        <f>DQ31/DP31*100</f>
        <v>0</v>
      </c>
      <c r="DS31" s="250">
        <f>SUM(DS14:DS29)</f>
        <v>80</v>
      </c>
      <c r="DT31" s="235">
        <f>SUM(DT14:DT29)</f>
        <v>0</v>
      </c>
      <c r="DU31" s="235">
        <f>DT31/DS31*100</f>
        <v>0</v>
      </c>
      <c r="DV31" s="235">
        <f>SUM(DV14:DV29)</f>
        <v>510.12599999999998</v>
      </c>
      <c r="DW31" s="235">
        <f>SUM(DW14:DW29)</f>
        <v>305.23557</v>
      </c>
      <c r="DX31" s="184">
        <f>DW31/DV31*100</f>
        <v>59.83532891873773</v>
      </c>
      <c r="DY31" s="235">
        <f>SUM(DY14:DY29)</f>
        <v>2158.6999999999998</v>
      </c>
      <c r="DZ31" s="250">
        <f>SUM(DZ14:DZ29)</f>
        <v>748.44057000000009</v>
      </c>
      <c r="EA31" s="232">
        <f t="shared" si="47"/>
        <v>34.670893130124618</v>
      </c>
      <c r="EB31" s="250">
        <f>SUM(EB14:EB29)</f>
        <v>236.78000000000003</v>
      </c>
      <c r="EC31" s="250">
        <f>SUM(EC14:EC29)</f>
        <v>59.200429999999997</v>
      </c>
      <c r="ED31" s="184">
        <f t="shared" si="48"/>
        <v>25.002293268012497</v>
      </c>
      <c r="EE31" s="232">
        <f>SUM(EE14:EE29)</f>
        <v>62085.689269999995</v>
      </c>
      <c r="EF31" s="233">
        <f>SUM(EF14:EF29)</f>
        <v>8886.9347500000003</v>
      </c>
      <c r="EG31" s="235">
        <f>EF31/EE31*100</f>
        <v>14.313982585185208</v>
      </c>
      <c r="EH31" s="232">
        <f>SUM(EH14:EH29)</f>
        <v>22670.727420000003</v>
      </c>
      <c r="EI31" s="233">
        <f>SUM(EI14:EI29)</f>
        <v>3968.4322599999996</v>
      </c>
      <c r="EJ31" s="235">
        <f>EI31/EH31*100</f>
        <v>17.504653408249567</v>
      </c>
      <c r="EK31" s="233">
        <f>SUM(EK14:EK29)</f>
        <v>39324.143460000007</v>
      </c>
      <c r="EL31" s="233">
        <f>SUM(EL14:EL29)</f>
        <v>11607.502990000001</v>
      </c>
      <c r="EM31" s="235">
        <f>EL31/EK31*100</f>
        <v>29.517497315121428</v>
      </c>
      <c r="EN31" s="233">
        <f>SUM(EN14:EN29)</f>
        <v>0</v>
      </c>
      <c r="EO31" s="233">
        <f>SUM(EO14:EO29)</f>
        <v>0</v>
      </c>
      <c r="EP31" s="235" t="e">
        <f>EO31/EN31*100</f>
        <v>#DIV/0!</v>
      </c>
      <c r="EQ31" s="232">
        <f>SUM(EQ14:EQ29)</f>
        <v>319.39600000000002</v>
      </c>
      <c r="ER31" s="232">
        <f>SUM(ER14:ER29)</f>
        <v>63.945999999999998</v>
      </c>
      <c r="ES31" s="235">
        <f>ER31/EQ31*100</f>
        <v>20.020914476073585</v>
      </c>
      <c r="ET31" s="235">
        <f>SUM(ET14:ET29)</f>
        <v>0</v>
      </c>
      <c r="EU31" s="285">
        <f>SUM(EU14:EU29)</f>
        <v>0</v>
      </c>
      <c r="EV31" s="184" t="e">
        <f>EU31/ET31*100</f>
        <v>#DIV/0!</v>
      </c>
      <c r="EW31" s="250">
        <f>SUM(EW14:EW29)</f>
        <v>-7596.297759999994</v>
      </c>
      <c r="EX31" s="235">
        <f>SUM(EX14:EX29)</f>
        <v>1370.8307400000008</v>
      </c>
      <c r="EY31" s="184">
        <f>EX31/EW31*100</f>
        <v>-18.046037468652383</v>
      </c>
    </row>
    <row r="32" spans="1:170" ht="0.75" customHeight="1">
      <c r="C32" s="205">
        <v>85422.769</v>
      </c>
      <c r="D32" s="206">
        <v>6971.8725999999997</v>
      </c>
      <c r="F32" s="207">
        <v>29714</v>
      </c>
      <c r="G32" s="208">
        <v>2141.1016</v>
      </c>
      <c r="I32" s="208">
        <v>4023</v>
      </c>
      <c r="J32" s="208">
        <v>517.83318999999995</v>
      </c>
      <c r="L32" s="153">
        <v>2648.3</v>
      </c>
      <c r="M32" s="209">
        <v>275.27994000000001</v>
      </c>
      <c r="O32" s="153">
        <v>72.06</v>
      </c>
      <c r="P32" s="210">
        <v>5.5919400000000001</v>
      </c>
      <c r="R32" s="211">
        <v>5285.44</v>
      </c>
      <c r="S32" s="153">
        <v>437.64443</v>
      </c>
      <c r="V32" s="210">
        <v>-57.366509999999998</v>
      </c>
      <c r="X32" s="208">
        <v>450</v>
      </c>
      <c r="Y32" s="208">
        <v>50.572130000000001</v>
      </c>
      <c r="AA32" s="208">
        <v>1552</v>
      </c>
      <c r="AB32" s="208">
        <v>33.929760000000002</v>
      </c>
      <c r="AD32" s="208">
        <v>14314</v>
      </c>
      <c r="AE32" s="212">
        <v>765.26733999999999</v>
      </c>
      <c r="AG32" s="208">
        <v>264</v>
      </c>
      <c r="AH32" s="208">
        <v>28.45</v>
      </c>
      <c r="AJ32" s="208"/>
      <c r="AK32" s="212">
        <v>4.1130100000000001</v>
      </c>
      <c r="AM32" s="208">
        <v>2902</v>
      </c>
      <c r="AN32" s="208"/>
      <c r="AP32" s="153">
        <v>400</v>
      </c>
      <c r="AQ32" s="153">
        <v>102</v>
      </c>
      <c r="AS32" s="213">
        <v>325.2</v>
      </c>
      <c r="AT32" s="213">
        <v>214</v>
      </c>
      <c r="AY32" s="210"/>
      <c r="AZ32" s="210"/>
      <c r="BC32" s="214"/>
      <c r="BE32" s="215">
        <v>380</v>
      </c>
      <c r="BF32" s="208">
        <v>0</v>
      </c>
      <c r="BH32" s="216"/>
      <c r="BI32" s="208"/>
      <c r="BL32" s="215"/>
      <c r="BN32" s="208"/>
      <c r="BO32" s="208">
        <v>20</v>
      </c>
      <c r="BQ32" s="211"/>
      <c r="BR32" s="213">
        <v>13.81555</v>
      </c>
      <c r="BZ32" s="217">
        <v>55708.769</v>
      </c>
      <c r="CA32" s="208">
        <v>4830.7709999999997</v>
      </c>
      <c r="CC32" s="215">
        <v>26193.4</v>
      </c>
      <c r="CD32" s="215">
        <v>4365.5829999999996</v>
      </c>
      <c r="CE32" s="213"/>
      <c r="CF32" s="217">
        <v>2800</v>
      </c>
      <c r="CG32" s="208">
        <v>0</v>
      </c>
      <c r="CH32" s="213"/>
      <c r="CI32" s="208">
        <v>20988.289000000001</v>
      </c>
      <c r="CJ32" s="208">
        <v>226.78800000000001</v>
      </c>
      <c r="CK32" s="213"/>
      <c r="CL32" s="208">
        <v>5727.08</v>
      </c>
      <c r="CM32" s="208">
        <v>238.4</v>
      </c>
      <c r="CN32" s="213"/>
      <c r="CO32" s="213"/>
      <c r="CP32" s="213"/>
      <c r="CQ32" s="213"/>
      <c r="CR32" s="213"/>
      <c r="CS32" s="213"/>
      <c r="CT32" s="213"/>
      <c r="CU32" s="213"/>
      <c r="CV32" s="213"/>
      <c r="CW32" s="213"/>
      <c r="CX32" s="213"/>
      <c r="DA32" s="211"/>
      <c r="DB32" s="211"/>
      <c r="DD32" s="207"/>
      <c r="DE32" s="217">
        <v>0</v>
      </c>
      <c r="DG32" s="217">
        <v>86467.619000000006</v>
      </c>
      <c r="DH32" s="217">
        <v>8044.3139600000004</v>
      </c>
      <c r="DJ32" s="213">
        <v>18659.286</v>
      </c>
      <c r="DK32" s="207">
        <v>1993.6542099999999</v>
      </c>
      <c r="DM32" s="208">
        <v>18579.286</v>
      </c>
      <c r="DN32" s="208">
        <v>1993.6542099999999</v>
      </c>
      <c r="DP32" s="217"/>
      <c r="DQ32" s="215"/>
      <c r="DS32" s="208">
        <v>80</v>
      </c>
      <c r="DT32" s="208"/>
      <c r="DV32" s="208">
        <v>0</v>
      </c>
      <c r="DW32" s="217">
        <v>0</v>
      </c>
      <c r="DY32" s="207">
        <v>1682.5</v>
      </c>
      <c r="DZ32" s="207">
        <v>141.53659999999999</v>
      </c>
      <c r="EB32" s="208">
        <v>191.3</v>
      </c>
      <c r="EC32" s="217">
        <v>8.5</v>
      </c>
      <c r="EE32" s="213">
        <v>29388.388999999999</v>
      </c>
      <c r="EF32" s="207">
        <v>1077.7133699999999</v>
      </c>
      <c r="EH32" s="207">
        <v>15404.812</v>
      </c>
      <c r="EI32" s="207">
        <v>1328.9402500000001</v>
      </c>
      <c r="EK32" s="207">
        <v>24128.7</v>
      </c>
      <c r="EL32" s="207">
        <v>3489.1705299999999</v>
      </c>
      <c r="EN32" s="208">
        <v>0</v>
      </c>
      <c r="EO32" s="208">
        <v>0</v>
      </c>
      <c r="EQ32" s="208">
        <v>112</v>
      </c>
      <c r="ER32" s="218">
        <v>4.8</v>
      </c>
      <c r="ET32" s="208"/>
      <c r="EU32" s="208"/>
      <c r="EW32" s="213"/>
    </row>
    <row r="33" spans="3:155" ht="24" hidden="1" customHeight="1">
      <c r="C33" s="208">
        <f>C32-C31</f>
        <v>-56098.911389999994</v>
      </c>
      <c r="D33" s="208">
        <f t="shared" ref="D33:BO33" si="56">D32-D31</f>
        <v>-27613.42236</v>
      </c>
      <c r="E33" s="208"/>
      <c r="F33" s="208">
        <f t="shared" si="56"/>
        <v>-9557.2685700000002</v>
      </c>
      <c r="G33" s="208">
        <f t="shared" si="56"/>
        <v>-9034.6535700000022</v>
      </c>
      <c r="H33" s="208"/>
      <c r="I33" s="208">
        <f t="shared" si="56"/>
        <v>-1273.6999999999989</v>
      </c>
      <c r="J33" s="208">
        <f t="shared" si="56"/>
        <v>-1603.30213</v>
      </c>
      <c r="K33" s="208"/>
      <c r="L33" s="208">
        <f t="shared" si="56"/>
        <v>-400.58499999999913</v>
      </c>
      <c r="M33" s="208">
        <f t="shared" si="56"/>
        <v>-1513.8844799999997</v>
      </c>
      <c r="N33" s="208"/>
      <c r="O33" s="208">
        <f t="shared" si="56"/>
        <v>39.427</v>
      </c>
      <c r="P33" s="208">
        <f t="shared" si="56"/>
        <v>-7.8488599999999993</v>
      </c>
      <c r="Q33" s="208"/>
      <c r="R33" s="208">
        <f t="shared" si="56"/>
        <v>193.04299999999876</v>
      </c>
      <c r="S33" s="208">
        <f t="shared" si="56"/>
        <v>-2045.5869</v>
      </c>
      <c r="T33" s="208"/>
      <c r="U33" s="208">
        <f t="shared" si="56"/>
        <v>0</v>
      </c>
      <c r="V33" s="208">
        <f t="shared" si="56"/>
        <v>268.00899000000004</v>
      </c>
      <c r="W33" s="208" t="e">
        <f t="shared" si="56"/>
        <v>#DIV/0!</v>
      </c>
      <c r="X33" s="208">
        <f t="shared" si="56"/>
        <v>-20</v>
      </c>
      <c r="Y33" s="208">
        <f t="shared" si="56"/>
        <v>-471.67311000000007</v>
      </c>
      <c r="Z33" s="208"/>
      <c r="AA33" s="208">
        <f t="shared" si="56"/>
        <v>-3079</v>
      </c>
      <c r="AB33" s="208">
        <f t="shared" si="56"/>
        <v>-614.15990000000011</v>
      </c>
      <c r="AC33" s="208"/>
      <c r="AD33" s="208">
        <f t="shared" si="56"/>
        <v>-3405.3772900000004</v>
      </c>
      <c r="AE33" s="208">
        <f t="shared" si="56"/>
        <v>-1685.5283200000003</v>
      </c>
      <c r="AF33" s="208"/>
      <c r="AG33" s="208">
        <f t="shared" si="56"/>
        <v>117</v>
      </c>
      <c r="AH33" s="208">
        <f t="shared" si="56"/>
        <v>-22.080000000000002</v>
      </c>
      <c r="AI33" s="208"/>
      <c r="AJ33" s="208">
        <f t="shared" si="56"/>
        <v>0</v>
      </c>
      <c r="AK33" s="208">
        <f t="shared" si="56"/>
        <v>4.1130100000000001</v>
      </c>
      <c r="AL33" s="208"/>
      <c r="AM33" s="208">
        <f t="shared" si="56"/>
        <v>2902</v>
      </c>
      <c r="AN33" s="208">
        <f t="shared" si="56"/>
        <v>0</v>
      </c>
      <c r="AO33" s="208" t="e">
        <f t="shared" si="56"/>
        <v>#DIV/0!</v>
      </c>
      <c r="AP33" s="208">
        <f t="shared" si="56"/>
        <v>-1211.4000000000001</v>
      </c>
      <c r="AQ33" s="208">
        <f t="shared" si="56"/>
        <v>-603.34391999999991</v>
      </c>
      <c r="AR33" s="208"/>
      <c r="AS33" s="208">
        <f t="shared" si="56"/>
        <v>81.5</v>
      </c>
      <c r="AT33" s="208">
        <f t="shared" si="56"/>
        <v>73.87863999999999</v>
      </c>
      <c r="AU33" s="208"/>
      <c r="AV33" s="208">
        <f t="shared" si="56"/>
        <v>0</v>
      </c>
      <c r="AW33" s="208">
        <f t="shared" si="56"/>
        <v>0</v>
      </c>
      <c r="AX33" s="208" t="e">
        <f t="shared" si="56"/>
        <v>#DIV/0!</v>
      </c>
      <c r="AY33" s="208">
        <f t="shared" si="56"/>
        <v>-530</v>
      </c>
      <c r="AZ33" s="208">
        <f t="shared" si="56"/>
        <v>-508.83271999999999</v>
      </c>
      <c r="BA33" s="208"/>
      <c r="BB33" s="208">
        <f t="shared" si="56"/>
        <v>0</v>
      </c>
      <c r="BC33" s="208">
        <f t="shared" si="56"/>
        <v>-6.3845299999999998</v>
      </c>
      <c r="BD33" s="208" t="e">
        <f t="shared" si="56"/>
        <v>#DIV/0!</v>
      </c>
      <c r="BE33" s="208">
        <f t="shared" si="56"/>
        <v>-68.176279999999963</v>
      </c>
      <c r="BF33" s="208">
        <f t="shared" si="56"/>
        <v>-6.399</v>
      </c>
      <c r="BG33" s="208">
        <f t="shared" si="56"/>
        <v>-1.4277864058312055</v>
      </c>
      <c r="BH33" s="208">
        <f t="shared" si="56"/>
        <v>0</v>
      </c>
      <c r="BI33" s="208">
        <f t="shared" si="56"/>
        <v>0</v>
      </c>
      <c r="BJ33" s="208" t="e">
        <f t="shared" si="56"/>
        <v>#DIV/0!</v>
      </c>
      <c r="BK33" s="208">
        <f t="shared" si="56"/>
        <v>0</v>
      </c>
      <c r="BL33" s="208">
        <f t="shared" si="56"/>
        <v>0</v>
      </c>
      <c r="BM33" s="208" t="e">
        <f t="shared" si="56"/>
        <v>#DIV/0!</v>
      </c>
      <c r="BN33" s="208">
        <f t="shared" si="56"/>
        <v>0</v>
      </c>
      <c r="BO33" s="208">
        <f t="shared" si="56"/>
        <v>-36.393550000000005</v>
      </c>
      <c r="BP33" s="208"/>
      <c r="BQ33" s="208">
        <f t="shared" ref="BQ33:DZ33" si="57">BQ32-BQ31</f>
        <v>0</v>
      </c>
      <c r="BR33" s="208">
        <f t="shared" si="57"/>
        <v>8.4078599999999994</v>
      </c>
      <c r="BS33" s="208"/>
      <c r="BT33" s="208">
        <f t="shared" si="57"/>
        <v>0</v>
      </c>
      <c r="BU33" s="208">
        <f t="shared" si="57"/>
        <v>0</v>
      </c>
      <c r="BV33" s="208" t="e">
        <f t="shared" si="57"/>
        <v>#DIV/0!</v>
      </c>
      <c r="BW33" s="208">
        <f t="shared" si="57"/>
        <v>0</v>
      </c>
      <c r="BX33" s="208">
        <f t="shared" si="57"/>
        <v>0</v>
      </c>
      <c r="BY33" s="208" t="e">
        <f t="shared" si="57"/>
        <v>#DIV/0!</v>
      </c>
      <c r="BZ33" s="208">
        <f t="shared" si="57"/>
        <v>-46541.642820000008</v>
      </c>
      <c r="CA33" s="208">
        <f t="shared" si="57"/>
        <v>-18578.768790000002</v>
      </c>
      <c r="CB33" s="208"/>
      <c r="CC33" s="208">
        <f t="shared" si="57"/>
        <v>-2100.6000000000022</v>
      </c>
      <c r="CD33" s="208">
        <f t="shared" si="57"/>
        <v>-7423.3320000000012</v>
      </c>
      <c r="CE33" s="208"/>
      <c r="CF33" s="208">
        <f t="shared" si="57"/>
        <v>-5500.3080000000009</v>
      </c>
      <c r="CG33" s="208">
        <f t="shared" si="57"/>
        <v>-3232.5</v>
      </c>
      <c r="CH33" s="208"/>
      <c r="CI33" s="208">
        <f t="shared" si="57"/>
        <v>-31495.142610000006</v>
      </c>
      <c r="CJ33" s="208">
        <f t="shared" si="57"/>
        <v>-4374.9259999999995</v>
      </c>
      <c r="CK33" s="208"/>
      <c r="CL33" s="208">
        <f t="shared" si="57"/>
        <v>3525.98</v>
      </c>
      <c r="CM33" s="208">
        <f t="shared" si="57"/>
        <v>-659.78700000000026</v>
      </c>
      <c r="CN33" s="208"/>
      <c r="CO33" s="208">
        <f t="shared" si="57"/>
        <v>-7453.204130000001</v>
      </c>
      <c r="CP33" s="208">
        <f t="shared" si="57"/>
        <v>0</v>
      </c>
      <c r="CQ33" s="208"/>
      <c r="CR33" s="208">
        <f t="shared" si="57"/>
        <v>-3518.3680800000002</v>
      </c>
      <c r="CS33" s="208">
        <f t="shared" si="57"/>
        <v>-2888.22379</v>
      </c>
      <c r="CT33" s="208"/>
      <c r="CU33" s="208">
        <f t="shared" si="57"/>
        <v>0</v>
      </c>
      <c r="CV33" s="208">
        <f t="shared" si="57"/>
        <v>0</v>
      </c>
      <c r="CW33" s="208" t="e">
        <f t="shared" si="57"/>
        <v>#DIV/0!</v>
      </c>
      <c r="CX33" s="208">
        <f t="shared" si="57"/>
        <v>0</v>
      </c>
      <c r="CY33" s="208">
        <f t="shared" si="57"/>
        <v>0</v>
      </c>
      <c r="CZ33" s="208" t="e">
        <f t="shared" si="57"/>
        <v>#DIV/0!</v>
      </c>
      <c r="DA33" s="208">
        <f t="shared" si="57"/>
        <v>0</v>
      </c>
      <c r="DB33" s="208">
        <f t="shared" si="57"/>
        <v>0</v>
      </c>
      <c r="DC33" s="208" t="e">
        <f t="shared" si="57"/>
        <v>#DIV/0!</v>
      </c>
      <c r="DD33" s="208">
        <f t="shared" si="57"/>
        <v>0</v>
      </c>
      <c r="DE33" s="208">
        <f t="shared" si="57"/>
        <v>0</v>
      </c>
      <c r="DF33" s="208">
        <f t="shared" si="57"/>
        <v>0</v>
      </c>
      <c r="DG33" s="208">
        <f t="shared" si="57"/>
        <v>-62650.359149999975</v>
      </c>
      <c r="DH33" s="208">
        <f t="shared" si="57"/>
        <v>-25170.150259999995</v>
      </c>
      <c r="DI33" s="208"/>
      <c r="DJ33" s="208">
        <f t="shared" si="57"/>
        <v>-3663.2560000000012</v>
      </c>
      <c r="DK33" s="208">
        <f t="shared" si="57"/>
        <v>-5886.3530099999998</v>
      </c>
      <c r="DL33" s="208"/>
      <c r="DM33" s="208">
        <f t="shared" si="57"/>
        <v>-3133</v>
      </c>
      <c r="DN33" s="208">
        <f t="shared" si="57"/>
        <v>-5581.1174399999991</v>
      </c>
      <c r="DO33" s="208"/>
      <c r="DP33" s="208">
        <f t="shared" si="57"/>
        <v>-20.13</v>
      </c>
      <c r="DQ33" s="208">
        <f t="shared" si="57"/>
        <v>0</v>
      </c>
      <c r="DR33" s="208">
        <f t="shared" si="57"/>
        <v>0</v>
      </c>
      <c r="DS33" s="208">
        <f t="shared" si="57"/>
        <v>0</v>
      </c>
      <c r="DT33" s="208">
        <f t="shared" si="57"/>
        <v>0</v>
      </c>
      <c r="DU33" s="208">
        <f t="shared" si="57"/>
        <v>0</v>
      </c>
      <c r="DV33" s="208">
        <f t="shared" si="57"/>
        <v>-510.12599999999998</v>
      </c>
      <c r="DW33" s="208">
        <f t="shared" si="57"/>
        <v>-305.23557</v>
      </c>
      <c r="DX33" s="208"/>
      <c r="DY33" s="208">
        <f t="shared" si="57"/>
        <v>-476.19999999999982</v>
      </c>
      <c r="DZ33" s="208">
        <f t="shared" si="57"/>
        <v>-606.90397000000007</v>
      </c>
      <c r="EA33" s="208"/>
      <c r="EB33" s="208">
        <f t="shared" ref="EB33:EX33" si="58">EB32-EB31</f>
        <v>-45.480000000000018</v>
      </c>
      <c r="EC33" s="208">
        <f t="shared" si="58"/>
        <v>-50.700429999999997</v>
      </c>
      <c r="ED33" s="208"/>
      <c r="EE33" s="208">
        <f t="shared" si="58"/>
        <v>-32697.300269999996</v>
      </c>
      <c r="EF33" s="208">
        <f t="shared" si="58"/>
        <v>-7809.2213800000009</v>
      </c>
      <c r="EG33" s="208"/>
      <c r="EH33" s="208">
        <f t="shared" si="58"/>
        <v>-7265.915420000003</v>
      </c>
      <c r="EI33" s="208">
        <f t="shared" si="58"/>
        <v>-2639.4920099999995</v>
      </c>
      <c r="EJ33" s="208"/>
      <c r="EK33" s="208">
        <f t="shared" si="58"/>
        <v>-15195.443460000006</v>
      </c>
      <c r="EL33" s="208">
        <f t="shared" si="58"/>
        <v>-8118.3324600000014</v>
      </c>
      <c r="EM33" s="208"/>
      <c r="EN33" s="208">
        <f t="shared" si="58"/>
        <v>0</v>
      </c>
      <c r="EO33" s="208">
        <f t="shared" si="58"/>
        <v>0</v>
      </c>
      <c r="EP33" s="208"/>
      <c r="EQ33" s="208">
        <f t="shared" si="58"/>
        <v>-207.39600000000002</v>
      </c>
      <c r="ER33" s="208">
        <f t="shared" si="58"/>
        <v>-59.146000000000001</v>
      </c>
      <c r="ES33" s="208"/>
      <c r="ET33" s="208">
        <f t="shared" si="58"/>
        <v>0</v>
      </c>
      <c r="EU33" s="208">
        <f t="shared" si="58"/>
        <v>0</v>
      </c>
      <c r="EV33" s="208"/>
      <c r="EW33" s="208">
        <f t="shared" si="58"/>
        <v>7596.297759999994</v>
      </c>
      <c r="EX33" s="208">
        <f t="shared" si="58"/>
        <v>-1370.8307400000008</v>
      </c>
      <c r="EY33" s="208"/>
    </row>
    <row r="34" spans="3:155" s="219" customFormat="1" ht="27.75" customHeight="1">
      <c r="C34" s="208">
        <v>141521.68038999999</v>
      </c>
      <c r="D34" s="208">
        <v>34585.294959999999</v>
      </c>
      <c r="E34" s="208"/>
      <c r="F34" s="208">
        <v>39271.26857</v>
      </c>
      <c r="G34" s="208">
        <v>11175.75517</v>
      </c>
      <c r="H34" s="208"/>
      <c r="I34" s="208">
        <v>5296.7</v>
      </c>
      <c r="J34" s="208">
        <v>2121.1353199999999</v>
      </c>
      <c r="K34" s="208"/>
      <c r="L34" s="208">
        <v>3048.8850000000002</v>
      </c>
      <c r="M34" s="208">
        <v>1789.1644200000001</v>
      </c>
      <c r="N34" s="208"/>
      <c r="O34" s="208">
        <v>32.633000000000003</v>
      </c>
      <c r="P34" s="208">
        <v>13.440799999999999</v>
      </c>
      <c r="Q34" s="208"/>
      <c r="R34" s="208">
        <v>5092.3969999999999</v>
      </c>
      <c r="S34" s="208">
        <v>2483.2313300000001</v>
      </c>
      <c r="T34" s="208"/>
      <c r="U34" s="208" t="e">
        <f>#REF!-U31</f>
        <v>#REF!</v>
      </c>
      <c r="V34" s="208">
        <v>-325.37549999999999</v>
      </c>
      <c r="W34" s="208"/>
      <c r="X34" s="208">
        <v>470</v>
      </c>
      <c r="Y34" s="208">
        <v>522.24523999999997</v>
      </c>
      <c r="Z34" s="208"/>
      <c r="AA34" s="208">
        <v>4631</v>
      </c>
      <c r="AB34" s="208">
        <v>648.08965999999998</v>
      </c>
      <c r="AC34" s="208"/>
      <c r="AD34" s="208">
        <v>17719.37729</v>
      </c>
      <c r="AE34" s="208">
        <v>2450.7956600000002</v>
      </c>
      <c r="AF34" s="208"/>
      <c r="AG34" s="208">
        <v>147</v>
      </c>
      <c r="AH34" s="208">
        <v>50.53</v>
      </c>
      <c r="AI34" s="208"/>
      <c r="AJ34" s="208" t="e">
        <f>#REF!-AJ31</f>
        <v>#REF!</v>
      </c>
      <c r="AK34" s="208" t="e">
        <f>#REF!-AK31</f>
        <v>#REF!</v>
      </c>
      <c r="AL34" s="208"/>
      <c r="AM34" s="208" t="e">
        <f>#REF!-AM31</f>
        <v>#REF!</v>
      </c>
      <c r="AN34" s="208" t="e">
        <f>#REF!-AN31</f>
        <v>#REF!</v>
      </c>
      <c r="AO34" s="208"/>
      <c r="AP34" s="208">
        <v>1611.4</v>
      </c>
      <c r="AQ34" s="208">
        <v>705.34392000000003</v>
      </c>
      <c r="AR34" s="208"/>
      <c r="AS34" s="208">
        <v>243.7</v>
      </c>
      <c r="AT34" s="208">
        <v>140.12136000000001</v>
      </c>
      <c r="AU34" s="208"/>
      <c r="AV34" s="208" t="e">
        <f>#REF!-AV31</f>
        <v>#REF!</v>
      </c>
      <c r="AW34" s="208" t="e">
        <f>#REF!-AW31</f>
        <v>#REF!</v>
      </c>
      <c r="AX34" s="208" t="e">
        <f>#REF!-AX31</f>
        <v>#REF!</v>
      </c>
      <c r="AY34" s="208">
        <v>530</v>
      </c>
      <c r="AZ34" s="208">
        <v>508.83271999999999</v>
      </c>
      <c r="BA34" s="208"/>
      <c r="BB34" s="208" t="e">
        <f>#REF!-BB31</f>
        <v>#REF!</v>
      </c>
      <c r="BC34" s="208" t="e">
        <f>#REF!-BC31</f>
        <v>#REF!</v>
      </c>
      <c r="BD34" s="208" t="e">
        <f>#REF!-BD31</f>
        <v>#REF!</v>
      </c>
      <c r="BE34" s="208">
        <v>448.17628000000002</v>
      </c>
      <c r="BF34" s="208">
        <v>6.399</v>
      </c>
      <c r="BG34" s="208"/>
      <c r="BH34" s="208" t="e">
        <f>#REF!-BH31</f>
        <v>#REF!</v>
      </c>
      <c r="BI34" s="208" t="e">
        <f>#REF!-BI31</f>
        <v>#REF!</v>
      </c>
      <c r="BJ34" s="208" t="e">
        <f>#REF!-BJ31</f>
        <v>#REF!</v>
      </c>
      <c r="BK34" s="208" t="e">
        <f>#REF!-BK31</f>
        <v>#REF!</v>
      </c>
      <c r="BL34" s="208" t="e">
        <f>#REF!-BL31</f>
        <v>#REF!</v>
      </c>
      <c r="BM34" s="208" t="e">
        <f>#REF!-BM31</f>
        <v>#REF!</v>
      </c>
      <c r="BN34" s="208">
        <v>0</v>
      </c>
      <c r="BO34" s="208">
        <v>38.87959</v>
      </c>
      <c r="BP34" s="208"/>
      <c r="BQ34" s="208" t="e">
        <f>#REF!-BQ31</f>
        <v>#REF!</v>
      </c>
      <c r="BR34" s="208">
        <v>5.4076899999999997</v>
      </c>
      <c r="BS34" s="208"/>
      <c r="BT34" s="208" t="e">
        <f>#REF!-BT31</f>
        <v>#REF!</v>
      </c>
      <c r="BU34" s="208" t="e">
        <f>#REF!-BU31</f>
        <v>#REF!</v>
      </c>
      <c r="BV34" s="208" t="e">
        <f>#REF!-BV31</f>
        <v>#REF!</v>
      </c>
      <c r="BW34" s="208" t="e">
        <f>#REF!-BW31</f>
        <v>#REF!</v>
      </c>
      <c r="BX34" s="208" t="e">
        <f>#REF!-BX31</f>
        <v>#REF!</v>
      </c>
      <c r="BY34" s="208" t="e">
        <f>#REF!-BY31</f>
        <v>#REF!</v>
      </c>
      <c r="BZ34" s="208">
        <v>102250.41181999999</v>
      </c>
      <c r="CA34" s="208">
        <v>23409.539789999999</v>
      </c>
      <c r="CB34" s="208"/>
      <c r="CC34" s="208">
        <v>28294</v>
      </c>
      <c r="CD34" s="208">
        <v>11788.915000000001</v>
      </c>
      <c r="CE34" s="208"/>
      <c r="CF34" s="208">
        <v>8300.3080000000009</v>
      </c>
      <c r="CG34" s="208">
        <v>3232.5</v>
      </c>
      <c r="CH34" s="208"/>
      <c r="CI34" s="208">
        <v>52483.43161</v>
      </c>
      <c r="CJ34" s="208">
        <v>4601.7139999999999</v>
      </c>
      <c r="CK34" s="208"/>
      <c r="CL34" s="208">
        <v>2201.1</v>
      </c>
      <c r="CM34" s="208">
        <v>898.18700000000001</v>
      </c>
      <c r="CN34" s="208"/>
      <c r="CO34" s="208">
        <v>7453.2041300000001</v>
      </c>
      <c r="CP34" s="208" t="e">
        <f>#REF!-CP31</f>
        <v>#REF!</v>
      </c>
      <c r="CQ34" s="208"/>
      <c r="CR34" s="208">
        <v>3518.3680800000002</v>
      </c>
      <c r="CS34" s="208">
        <v>2888.22379</v>
      </c>
      <c r="CT34" s="208"/>
      <c r="CU34" s="208" t="e">
        <f>#REF!-CU31</f>
        <v>#REF!</v>
      </c>
      <c r="CV34" s="208" t="e">
        <f>-(#REF!-CV31)</f>
        <v>#REF!</v>
      </c>
      <c r="CW34" s="208"/>
      <c r="CX34" s="208" t="e">
        <f>#REF!-CX31</f>
        <v>#REF!</v>
      </c>
      <c r="CY34" s="208" t="e">
        <f>#REF!-CY31</f>
        <v>#REF!</v>
      </c>
      <c r="CZ34" s="208" t="e">
        <f>#REF!-CZ31</f>
        <v>#REF!</v>
      </c>
      <c r="DA34" s="208" t="e">
        <f>#REF!-DA31</f>
        <v>#REF!</v>
      </c>
      <c r="DB34" s="208" t="e">
        <f>#REF!-DB31</f>
        <v>#REF!</v>
      </c>
      <c r="DC34" s="208" t="e">
        <f>#REF!-DC31</f>
        <v>#REF!</v>
      </c>
      <c r="DD34" s="208" t="e">
        <f>#REF!-DD31</f>
        <v>#REF!</v>
      </c>
      <c r="DE34" s="208" t="e">
        <f>#REF!-DE31</f>
        <v>#REF!</v>
      </c>
      <c r="DF34" s="208"/>
      <c r="DG34" s="208">
        <v>149117.97815000001</v>
      </c>
      <c r="DH34" s="208">
        <v>33214.464220000002</v>
      </c>
      <c r="DI34" s="208"/>
      <c r="DJ34" s="208">
        <v>22322.542000000001</v>
      </c>
      <c r="DK34" s="208">
        <v>7880.0072200000004</v>
      </c>
      <c r="DL34" s="208"/>
      <c r="DM34" s="208">
        <v>21712.286</v>
      </c>
      <c r="DN34" s="208">
        <v>7574.7716499999997</v>
      </c>
      <c r="DO34" s="208"/>
      <c r="DP34" s="208">
        <v>20.13</v>
      </c>
      <c r="DQ34" s="208">
        <v>0</v>
      </c>
      <c r="DR34" s="208"/>
      <c r="DS34" s="208">
        <v>80</v>
      </c>
      <c r="DT34" s="208" t="e">
        <f>#REF!-DT31</f>
        <v>#REF!</v>
      </c>
      <c r="DU34" s="208"/>
      <c r="DV34" s="208">
        <v>510.12599999999998</v>
      </c>
      <c r="DW34" s="208">
        <v>305.23557</v>
      </c>
      <c r="DX34" s="208"/>
      <c r="DY34" s="208">
        <v>2158.6999999999998</v>
      </c>
      <c r="DZ34" s="208">
        <v>748.44056999999998</v>
      </c>
      <c r="EA34" s="208"/>
      <c r="EB34" s="208">
        <v>236.78</v>
      </c>
      <c r="EC34" s="208">
        <v>59.200429999999997</v>
      </c>
      <c r="ED34" s="208"/>
      <c r="EE34" s="208">
        <v>62085.689270000003</v>
      </c>
      <c r="EF34" s="208">
        <v>8886.9347500000003</v>
      </c>
      <c r="EG34" s="208"/>
      <c r="EH34" s="208">
        <v>22670.727419999999</v>
      </c>
      <c r="EI34" s="208">
        <v>3968.43226</v>
      </c>
      <c r="EJ34" s="208"/>
      <c r="EK34" s="208">
        <v>39324.143459999999</v>
      </c>
      <c r="EL34" s="208">
        <v>11607.502990000001</v>
      </c>
      <c r="EM34" s="208"/>
      <c r="EN34" s="208">
        <v>0</v>
      </c>
      <c r="EO34" s="208">
        <v>0</v>
      </c>
      <c r="EP34" s="208"/>
      <c r="EQ34" s="208">
        <v>319.39600000000002</v>
      </c>
      <c r="ER34" s="208">
        <v>63.945999999999998</v>
      </c>
      <c r="ES34" s="208"/>
      <c r="ET34" s="208" t="e">
        <f>#REF!-ET31</f>
        <v>#REF!</v>
      </c>
      <c r="EU34" s="208" t="e">
        <f>#REF!-EU31</f>
        <v>#REF!</v>
      </c>
      <c r="EV34" s="208"/>
      <c r="EW34" s="208">
        <v>-7596.2977600000004</v>
      </c>
      <c r="EX34" s="208">
        <v>1370.8307400000001</v>
      </c>
    </row>
    <row r="35" spans="3:155">
      <c r="C35" s="208">
        <f>C34-C31</f>
        <v>0</v>
      </c>
      <c r="D35" s="208">
        <f>D34-D31</f>
        <v>0</v>
      </c>
      <c r="E35" s="208"/>
      <c r="F35" s="208">
        <f>F34-F31</f>
        <v>0</v>
      </c>
      <c r="G35" s="208">
        <f>G34-G31</f>
        <v>0</v>
      </c>
      <c r="H35" s="208"/>
      <c r="I35" s="208">
        <f>I34-I31</f>
        <v>0</v>
      </c>
      <c r="J35" s="208">
        <f>J34-J31</f>
        <v>0</v>
      </c>
      <c r="K35" s="208"/>
      <c r="L35" s="208">
        <f>L34-L31</f>
        <v>0</v>
      </c>
      <c r="M35" s="208">
        <f>M34-M31</f>
        <v>0</v>
      </c>
      <c r="N35" s="208"/>
      <c r="O35" s="208">
        <f>O34-O31</f>
        <v>0</v>
      </c>
      <c r="P35" s="208">
        <f>P34-P31</f>
        <v>0</v>
      </c>
      <c r="Q35" s="208"/>
      <c r="R35" s="208">
        <f>R34-R31</f>
        <v>0</v>
      </c>
      <c r="S35" s="208">
        <f>S34-S31</f>
        <v>0</v>
      </c>
      <c r="T35" s="208"/>
      <c r="U35" s="208" t="e">
        <f>U34-U31</f>
        <v>#REF!</v>
      </c>
      <c r="V35" s="208">
        <f>V34-V31</f>
        <v>0</v>
      </c>
      <c r="W35" s="208"/>
      <c r="X35" s="208">
        <f>X34-X31</f>
        <v>0</v>
      </c>
      <c r="Y35" s="208">
        <f>Y34-Y31</f>
        <v>0</v>
      </c>
      <c r="Z35" s="208"/>
      <c r="AA35" s="208">
        <f>AA34-AA31</f>
        <v>0</v>
      </c>
      <c r="AB35" s="208">
        <f>AB34-AB31</f>
        <v>0</v>
      </c>
      <c r="AC35" s="208"/>
      <c r="AD35" s="208">
        <f>AD34-AD31</f>
        <v>0</v>
      </c>
      <c r="AE35" s="208">
        <f>AE34-AE31</f>
        <v>0</v>
      </c>
      <c r="AF35" s="208"/>
      <c r="AG35" s="208">
        <f>AG34-AG31</f>
        <v>0</v>
      </c>
      <c r="AH35" s="208">
        <f>AH34-AH31</f>
        <v>0</v>
      </c>
      <c r="AI35" s="208"/>
      <c r="AJ35" s="208" t="e">
        <f t="shared" ref="AJ35:AQ35" si="59">AJ34-AJ31</f>
        <v>#REF!</v>
      </c>
      <c r="AK35" s="208" t="e">
        <f t="shared" si="59"/>
        <v>#REF!</v>
      </c>
      <c r="AL35" s="208" t="e">
        <f t="shared" si="59"/>
        <v>#DIV/0!</v>
      </c>
      <c r="AM35" s="208" t="e">
        <f t="shared" si="59"/>
        <v>#REF!</v>
      </c>
      <c r="AN35" s="208" t="e">
        <f t="shared" si="59"/>
        <v>#REF!</v>
      </c>
      <c r="AO35" s="208" t="e">
        <f t="shared" si="59"/>
        <v>#DIV/0!</v>
      </c>
      <c r="AP35" s="208">
        <f t="shared" si="59"/>
        <v>0</v>
      </c>
      <c r="AQ35" s="208">
        <f t="shared" si="59"/>
        <v>0</v>
      </c>
      <c r="AR35" s="208"/>
      <c r="AS35" s="208">
        <f>AS34-AS31</f>
        <v>0</v>
      </c>
      <c r="AT35" s="208">
        <f>AT34-AT31</f>
        <v>0</v>
      </c>
      <c r="AU35" s="208"/>
      <c r="AV35" s="208" t="e">
        <f>AV34-AV31</f>
        <v>#REF!</v>
      </c>
      <c r="AW35" s="208" t="e">
        <f>AW34-AW31</f>
        <v>#REF!</v>
      </c>
      <c r="AX35" s="208" t="e">
        <f>AX34-AX31</f>
        <v>#REF!</v>
      </c>
      <c r="AY35" s="208">
        <f>AY34-AY31</f>
        <v>0</v>
      </c>
      <c r="AZ35" s="208">
        <f>AZ34-AZ31</f>
        <v>0</v>
      </c>
      <c r="BA35" s="208"/>
      <c r="BB35" s="208" t="e">
        <f>BB34-BB31</f>
        <v>#REF!</v>
      </c>
      <c r="BC35" s="208" t="e">
        <f>BC34-BC31</f>
        <v>#REF!</v>
      </c>
      <c r="BD35" s="208" t="e">
        <f>BD34-BD31</f>
        <v>#REF!</v>
      </c>
      <c r="BE35" s="208">
        <f>BE34-BE31</f>
        <v>0</v>
      </c>
      <c r="BF35" s="208">
        <f>BF34-BF31</f>
        <v>0</v>
      </c>
      <c r="BG35" s="208"/>
      <c r="BH35" s="208" t="e">
        <f t="shared" ref="BH35:BO35" si="60">BH34-BH31</f>
        <v>#REF!</v>
      </c>
      <c r="BI35" s="208" t="e">
        <f t="shared" si="60"/>
        <v>#REF!</v>
      </c>
      <c r="BJ35" s="208" t="e">
        <f t="shared" si="60"/>
        <v>#REF!</v>
      </c>
      <c r="BK35" s="208" t="e">
        <f t="shared" si="60"/>
        <v>#REF!</v>
      </c>
      <c r="BL35" s="208" t="e">
        <f t="shared" si="60"/>
        <v>#REF!</v>
      </c>
      <c r="BM35" s="208" t="e">
        <f t="shared" si="60"/>
        <v>#REF!</v>
      </c>
      <c r="BN35" s="208">
        <f t="shared" si="60"/>
        <v>0</v>
      </c>
      <c r="BO35" s="208">
        <f t="shared" si="60"/>
        <v>-17.513960000000004</v>
      </c>
      <c r="BP35" s="208"/>
      <c r="BQ35" s="208" t="e">
        <f>BQ34-BQ31</f>
        <v>#REF!</v>
      </c>
      <c r="BR35" s="208">
        <f>BR34-BR31</f>
        <v>0</v>
      </c>
      <c r="BS35" s="208"/>
      <c r="BT35" s="208" t="e">
        <f t="shared" ref="BT35:CA35" si="61">BT34-BT31</f>
        <v>#REF!</v>
      </c>
      <c r="BU35" s="208" t="e">
        <f t="shared" si="61"/>
        <v>#REF!</v>
      </c>
      <c r="BV35" s="208" t="e">
        <f t="shared" si="61"/>
        <v>#REF!</v>
      </c>
      <c r="BW35" s="208" t="e">
        <f t="shared" si="61"/>
        <v>#REF!</v>
      </c>
      <c r="BX35" s="208" t="e">
        <f t="shared" si="61"/>
        <v>#REF!</v>
      </c>
      <c r="BY35" s="208" t="e">
        <f t="shared" si="61"/>
        <v>#REF!</v>
      </c>
      <c r="BZ35" s="208">
        <f t="shared" si="61"/>
        <v>0</v>
      </c>
      <c r="CA35" s="208">
        <f t="shared" si="61"/>
        <v>0</v>
      </c>
      <c r="CB35" s="208"/>
      <c r="CC35" s="208">
        <f>CC34-CC31</f>
        <v>0</v>
      </c>
      <c r="CD35" s="208">
        <f>CD34-CD31</f>
        <v>0</v>
      </c>
      <c r="CE35" s="208"/>
      <c r="CF35" s="208">
        <f>CF34-CF31</f>
        <v>0</v>
      </c>
      <c r="CG35" s="208">
        <f>CG34-CG31</f>
        <v>0</v>
      </c>
      <c r="CH35" s="208"/>
      <c r="CI35" s="208">
        <f>CI34-CI31</f>
        <v>0</v>
      </c>
      <c r="CJ35" s="208">
        <f>CJ34-CJ31</f>
        <v>0</v>
      </c>
      <c r="CK35" s="208"/>
      <c r="CL35" s="208">
        <f>CL34-CL31</f>
        <v>0</v>
      </c>
      <c r="CM35" s="208">
        <f>CM34-CM31</f>
        <v>0</v>
      </c>
      <c r="CN35" s="208"/>
      <c r="CO35" s="208">
        <f>CO34-CO31</f>
        <v>0</v>
      </c>
      <c r="CP35" s="208" t="e">
        <f>CP34-CP31</f>
        <v>#REF!</v>
      </c>
      <c r="CQ35" s="208"/>
      <c r="CR35" s="208">
        <f>CR34-CR31</f>
        <v>0</v>
      </c>
      <c r="CS35" s="208">
        <f>CS34-CS31</f>
        <v>0</v>
      </c>
      <c r="CT35" s="208"/>
      <c r="CU35" s="208" t="e">
        <f>CU34-CU31</f>
        <v>#REF!</v>
      </c>
      <c r="CV35" s="208" t="e">
        <f>CV34-CV31</f>
        <v>#REF!</v>
      </c>
      <c r="CW35" s="208"/>
      <c r="CX35" s="208" t="e">
        <f t="shared" ref="CX35:DH35" si="62">CX34-CX31</f>
        <v>#REF!</v>
      </c>
      <c r="CY35" s="208" t="e">
        <f t="shared" si="62"/>
        <v>#REF!</v>
      </c>
      <c r="CZ35" s="208" t="e">
        <f t="shared" si="62"/>
        <v>#REF!</v>
      </c>
      <c r="DA35" s="208" t="e">
        <f t="shared" si="62"/>
        <v>#REF!</v>
      </c>
      <c r="DB35" s="208" t="e">
        <f t="shared" si="62"/>
        <v>#REF!</v>
      </c>
      <c r="DC35" s="208" t="e">
        <f t="shared" si="62"/>
        <v>#REF!</v>
      </c>
      <c r="DD35" s="208" t="e">
        <f t="shared" si="62"/>
        <v>#REF!</v>
      </c>
      <c r="DE35" s="208" t="e">
        <f t="shared" si="62"/>
        <v>#REF!</v>
      </c>
      <c r="DF35" s="208">
        <f t="shared" si="62"/>
        <v>0</v>
      </c>
      <c r="DG35" s="208">
        <f t="shared" si="62"/>
        <v>0</v>
      </c>
      <c r="DH35" s="208">
        <f t="shared" si="62"/>
        <v>0</v>
      </c>
      <c r="DI35" s="208"/>
      <c r="DJ35" s="208">
        <f>DJ34-DJ31</f>
        <v>0</v>
      </c>
      <c r="DK35" s="208">
        <f>DK34-DK31</f>
        <v>0</v>
      </c>
      <c r="DL35" s="208"/>
      <c r="DM35" s="208">
        <f>DM34-DM31</f>
        <v>0</v>
      </c>
      <c r="DN35" s="208">
        <f>DN34-DN31</f>
        <v>0</v>
      </c>
      <c r="DO35" s="208"/>
      <c r="DP35" s="208">
        <f>DP34-DP31</f>
        <v>0</v>
      </c>
      <c r="DQ35" s="208">
        <f>DQ34-DQ31</f>
        <v>0</v>
      </c>
      <c r="DR35" s="208"/>
      <c r="DS35" s="208">
        <f>DS34-DS31</f>
        <v>0</v>
      </c>
      <c r="DT35" s="208" t="e">
        <f>DT34-DT31</f>
        <v>#REF!</v>
      </c>
      <c r="DU35" s="208"/>
      <c r="DV35" s="208">
        <f>DV34-DV31</f>
        <v>0</v>
      </c>
      <c r="DW35" s="208">
        <f>DW34-DW31</f>
        <v>0</v>
      </c>
      <c r="DX35" s="208"/>
      <c r="DY35" s="208">
        <f>DY34-DY31</f>
        <v>0</v>
      </c>
      <c r="DZ35" s="208">
        <f>DZ34-DZ31</f>
        <v>0</v>
      </c>
      <c r="EA35" s="208"/>
      <c r="EB35" s="208">
        <f>EB34-EB31</f>
        <v>0</v>
      </c>
      <c r="EC35" s="208">
        <f>EC34-EC31</f>
        <v>0</v>
      </c>
      <c r="ED35" s="208"/>
      <c r="EE35" s="208">
        <f>EE34-EE31</f>
        <v>0</v>
      </c>
      <c r="EF35" s="208">
        <f>EF34-EF31</f>
        <v>0</v>
      </c>
      <c r="EG35" s="208"/>
      <c r="EH35" s="208">
        <f>EH34-EH31</f>
        <v>0</v>
      </c>
      <c r="EI35" s="208">
        <f>EI34-EI31</f>
        <v>0</v>
      </c>
      <c r="EJ35" s="208"/>
      <c r="EK35" s="208">
        <f>EK34-EK31</f>
        <v>0</v>
      </c>
      <c r="EL35" s="208">
        <f>EL34-EL31</f>
        <v>0</v>
      </c>
      <c r="EM35" s="208"/>
      <c r="EN35" s="208">
        <f>EN34-EN31</f>
        <v>0</v>
      </c>
      <c r="EO35" s="208">
        <f>EO34-EO31</f>
        <v>0</v>
      </c>
      <c r="EP35" s="208"/>
      <c r="EQ35" s="208">
        <f>EQ34-EQ31</f>
        <v>0</v>
      </c>
      <c r="ER35" s="208">
        <f>ER34-ER31</f>
        <v>0</v>
      </c>
      <c r="ES35" s="208"/>
      <c r="ET35" s="208" t="e">
        <f>ET34-ET31</f>
        <v>#REF!</v>
      </c>
      <c r="EU35" s="208" t="e">
        <f>EU34-EU31</f>
        <v>#REF!</v>
      </c>
      <c r="EV35" s="208"/>
      <c r="EW35" s="208">
        <f>EW34-EW31</f>
        <v>0</v>
      </c>
      <c r="EX35" s="208">
        <f>EX34-EX31</f>
        <v>0</v>
      </c>
      <c r="EY35" s="220"/>
    </row>
  </sheetData>
  <customSheetViews>
    <customSheetView guid="{61528DAC-5C4C-48F4-ADE2-8A724B05A086}" scale="75" showPageBreaks="1" printArea="1" hiddenRows="1" hiddenColumns="1" view="pageBreakPreview" topLeftCell="A10">
      <pane xSplit="2" ySplit="4" topLeftCell="C14" activePane="bottomRight" state="frozen"/>
      <selection pane="bottomRight" activeCell="EE14" sqref="EE14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"/>
    </customSheetView>
    <customSheetView guid="{5BFCA170-DEAE-4D2C-98A0-1E68B427AC01}" scale="75" showPageBreaks="1" printArea="1" hiddenRows="1" hiddenColumns="1" view="pageBreakPreview" topLeftCell="A10">
      <pane xSplit="2" ySplit="4" topLeftCell="BE14" activePane="bottomRight" state="frozen"/>
      <selection pane="bottomRight" activeCell="CF39" sqref="CF39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2"/>
    </customSheetView>
    <customSheetView guid="{1A52382B-3765-4E8C-903F-6B8919B7242E}" scale="75" showPageBreaks="1" printArea="1" hiddenRows="1" hiddenColumns="1" view="pageBreakPreview" topLeftCell="A10">
      <pane xSplit="2" ySplit="4" topLeftCell="EL14" activePane="bottomRight" state="frozen"/>
      <selection pane="bottomRight" activeCell="EX36" sqref="EX36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3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  <customSheetView guid="{3DCB9AAA-F09C-4EA6-B992-F93E466D374A}" scale="75" showPageBreaks="1" printArea="1" hiddenRows="1" hiddenColumns="1" view="pageBreakPreview" topLeftCell="A10">
      <pane xSplit="2" ySplit="4" topLeftCell="DI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5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6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7"/>
    </customSheetView>
    <customSheetView guid="{B31C8DB7-3E78-4144-A6B5-8DE36DE63F0E}" scale="75" showPageBreaks="1" printArea="1" hiddenRows="1" hiddenColumns="1" view="pageBreakPreview" topLeftCell="A10">
      <pane xSplit="2" ySplit="4" topLeftCell="C14" activePane="bottomRight" state="frozen"/>
      <selection pane="bottomRight" activeCell="AN22" sqref="AN22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8"/>
    </customSheetView>
    <customSheetView guid="{B30CE22D-C12F-4E12-8BB9-3AAE0A6991CC}" scale="75" showPageBreaks="1" printArea="1" hiddenRows="1" hiddenColumns="1" view="pageBreakPreview">
      <selection activeCell="I19" sqref="I19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9"/>
    </customSheetView>
  </customSheetViews>
  <mergeCells count="69"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CO9:CQ11"/>
    <mergeCell ref="CU9:CW11"/>
    <mergeCell ref="DD9:DF11"/>
    <mergeCell ref="EB9:ED11"/>
    <mergeCell ref="DM11:DO11"/>
    <mergeCell ref="DV11:DX11"/>
  </mergeCells>
  <phoneticPr fontId="15" type="noConversion"/>
  <pageMargins left="0.70866141732283472" right="0.19685039370078741" top="0.74803149606299213" bottom="0.74803149606299213" header="0.31496062992125984" footer="0.31496062992125984"/>
  <pageSetup paperSize="9" scale="52" fitToWidth="7" orientation="landscape" r:id="rId10"/>
  <colBreaks count="6" manualBreakCount="6">
    <brk id="17" max="30" man="1"/>
    <brk id="35" max="30" man="1"/>
    <brk id="59" max="29" man="1"/>
    <brk id="92" max="30" man="1"/>
    <brk id="116" max="29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361</v>
      </c>
      <c r="AO1" t="s">
        <v>362</v>
      </c>
      <c r="AP1" t="s">
        <v>363</v>
      </c>
      <c r="AS1" t="s">
        <v>364</v>
      </c>
      <c r="AW1">
        <v>187.4</v>
      </c>
      <c r="AX1" t="s">
        <v>365</v>
      </c>
      <c r="AY1" t="s">
        <v>366</v>
      </c>
    </row>
    <row r="2" spans="32:51">
      <c r="AF2" t="s">
        <v>367</v>
      </c>
      <c r="AJ2" t="s">
        <v>368</v>
      </c>
    </row>
    <row r="3" spans="32:51">
      <c r="AF3" t="s">
        <v>370</v>
      </c>
      <c r="AH3" t="s">
        <v>369</v>
      </c>
      <c r="AJ3" t="s">
        <v>370</v>
      </c>
      <c r="AN3" t="s">
        <v>369</v>
      </c>
      <c r="AO3" t="s">
        <v>369</v>
      </c>
      <c r="AP3" t="s">
        <v>369</v>
      </c>
      <c r="AS3" t="s">
        <v>371</v>
      </c>
      <c r="AT3" t="s">
        <v>372</v>
      </c>
      <c r="AU3" t="s">
        <v>373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374</v>
      </c>
      <c r="AU4" t="s">
        <v>375</v>
      </c>
      <c r="AV4" t="s">
        <v>376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377</v>
      </c>
      <c r="AU5" t="s">
        <v>375</v>
      </c>
      <c r="AV5" t="s">
        <v>378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379</v>
      </c>
      <c r="AU6" t="s">
        <v>375</v>
      </c>
      <c r="AV6" t="s">
        <v>378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380</v>
      </c>
      <c r="AU7" t="s">
        <v>375</v>
      </c>
      <c r="AV7" t="s">
        <v>381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382</v>
      </c>
      <c r="AU8" t="s">
        <v>375</v>
      </c>
      <c r="AV8" t="s">
        <v>383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384</v>
      </c>
      <c r="AU9" t="s">
        <v>375</v>
      </c>
      <c r="AV9" t="s">
        <v>385</v>
      </c>
      <c r="AW9" t="s">
        <v>386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387</v>
      </c>
      <c r="AU10" t="s">
        <v>375</v>
      </c>
      <c r="AV10" t="s">
        <v>388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389</v>
      </c>
      <c r="AU11" t="s">
        <v>375</v>
      </c>
      <c r="AV11" t="s">
        <v>390</v>
      </c>
      <c r="AW11" t="s">
        <v>386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391</v>
      </c>
      <c r="AU12" t="s">
        <v>375</v>
      </c>
      <c r="AV12" t="s">
        <v>392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393</v>
      </c>
      <c r="AU13" t="s">
        <v>375</v>
      </c>
      <c r="AV13" t="s">
        <v>394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395</v>
      </c>
      <c r="AU14" t="s">
        <v>375</v>
      </c>
      <c r="AV14" t="s">
        <v>381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396</v>
      </c>
      <c r="AU15" t="s">
        <v>375</v>
      </c>
      <c r="AV15" t="s">
        <v>397</v>
      </c>
      <c r="AW15" t="s">
        <v>398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399</v>
      </c>
      <c r="AU16" t="s">
        <v>375</v>
      </c>
      <c r="AV16" t="s">
        <v>378</v>
      </c>
      <c r="AW16" t="s">
        <v>400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401</v>
      </c>
      <c r="AU17" t="s">
        <v>375</v>
      </c>
      <c r="AV17" t="s">
        <v>402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403</v>
      </c>
      <c r="AU18" t="s">
        <v>375</v>
      </c>
      <c r="AV18" t="s">
        <v>378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404</v>
      </c>
      <c r="AU19" t="s">
        <v>405</v>
      </c>
      <c r="AV19" t="s">
        <v>388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406</v>
      </c>
      <c r="AY20" t="s">
        <v>407</v>
      </c>
    </row>
    <row r="82" hidden="1"/>
    <row r="83" hidden="1"/>
    <row r="84" hidden="1"/>
  </sheetData>
  <customSheetViews>
    <customSheetView guid="{61528DAC-5C4C-48F4-ADE2-8A724B05A086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2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3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4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5"/>
    </customSheetView>
    <customSheetView guid="{B31C8DB7-3E78-4144-A6B5-8DE36DE63F0E}" hiddenRows="1" state="hidden">
      <selection activeCell="B100" sqref="B100"/>
      <pageMargins left="0.7" right="0.7" top="0.75" bottom="0.75" header="0.3" footer="0.3"/>
      <pageSetup paperSize="9" orientation="portrait" r:id="rId6"/>
    </customSheetView>
    <customSheetView guid="{B30CE22D-C12F-4E12-8BB9-3AAE0A6991CC}" hiddenRows="1" state="hidden">
      <selection activeCell="B100" sqref="B100"/>
      <pageMargins left="0.7" right="0.7" top="0.75" bottom="0.75" header="0.3" footer="0.3"/>
      <pageSetup paperSize="9" orientation="portrait" verticalDpi="0" r:id="rId7"/>
    </customSheetView>
  </customSheetViews>
  <pageMargins left="0.7" right="0.7" top="0.75" bottom="0.75" header="0.3" footer="0.3"/>
  <pageSetup paperSize="9" orientation="portrait" r:id="rId8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61528DAC-5C4C-48F4-ADE2-8A724B05A086}" state="hidden" topLeftCell="A16">
      <pageMargins left="0.7" right="0.7" top="0.75" bottom="0.75" header="0.3" footer="0.3"/>
    </customSheetView>
    <customSheetView guid="{5BFCA170-DEAE-4D2C-98A0-1E68B427AC01}" showPageBreaks="1" topLeftCell="A16">
      <pageMargins left="0.7" right="0.7" top="0.75" bottom="0.75" header="0.3" footer="0.3"/>
      <pageSetup paperSize="9" orientation="portrait" r:id="rId1"/>
    </customSheetView>
    <customSheetView guid="{1A52382B-3765-4E8C-903F-6B8919B7242E}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B31C8DB7-3E78-4144-A6B5-8DE36DE63F0E}" topLeftCell="A16">
      <pageMargins left="0.7" right="0.7" top="0.75" bottom="0.75" header="0.3" footer="0.3"/>
      <pageSetup paperSize="9" orientation="portrait" r:id="rId2"/>
    </customSheetView>
    <customSheetView guid="{B30CE22D-C12F-4E12-8BB9-3AAE0A6991CC}" state="hidden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48"/>
  <sheetViews>
    <sheetView view="pageBreakPreview" topLeftCell="A107" zoomScale="60" workbookViewId="0">
      <selection activeCell="D78" sqref="D78"/>
    </sheetView>
  </sheetViews>
  <sheetFormatPr defaultRowHeight="15.75"/>
  <cols>
    <col min="1" max="1" width="16.28515625" style="58" customWidth="1"/>
    <col min="2" max="2" width="64.42578125" style="59" customWidth="1"/>
    <col min="3" max="3" width="24.42578125" style="62" customWidth="1"/>
    <col min="4" max="4" width="20.140625" style="62" customWidth="1"/>
    <col min="5" max="5" width="19" style="62" customWidth="1"/>
    <col min="6" max="6" width="22.42578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>
      <c r="A1" s="448" t="s">
        <v>417</v>
      </c>
      <c r="B1" s="448"/>
      <c r="C1" s="448"/>
      <c r="D1" s="448"/>
      <c r="E1" s="448"/>
      <c r="F1" s="448"/>
    </row>
    <row r="2" spans="1:6">
      <c r="A2" s="448" t="s">
        <v>416</v>
      </c>
      <c r="B2" s="448"/>
      <c r="C2" s="448"/>
      <c r="D2" s="448"/>
      <c r="E2" s="448"/>
      <c r="F2" s="448"/>
    </row>
    <row r="3" spans="1:6" ht="63">
      <c r="A3" s="2" t="s">
        <v>0</v>
      </c>
      <c r="B3" s="2" t="s">
        <v>1</v>
      </c>
      <c r="C3" s="72" t="s">
        <v>411</v>
      </c>
      <c r="D3" s="103" t="s">
        <v>419</v>
      </c>
      <c r="E3" s="72" t="s">
        <v>2</v>
      </c>
      <c r="F3" s="74" t="s">
        <v>3</v>
      </c>
    </row>
    <row r="4" spans="1:6" s="6" customFormat="1" ht="22.5">
      <c r="A4" s="3"/>
      <c r="B4" s="252" t="s">
        <v>4</v>
      </c>
      <c r="C4" s="291">
        <f>C5+C12+C16+C21+C23+C27+C7</f>
        <v>141450.342</v>
      </c>
      <c r="D4" s="291">
        <f>D5+D12+D16+D21+D23+D27+D7</f>
        <v>53762.494400000003</v>
      </c>
      <c r="E4" s="291">
        <f>SUM(D4/C4*100)</f>
        <v>38.008034225891087</v>
      </c>
      <c r="F4" s="291">
        <f>SUM(D4-C4)</f>
        <v>-87687.847600000008</v>
      </c>
    </row>
    <row r="5" spans="1:6" s="6" customFormat="1" ht="22.5">
      <c r="A5" s="68">
        <v>1010000000</v>
      </c>
      <c r="B5" s="252" t="s">
        <v>5</v>
      </c>
      <c r="C5" s="291">
        <f>C6</f>
        <v>118707.3</v>
      </c>
      <c r="D5" s="291">
        <f>D6</f>
        <v>43785.690860000002</v>
      </c>
      <c r="E5" s="291">
        <f t="shared" ref="E5:E82" si="0">SUM(D5/C5*100)</f>
        <v>36.885423946126309</v>
      </c>
      <c r="F5" s="291">
        <f t="shared" ref="F5:F82" si="1">SUM(D5-C5)</f>
        <v>-74921.60914</v>
      </c>
    </row>
    <row r="6" spans="1:6" ht="23.25">
      <c r="A6" s="7">
        <v>1010200001</v>
      </c>
      <c r="B6" s="253" t="s">
        <v>228</v>
      </c>
      <c r="C6" s="292">
        <v>118707.3</v>
      </c>
      <c r="D6" s="355">
        <v>43785.690860000002</v>
      </c>
      <c r="E6" s="292">
        <f t="shared" si="0"/>
        <v>36.885423946126309</v>
      </c>
      <c r="F6" s="292">
        <f t="shared" si="1"/>
        <v>-74921.60914</v>
      </c>
    </row>
    <row r="7" spans="1:6" ht="37.5">
      <c r="A7" s="68">
        <v>1030000000</v>
      </c>
      <c r="B7" s="254" t="s">
        <v>280</v>
      </c>
      <c r="C7" s="291">
        <f>C8+C10+C9</f>
        <v>5331.89</v>
      </c>
      <c r="D7" s="291">
        <f>D8+D10+D9+D11</f>
        <v>2127.9777899999999</v>
      </c>
      <c r="E7" s="292">
        <f t="shared" si="0"/>
        <v>39.91038431025396</v>
      </c>
      <c r="F7" s="292">
        <f t="shared" si="1"/>
        <v>-3203.9122100000004</v>
      </c>
    </row>
    <row r="8" spans="1:6" ht="23.25">
      <c r="A8" s="7">
        <v>1030223001</v>
      </c>
      <c r="B8" s="253" t="s">
        <v>282</v>
      </c>
      <c r="C8" s="292">
        <v>1809.797</v>
      </c>
      <c r="D8" s="355">
        <v>961.32799999999997</v>
      </c>
      <c r="E8" s="292">
        <f t="shared" si="0"/>
        <v>53.118001632227262</v>
      </c>
      <c r="F8" s="292">
        <f>SUM(D8-C8)</f>
        <v>-848.46900000000005</v>
      </c>
    </row>
    <row r="9" spans="1:6" ht="23.25">
      <c r="A9" s="7">
        <v>1030224001</v>
      </c>
      <c r="B9" s="253" t="s">
        <v>288</v>
      </c>
      <c r="C9" s="292">
        <v>21.959</v>
      </c>
      <c r="D9" s="355">
        <v>7.2218799999999996</v>
      </c>
      <c r="E9" s="292">
        <f t="shared" si="0"/>
        <v>32.888018580081059</v>
      </c>
      <c r="F9" s="292">
        <f>SUM(D9-C9)</f>
        <v>-14.737120000000001</v>
      </c>
    </row>
    <row r="10" spans="1:6" ht="23.25">
      <c r="A10" s="7">
        <v>1030225001</v>
      </c>
      <c r="B10" s="253" t="s">
        <v>281</v>
      </c>
      <c r="C10" s="292">
        <v>3500.134</v>
      </c>
      <c r="D10" s="355">
        <v>1334.2540200000001</v>
      </c>
      <c r="E10" s="292">
        <f t="shared" si="0"/>
        <v>38.120083973927862</v>
      </c>
      <c r="F10" s="292">
        <f t="shared" si="1"/>
        <v>-2165.8799799999997</v>
      </c>
    </row>
    <row r="11" spans="1:6" ht="23.25">
      <c r="A11" s="7">
        <v>1030226001</v>
      </c>
      <c r="B11" s="253" t="s">
        <v>290</v>
      </c>
      <c r="C11" s="292">
        <v>0</v>
      </c>
      <c r="D11" s="355">
        <v>-174.82611</v>
      </c>
      <c r="E11" s="292" t="e">
        <f t="shared" si="0"/>
        <v>#DIV/0!</v>
      </c>
      <c r="F11" s="292">
        <f t="shared" si="1"/>
        <v>-174.82611</v>
      </c>
    </row>
    <row r="12" spans="1:6" s="6" customFormat="1" ht="22.5">
      <c r="A12" s="68">
        <v>1050000000</v>
      </c>
      <c r="B12" s="252" t="s">
        <v>6</v>
      </c>
      <c r="C12" s="291">
        <f>SUM(C13:C15)</f>
        <v>11661.152</v>
      </c>
      <c r="D12" s="291">
        <f>SUM(D13:D15)</f>
        <v>6138.3245200000001</v>
      </c>
      <c r="E12" s="291">
        <f t="shared" si="0"/>
        <v>52.639091918191269</v>
      </c>
      <c r="F12" s="291">
        <f t="shared" si="1"/>
        <v>-5522.8274799999999</v>
      </c>
    </row>
    <row r="13" spans="1:6" ht="23.25">
      <c r="A13" s="7">
        <v>1050200000</v>
      </c>
      <c r="B13" s="255" t="s">
        <v>238</v>
      </c>
      <c r="C13" s="356">
        <v>9831.5</v>
      </c>
      <c r="D13" s="355">
        <v>4861.7029700000003</v>
      </c>
      <c r="E13" s="292">
        <f t="shared" si="0"/>
        <v>49.450266693790368</v>
      </c>
      <c r="F13" s="292">
        <f t="shared" si="1"/>
        <v>-4969.7970299999997</v>
      </c>
    </row>
    <row r="14" spans="1:6" ht="23.25" customHeight="1">
      <c r="A14" s="7">
        <v>1050300000</v>
      </c>
      <c r="B14" s="255" t="s">
        <v>229</v>
      </c>
      <c r="C14" s="356">
        <v>1529.652</v>
      </c>
      <c r="D14" s="355">
        <v>1218.57221</v>
      </c>
      <c r="E14" s="292">
        <f t="shared" si="0"/>
        <v>79.663361993446884</v>
      </c>
      <c r="F14" s="292">
        <f t="shared" si="1"/>
        <v>-311.07979</v>
      </c>
    </row>
    <row r="15" spans="1:6" ht="37.5">
      <c r="A15" s="7">
        <v>1050400002</v>
      </c>
      <c r="B15" s="253" t="s">
        <v>265</v>
      </c>
      <c r="C15" s="356">
        <v>300</v>
      </c>
      <c r="D15" s="355">
        <v>58.049340000000001</v>
      </c>
      <c r="E15" s="292">
        <f t="shared" si="0"/>
        <v>19.349779999999999</v>
      </c>
      <c r="F15" s="292">
        <f t="shared" si="1"/>
        <v>-241.95066</v>
      </c>
    </row>
    <row r="16" spans="1:6" s="6" customFormat="1" ht="24" customHeight="1">
      <c r="A16" s="68">
        <v>1060000000</v>
      </c>
      <c r="B16" s="252" t="s">
        <v>135</v>
      </c>
      <c r="C16" s="291">
        <f>SUM(C17:C20)</f>
        <v>2050</v>
      </c>
      <c r="D16" s="291">
        <f>SUM(D17:D20)</f>
        <v>305.40431999999998</v>
      </c>
      <c r="E16" s="291">
        <f t="shared" si="0"/>
        <v>14.897771707317073</v>
      </c>
      <c r="F16" s="291">
        <f t="shared" si="1"/>
        <v>-1744.5956799999999</v>
      </c>
    </row>
    <row r="17" spans="1:6" s="6" customFormat="1" ht="18" hidden="1" customHeight="1">
      <c r="A17" s="7">
        <v>1060100000</v>
      </c>
      <c r="B17" s="255" t="s">
        <v>8</v>
      </c>
      <c r="C17" s="292"/>
      <c r="D17" s="355"/>
      <c r="E17" s="291" t="e">
        <f t="shared" si="0"/>
        <v>#DIV/0!</v>
      </c>
      <c r="F17" s="291">
        <f t="shared" si="1"/>
        <v>0</v>
      </c>
    </row>
    <row r="18" spans="1:6" s="6" customFormat="1" ht="17.25" hidden="1" customHeight="1">
      <c r="A18" s="7">
        <v>1060200000</v>
      </c>
      <c r="B18" s="255" t="s">
        <v>122</v>
      </c>
      <c r="C18" s="292"/>
      <c r="D18" s="355"/>
      <c r="E18" s="291" t="e">
        <f t="shared" si="0"/>
        <v>#DIV/0!</v>
      </c>
      <c r="F18" s="291">
        <f t="shared" si="1"/>
        <v>0</v>
      </c>
    </row>
    <row r="19" spans="1:6" s="6" customFormat="1" ht="21.75" customHeight="1">
      <c r="A19" s="7">
        <v>1060400000</v>
      </c>
      <c r="B19" s="255" t="s">
        <v>279</v>
      </c>
      <c r="C19" s="292">
        <v>2050</v>
      </c>
      <c r="D19" s="355">
        <v>305.40431999999998</v>
      </c>
      <c r="E19" s="292">
        <f t="shared" si="0"/>
        <v>14.897771707317073</v>
      </c>
      <c r="F19" s="292">
        <f t="shared" si="1"/>
        <v>-1744.5956799999999</v>
      </c>
    </row>
    <row r="20" spans="1:6" ht="15.75" hidden="1" customHeight="1">
      <c r="A20" s="7">
        <v>1060600000</v>
      </c>
      <c r="B20" s="255" t="s">
        <v>7</v>
      </c>
      <c r="C20" s="292"/>
      <c r="D20" s="355"/>
      <c r="E20" s="292" t="e">
        <f t="shared" si="0"/>
        <v>#DIV/0!</v>
      </c>
      <c r="F20" s="292">
        <f t="shared" si="1"/>
        <v>0</v>
      </c>
    </row>
    <row r="21" spans="1:6" s="6" customFormat="1" ht="42" customHeight="1">
      <c r="A21" s="68">
        <v>1070000000</v>
      </c>
      <c r="B21" s="254" t="s">
        <v>9</v>
      </c>
      <c r="C21" s="291">
        <f>SUM(C22)</f>
        <v>1000</v>
      </c>
      <c r="D21" s="291">
        <f>SUM(D22)</f>
        <v>412.68009999999998</v>
      </c>
      <c r="E21" s="291">
        <f t="shared" si="0"/>
        <v>41.268009999999997</v>
      </c>
      <c r="F21" s="291">
        <f t="shared" si="1"/>
        <v>-587.31989999999996</v>
      </c>
    </row>
    <row r="22" spans="1:6" ht="41.25" customHeight="1">
      <c r="A22" s="7">
        <v>1070102001</v>
      </c>
      <c r="B22" s="253" t="s">
        <v>239</v>
      </c>
      <c r="C22" s="292">
        <v>1000</v>
      </c>
      <c r="D22" s="355">
        <v>412.68009999999998</v>
      </c>
      <c r="E22" s="292">
        <f t="shared" si="0"/>
        <v>41.268009999999997</v>
      </c>
      <c r="F22" s="292">
        <f t="shared" si="1"/>
        <v>-587.31989999999996</v>
      </c>
    </row>
    <row r="23" spans="1:6" s="6" customFormat="1" ht="22.5">
      <c r="A23" s="3">
        <v>1080000000</v>
      </c>
      <c r="B23" s="252" t="s">
        <v>10</v>
      </c>
      <c r="C23" s="291">
        <f>C24+C25+C26</f>
        <v>2700</v>
      </c>
      <c r="D23" s="291">
        <f>D24+D25+D26</f>
        <v>992.41680999999994</v>
      </c>
      <c r="E23" s="291">
        <f t="shared" si="0"/>
        <v>36.756178148148145</v>
      </c>
      <c r="F23" s="291">
        <f t="shared" si="1"/>
        <v>-1707.5831900000001</v>
      </c>
    </row>
    <row r="24" spans="1:6" ht="36.75" customHeight="1">
      <c r="A24" s="7">
        <v>1080300001</v>
      </c>
      <c r="B24" s="253" t="s">
        <v>240</v>
      </c>
      <c r="C24" s="292">
        <v>1900</v>
      </c>
      <c r="D24" s="355">
        <v>705.94930999999997</v>
      </c>
      <c r="E24" s="292">
        <f t="shared" si="0"/>
        <v>37.155226842105257</v>
      </c>
      <c r="F24" s="292">
        <f t="shared" si="1"/>
        <v>-1194.05069</v>
      </c>
    </row>
    <row r="25" spans="1:6" ht="33.75" customHeight="1">
      <c r="A25" s="7">
        <v>1080600001</v>
      </c>
      <c r="B25" s="253" t="s">
        <v>227</v>
      </c>
      <c r="C25" s="292">
        <v>0</v>
      </c>
      <c r="D25" s="355">
        <v>4.5</v>
      </c>
      <c r="E25" s="292" t="e">
        <f>SUM(D25/C25*100)</f>
        <v>#DIV/0!</v>
      </c>
      <c r="F25" s="292">
        <f t="shared" si="1"/>
        <v>4.5</v>
      </c>
    </row>
    <row r="26" spans="1:6" ht="69.75" customHeight="1">
      <c r="A26" s="7">
        <v>1080714001</v>
      </c>
      <c r="B26" s="253" t="s">
        <v>226</v>
      </c>
      <c r="C26" s="292">
        <v>800</v>
      </c>
      <c r="D26" s="355">
        <v>281.96749999999997</v>
      </c>
      <c r="E26" s="292">
        <f t="shared" si="0"/>
        <v>35.245937499999997</v>
      </c>
      <c r="F26" s="292">
        <f t="shared" si="1"/>
        <v>-518.03250000000003</v>
      </c>
    </row>
    <row r="27" spans="1:6" s="15" customFormat="1" ht="0.75" hidden="1" customHeight="1">
      <c r="A27" s="68">
        <v>1090000000</v>
      </c>
      <c r="B27" s="254" t="s">
        <v>230</v>
      </c>
      <c r="C27" s="291">
        <f>C28+C29+C30+C31</f>
        <v>0</v>
      </c>
      <c r="D27" s="291">
        <f>D28+D29+D30+D31</f>
        <v>0</v>
      </c>
      <c r="E27" s="292" t="e">
        <f t="shared" si="0"/>
        <v>#DIV/0!</v>
      </c>
      <c r="F27" s="291">
        <f t="shared" si="1"/>
        <v>0</v>
      </c>
    </row>
    <row r="28" spans="1:6" s="15" customFormat="1" ht="17.25" hidden="1" customHeight="1">
      <c r="A28" s="7">
        <v>1090100000</v>
      </c>
      <c r="B28" s="253" t="s">
        <v>124</v>
      </c>
      <c r="C28" s="292">
        <v>0</v>
      </c>
      <c r="D28" s="355">
        <v>0</v>
      </c>
      <c r="E28" s="292" t="e">
        <f t="shared" si="0"/>
        <v>#DIV/0!</v>
      </c>
      <c r="F28" s="292">
        <f t="shared" si="1"/>
        <v>0</v>
      </c>
    </row>
    <row r="29" spans="1:6" s="15" customFormat="1" ht="17.25" hidden="1" customHeight="1">
      <c r="A29" s="7">
        <v>1090400000</v>
      </c>
      <c r="B29" s="253" t="s">
        <v>125</v>
      </c>
      <c r="C29" s="292">
        <v>0</v>
      </c>
      <c r="D29" s="355">
        <v>0</v>
      </c>
      <c r="E29" s="292" t="e">
        <f t="shared" si="0"/>
        <v>#DIV/0!</v>
      </c>
      <c r="F29" s="292">
        <f t="shared" si="1"/>
        <v>0</v>
      </c>
    </row>
    <row r="30" spans="1:6" s="15" customFormat="1" ht="15.75" hidden="1" customHeight="1">
      <c r="A30" s="7">
        <v>1090600000</v>
      </c>
      <c r="B30" s="253" t="s">
        <v>126</v>
      </c>
      <c r="C30" s="292">
        <v>0</v>
      </c>
      <c r="D30" s="355">
        <v>0</v>
      </c>
      <c r="E30" s="292" t="e">
        <f t="shared" si="0"/>
        <v>#DIV/0!</v>
      </c>
      <c r="F30" s="292">
        <f t="shared" si="1"/>
        <v>0</v>
      </c>
    </row>
    <row r="31" spans="1:6" s="15" customFormat="1" ht="42" hidden="1" customHeight="1">
      <c r="A31" s="7">
        <v>1090700000</v>
      </c>
      <c r="B31" s="253" t="s">
        <v>127</v>
      </c>
      <c r="C31" s="292">
        <v>0</v>
      </c>
      <c r="D31" s="355">
        <v>0</v>
      </c>
      <c r="E31" s="292" t="e">
        <f t="shared" si="0"/>
        <v>#DIV/0!</v>
      </c>
      <c r="F31" s="292">
        <f t="shared" si="1"/>
        <v>0</v>
      </c>
    </row>
    <row r="32" spans="1:6" s="6" customFormat="1" ht="33.75" customHeight="1">
      <c r="A32" s="3"/>
      <c r="B32" s="252" t="s">
        <v>12</v>
      </c>
      <c r="C32" s="291">
        <f>C33+C42+C44+C47+C50+C52+C69</f>
        <v>28011.599999999999</v>
      </c>
      <c r="D32" s="291">
        <f>D33+D42+D44+D47+D50+D52+D69</f>
        <v>7122.2991500000007</v>
      </c>
      <c r="E32" s="291">
        <f t="shared" si="0"/>
        <v>25.426248946864877</v>
      </c>
      <c r="F32" s="291">
        <f t="shared" si="1"/>
        <v>-20889.30085</v>
      </c>
    </row>
    <row r="33" spans="1:6" s="6" customFormat="1" ht="60.75" customHeight="1">
      <c r="A33" s="3">
        <v>1110000000</v>
      </c>
      <c r="B33" s="254" t="s">
        <v>128</v>
      </c>
      <c r="C33" s="291">
        <f>SUM(C34:C41)</f>
        <v>11511.6</v>
      </c>
      <c r="D33" s="291">
        <f>D35+D36+D37+D39+D38+D34+D41+D40</f>
        <v>4257.8384999999998</v>
      </c>
      <c r="E33" s="291">
        <f t="shared" si="0"/>
        <v>36.987373605754193</v>
      </c>
      <c r="F33" s="291">
        <f t="shared" si="1"/>
        <v>-7253.7615000000005</v>
      </c>
    </row>
    <row r="34" spans="1:6" s="6" customFormat="1" ht="34.5" customHeight="1">
      <c r="A34" s="7">
        <v>1110105005</v>
      </c>
      <c r="B34" s="253" t="s">
        <v>319</v>
      </c>
      <c r="C34" s="292">
        <v>10</v>
      </c>
      <c r="D34" s="292">
        <v>23.658000000000001</v>
      </c>
      <c r="E34" s="292">
        <f t="shared" si="0"/>
        <v>236.58</v>
      </c>
      <c r="F34" s="292">
        <f t="shared" si="1"/>
        <v>13.658000000000001</v>
      </c>
    </row>
    <row r="35" spans="1:6" ht="27.75" hidden="1" customHeight="1">
      <c r="A35" s="7">
        <v>1110305005</v>
      </c>
      <c r="B35" s="255" t="s">
        <v>241</v>
      </c>
      <c r="C35" s="292">
        <v>0</v>
      </c>
      <c r="D35" s="355">
        <v>0</v>
      </c>
      <c r="E35" s="292" t="e">
        <f t="shared" si="0"/>
        <v>#DIV/0!</v>
      </c>
      <c r="F35" s="292">
        <f t="shared" si="1"/>
        <v>0</v>
      </c>
    </row>
    <row r="36" spans="1:6" ht="23.25">
      <c r="A36" s="16">
        <v>1110501101</v>
      </c>
      <c r="B36" s="256" t="s">
        <v>225</v>
      </c>
      <c r="C36" s="356">
        <v>10636.6</v>
      </c>
      <c r="D36" s="355">
        <v>3905.36724</v>
      </c>
      <c r="E36" s="292">
        <f t="shared" si="0"/>
        <v>36.716311979391911</v>
      </c>
      <c r="F36" s="292">
        <f t="shared" si="1"/>
        <v>-6731.2327600000008</v>
      </c>
    </row>
    <row r="37" spans="1:6" ht="20.25" customHeight="1">
      <c r="A37" s="7">
        <v>1110503505</v>
      </c>
      <c r="B37" s="255" t="s">
        <v>224</v>
      </c>
      <c r="C37" s="356">
        <v>350</v>
      </c>
      <c r="D37" s="355">
        <v>118.14579000000001</v>
      </c>
      <c r="E37" s="292">
        <f t="shared" si="0"/>
        <v>33.755940000000002</v>
      </c>
      <c r="F37" s="292">
        <f t="shared" si="1"/>
        <v>-231.85420999999999</v>
      </c>
    </row>
    <row r="38" spans="1:6" ht="131.25" hidden="1" customHeight="1">
      <c r="A38" s="7">
        <v>1110502000</v>
      </c>
      <c r="B38" s="253" t="s">
        <v>276</v>
      </c>
      <c r="C38" s="357">
        <v>0</v>
      </c>
      <c r="D38" s="355">
        <v>0</v>
      </c>
      <c r="E38" s="292" t="e">
        <f t="shared" si="0"/>
        <v>#DIV/0!</v>
      </c>
      <c r="F38" s="292">
        <f t="shared" si="1"/>
        <v>0</v>
      </c>
    </row>
    <row r="39" spans="1:6" s="15" customFormat="1" ht="23.25">
      <c r="A39" s="7">
        <v>1110701505</v>
      </c>
      <c r="B39" s="255" t="s">
        <v>242</v>
      </c>
      <c r="C39" s="356">
        <v>20</v>
      </c>
      <c r="D39" s="355">
        <v>26.303000000000001</v>
      </c>
      <c r="E39" s="292">
        <f t="shared" si="0"/>
        <v>131.51500000000001</v>
      </c>
      <c r="F39" s="292">
        <f t="shared" si="1"/>
        <v>6.3030000000000008</v>
      </c>
    </row>
    <row r="40" spans="1:6" s="15" customFormat="1" ht="23.25">
      <c r="A40" s="7">
        <v>1110903000</v>
      </c>
      <c r="B40" s="255" t="s">
        <v>409</v>
      </c>
      <c r="C40" s="356">
        <v>0</v>
      </c>
      <c r="D40" s="355">
        <v>0.31791000000000003</v>
      </c>
      <c r="E40" s="292" t="e">
        <f>SUM(D40/C40*100)</f>
        <v>#DIV/0!</v>
      </c>
      <c r="F40" s="292">
        <f>SUM(D40-C40)</f>
        <v>0.31791000000000003</v>
      </c>
    </row>
    <row r="41" spans="1:6" s="15" customFormat="1" ht="23.25">
      <c r="A41" s="7">
        <v>1110904505</v>
      </c>
      <c r="B41" s="255" t="s">
        <v>333</v>
      </c>
      <c r="C41" s="356">
        <v>495</v>
      </c>
      <c r="D41" s="355">
        <v>184.04656</v>
      </c>
      <c r="E41" s="292">
        <f t="shared" si="0"/>
        <v>37.18112323232323</v>
      </c>
      <c r="F41" s="292">
        <f t="shared" si="1"/>
        <v>-310.95344</v>
      </c>
    </row>
    <row r="42" spans="1:6" s="15" customFormat="1" ht="37.5">
      <c r="A42" s="68">
        <v>1120000000</v>
      </c>
      <c r="B42" s="254" t="s">
        <v>129</v>
      </c>
      <c r="C42" s="358">
        <f>C43</f>
        <v>600</v>
      </c>
      <c r="D42" s="358">
        <f>D43</f>
        <v>350.63726000000003</v>
      </c>
      <c r="E42" s="291">
        <f t="shared" si="0"/>
        <v>58.439543333333333</v>
      </c>
      <c r="F42" s="291">
        <f t="shared" si="1"/>
        <v>-249.36273999999997</v>
      </c>
    </row>
    <row r="43" spans="1:6" s="15" customFormat="1" ht="37.5">
      <c r="A43" s="7">
        <v>1120100001</v>
      </c>
      <c r="B43" s="253" t="s">
        <v>243</v>
      </c>
      <c r="C43" s="292">
        <v>600</v>
      </c>
      <c r="D43" s="355">
        <v>350.63726000000003</v>
      </c>
      <c r="E43" s="292">
        <f t="shared" si="0"/>
        <v>58.439543333333333</v>
      </c>
      <c r="F43" s="292">
        <f t="shared" si="1"/>
        <v>-249.36273999999997</v>
      </c>
    </row>
    <row r="44" spans="1:6" s="251" customFormat="1" ht="21.75" customHeight="1">
      <c r="A44" s="318">
        <v>1130000000</v>
      </c>
      <c r="B44" s="257" t="s">
        <v>130</v>
      </c>
      <c r="C44" s="291">
        <f>C45+C46</f>
        <v>0</v>
      </c>
      <c r="D44" s="291">
        <f>D45+D46</f>
        <v>1.2607900000000001</v>
      </c>
      <c r="E44" s="291" t="e">
        <f t="shared" si="0"/>
        <v>#DIV/0!</v>
      </c>
      <c r="F44" s="291">
        <f t="shared" si="1"/>
        <v>1.2607900000000001</v>
      </c>
    </row>
    <row r="45" spans="1:6" s="15" customFormat="1" ht="36" customHeight="1">
      <c r="A45" s="7">
        <v>1130200000</v>
      </c>
      <c r="B45" s="253" t="s">
        <v>329</v>
      </c>
      <c r="C45" s="292">
        <v>0</v>
      </c>
      <c r="D45" s="292">
        <v>1.2607900000000001</v>
      </c>
      <c r="E45" s="292" t="e">
        <f>SUM(D45/C45*100)</f>
        <v>#DIV/0!</v>
      </c>
      <c r="F45" s="292">
        <f>SUM(D45-C45)</f>
        <v>1.2607900000000001</v>
      </c>
    </row>
    <row r="46" spans="1:6" ht="25.5" customHeight="1">
      <c r="A46" s="7">
        <v>1130305005</v>
      </c>
      <c r="B46" s="253" t="s">
        <v>223</v>
      </c>
      <c r="C46" s="292">
        <v>0</v>
      </c>
      <c r="D46" s="355">
        <v>0</v>
      </c>
      <c r="E46" s="292"/>
      <c r="F46" s="292">
        <f t="shared" si="1"/>
        <v>0</v>
      </c>
    </row>
    <row r="47" spans="1:6" ht="20.25" customHeight="1">
      <c r="A47" s="109">
        <v>1140000000</v>
      </c>
      <c r="B47" s="258" t="s">
        <v>131</v>
      </c>
      <c r="C47" s="291">
        <f>C48+C49</f>
        <v>10300</v>
      </c>
      <c r="D47" s="291">
        <f>D48+D49</f>
        <v>465.09144000000003</v>
      </c>
      <c r="E47" s="291">
        <f t="shared" si="0"/>
        <v>4.5154508737864081</v>
      </c>
      <c r="F47" s="291">
        <f t="shared" si="1"/>
        <v>-9834.9085599999999</v>
      </c>
    </row>
    <row r="48" spans="1:6" ht="23.25">
      <c r="A48" s="16">
        <v>1140200000</v>
      </c>
      <c r="B48" s="259" t="s">
        <v>221</v>
      </c>
      <c r="C48" s="292">
        <v>200</v>
      </c>
      <c r="D48" s="355">
        <v>-88.246399999999994</v>
      </c>
      <c r="E48" s="292">
        <f t="shared" si="0"/>
        <v>-44.123199999999997</v>
      </c>
      <c r="F48" s="292">
        <f t="shared" si="1"/>
        <v>-288.24639999999999</v>
      </c>
    </row>
    <row r="49" spans="1:8" ht="24" customHeight="1">
      <c r="A49" s="7">
        <v>1140600000</v>
      </c>
      <c r="B49" s="253" t="s">
        <v>222</v>
      </c>
      <c r="C49" s="292">
        <v>10100</v>
      </c>
      <c r="D49" s="355">
        <v>553.33784000000003</v>
      </c>
      <c r="E49" s="292">
        <f t="shared" si="0"/>
        <v>5.4785924752475248</v>
      </c>
      <c r="F49" s="292">
        <f t="shared" si="1"/>
        <v>-9546.6621599999999</v>
      </c>
    </row>
    <row r="50" spans="1:8" ht="37.5" hidden="1" customHeight="1">
      <c r="A50" s="3">
        <v>1150000000</v>
      </c>
      <c r="B50" s="254" t="s">
        <v>234</v>
      </c>
      <c r="C50" s="291">
        <f>C51</f>
        <v>0</v>
      </c>
      <c r="D50" s="291">
        <f>D51</f>
        <v>0</v>
      </c>
      <c r="E50" s="291" t="e">
        <f t="shared" si="0"/>
        <v>#DIV/0!</v>
      </c>
      <c r="F50" s="291">
        <f t="shared" si="1"/>
        <v>0</v>
      </c>
    </row>
    <row r="51" spans="1:8" ht="56.25" hidden="1" customHeight="1">
      <c r="A51" s="7">
        <v>1150205005</v>
      </c>
      <c r="B51" s="253" t="s">
        <v>235</v>
      </c>
      <c r="C51" s="292">
        <v>0</v>
      </c>
      <c r="D51" s="355">
        <v>0</v>
      </c>
      <c r="E51" s="292" t="e">
        <f t="shared" si="0"/>
        <v>#DIV/0!</v>
      </c>
      <c r="F51" s="292">
        <f t="shared" si="1"/>
        <v>0</v>
      </c>
    </row>
    <row r="52" spans="1:8" ht="37.5">
      <c r="A52" s="3">
        <v>1160000000</v>
      </c>
      <c r="B52" s="254" t="s">
        <v>133</v>
      </c>
      <c r="C52" s="291">
        <f>C53+C54+C55+C56+C57+C58+C59+C60+C61+C62+C63+C64+C65+C66+C67+C68</f>
        <v>5600</v>
      </c>
      <c r="D52" s="291">
        <f>D53+D54+D55+D56+D57+D58+D59+D60+D61+D62+D63+D64+D65+D66+D67+D68</f>
        <v>2047.4711600000001</v>
      </c>
      <c r="E52" s="291">
        <f>SUM(D52/C52*100)</f>
        <v>36.561985</v>
      </c>
      <c r="F52" s="291">
        <f t="shared" si="1"/>
        <v>-3552.5288399999999</v>
      </c>
      <c r="H52" s="152"/>
    </row>
    <row r="53" spans="1:8" ht="23.25" customHeight="1">
      <c r="A53" s="7">
        <v>1160301001</v>
      </c>
      <c r="B53" s="253" t="s">
        <v>244</v>
      </c>
      <c r="C53" s="292">
        <v>10</v>
      </c>
      <c r="D53" s="439">
        <v>3.8</v>
      </c>
      <c r="E53" s="292">
        <f>SUM(D53/C53*100)</f>
        <v>38</v>
      </c>
      <c r="F53" s="292">
        <f t="shared" si="1"/>
        <v>-6.2</v>
      </c>
    </row>
    <row r="54" spans="1:8" ht="21" customHeight="1">
      <c r="A54" s="7">
        <v>1160303001</v>
      </c>
      <c r="B54" s="253" t="s">
        <v>245</v>
      </c>
      <c r="C54" s="292">
        <v>7</v>
      </c>
      <c r="D54" s="440">
        <v>6.31487</v>
      </c>
      <c r="E54" s="292">
        <f t="shared" si="0"/>
        <v>90.212428571428575</v>
      </c>
      <c r="F54" s="292">
        <f t="shared" si="1"/>
        <v>-0.68513000000000002</v>
      </c>
    </row>
    <row r="55" spans="1:8" ht="23.25" customHeight="1">
      <c r="A55" s="7">
        <v>1160600000</v>
      </c>
      <c r="B55" s="253" t="s">
        <v>246</v>
      </c>
      <c r="C55" s="392">
        <v>0</v>
      </c>
      <c r="D55" s="440">
        <v>0</v>
      </c>
      <c r="E55" s="292" t="e">
        <f t="shared" si="0"/>
        <v>#DIV/0!</v>
      </c>
      <c r="F55" s="292">
        <f t="shared" si="1"/>
        <v>0</v>
      </c>
    </row>
    <row r="56" spans="1:8" s="15" customFormat="1" ht="48" customHeight="1">
      <c r="A56" s="7">
        <v>1160800001</v>
      </c>
      <c r="B56" s="253" t="s">
        <v>247</v>
      </c>
      <c r="C56" s="292">
        <v>700</v>
      </c>
      <c r="D56" s="440">
        <v>10</v>
      </c>
      <c r="E56" s="292">
        <f t="shared" si="0"/>
        <v>1.4285714285714286</v>
      </c>
      <c r="F56" s="292">
        <f t="shared" si="1"/>
        <v>-690</v>
      </c>
    </row>
    <row r="57" spans="1:8" ht="35.25" customHeight="1">
      <c r="A57" s="7">
        <v>1160802001</v>
      </c>
      <c r="B57" s="253" t="s">
        <v>341</v>
      </c>
      <c r="C57" s="392">
        <v>0</v>
      </c>
      <c r="D57" s="355">
        <v>0</v>
      </c>
      <c r="E57" s="292" t="e">
        <f t="shared" si="0"/>
        <v>#DIV/0!</v>
      </c>
      <c r="F57" s="292">
        <f t="shared" si="1"/>
        <v>0</v>
      </c>
    </row>
    <row r="58" spans="1:8" ht="35.25" customHeight="1">
      <c r="A58" s="7">
        <v>1162105005</v>
      </c>
      <c r="B58" s="253" t="s">
        <v>15</v>
      </c>
      <c r="C58" s="292">
        <v>200</v>
      </c>
      <c r="D58" s="355">
        <v>236.16801000000001</v>
      </c>
      <c r="E58" s="292">
        <f t="shared" si="0"/>
        <v>118.084005</v>
      </c>
      <c r="F58" s="292">
        <f t="shared" si="1"/>
        <v>36.16801000000001</v>
      </c>
    </row>
    <row r="59" spans="1:8" ht="35.25" customHeight="1">
      <c r="A59" s="16">
        <v>1162503001</v>
      </c>
      <c r="B59" s="259" t="s">
        <v>332</v>
      </c>
      <c r="C59" s="292">
        <v>90</v>
      </c>
      <c r="D59" s="355">
        <v>10</v>
      </c>
      <c r="E59" s="292">
        <f t="shared" si="0"/>
        <v>11.111111111111111</v>
      </c>
      <c r="F59" s="292">
        <f t="shared" si="1"/>
        <v>-80</v>
      </c>
    </row>
    <row r="60" spans="1:8" ht="21.75" customHeight="1">
      <c r="A60" s="16">
        <v>1162505001</v>
      </c>
      <c r="B60" s="259" t="s">
        <v>344</v>
      </c>
      <c r="C60" s="292">
        <v>20</v>
      </c>
      <c r="D60" s="355">
        <v>10</v>
      </c>
      <c r="E60" s="292">
        <f t="shared" si="0"/>
        <v>50</v>
      </c>
      <c r="F60" s="292">
        <f t="shared" si="1"/>
        <v>-10</v>
      </c>
    </row>
    <row r="61" spans="1:8" ht="20.25" customHeight="1">
      <c r="A61" s="16">
        <v>1162506001</v>
      </c>
      <c r="B61" s="259" t="s">
        <v>268</v>
      </c>
      <c r="C61" s="292">
        <v>70</v>
      </c>
      <c r="D61" s="355">
        <v>69.926500000000004</v>
      </c>
      <c r="E61" s="292">
        <f t="shared" si="0"/>
        <v>99.89500000000001</v>
      </c>
      <c r="F61" s="292">
        <f t="shared" si="1"/>
        <v>-7.349999999999568E-2</v>
      </c>
    </row>
    <row r="62" spans="1:8" ht="0.75" hidden="1" customHeight="1">
      <c r="A62" s="7">
        <v>1162700001</v>
      </c>
      <c r="B62" s="253" t="s">
        <v>248</v>
      </c>
      <c r="C62" s="292">
        <v>0</v>
      </c>
      <c r="D62" s="355">
        <v>0</v>
      </c>
      <c r="E62" s="292" t="e">
        <f t="shared" si="0"/>
        <v>#DIV/0!</v>
      </c>
      <c r="F62" s="292">
        <f t="shared" si="1"/>
        <v>0</v>
      </c>
    </row>
    <row r="63" spans="1:8" ht="37.5" customHeight="1">
      <c r="A63" s="7">
        <v>1162800001</v>
      </c>
      <c r="B63" s="253" t="s">
        <v>237</v>
      </c>
      <c r="C63" s="292">
        <v>450</v>
      </c>
      <c r="D63" s="355">
        <v>142.70520999999999</v>
      </c>
      <c r="E63" s="292">
        <f>SUM(D63/C63*100)</f>
        <v>31.71226888888889</v>
      </c>
      <c r="F63" s="292">
        <f>SUM(D63-C63)</f>
        <v>-307.29479000000003</v>
      </c>
    </row>
    <row r="64" spans="1:8" ht="36" customHeight="1">
      <c r="A64" s="7">
        <v>1163003001</v>
      </c>
      <c r="B64" s="253" t="s">
        <v>269</v>
      </c>
      <c r="C64" s="292">
        <v>400</v>
      </c>
      <c r="D64" s="355">
        <v>324.5</v>
      </c>
      <c r="E64" s="292">
        <f>SUM(D64/C64*100)</f>
        <v>81.125</v>
      </c>
      <c r="F64" s="292">
        <f>SUM(D64-C64)</f>
        <v>-75.5</v>
      </c>
    </row>
    <row r="65" spans="1:8" ht="56.25">
      <c r="A65" s="7">
        <v>1164300001</v>
      </c>
      <c r="B65" s="260" t="s">
        <v>261</v>
      </c>
      <c r="C65" s="292">
        <v>320</v>
      </c>
      <c r="D65" s="355">
        <v>235.71876</v>
      </c>
      <c r="E65" s="292">
        <f t="shared" si="0"/>
        <v>73.662112499999992</v>
      </c>
      <c r="F65" s="292">
        <f t="shared" si="1"/>
        <v>-84.281239999999997</v>
      </c>
    </row>
    <row r="66" spans="1:8" ht="73.5" customHeight="1">
      <c r="A66" s="7">
        <v>1163305005</v>
      </c>
      <c r="B66" s="253" t="s">
        <v>16</v>
      </c>
      <c r="C66" s="292">
        <v>0</v>
      </c>
      <c r="D66" s="355">
        <v>0</v>
      </c>
      <c r="E66" s="292" t="e">
        <f t="shared" si="0"/>
        <v>#DIV/0!</v>
      </c>
      <c r="F66" s="292">
        <f t="shared" si="1"/>
        <v>0</v>
      </c>
    </row>
    <row r="67" spans="1:8" ht="23.25">
      <c r="A67" s="7">
        <v>1163500000</v>
      </c>
      <c r="B67" s="253" t="s">
        <v>330</v>
      </c>
      <c r="C67" s="292">
        <v>0</v>
      </c>
      <c r="D67" s="355">
        <v>1.3480300000000001</v>
      </c>
      <c r="E67" s="292" t="e">
        <f t="shared" si="0"/>
        <v>#DIV/0!</v>
      </c>
      <c r="F67" s="292">
        <f t="shared" si="1"/>
        <v>1.3480300000000001</v>
      </c>
    </row>
    <row r="68" spans="1:8" ht="35.25" customHeight="1">
      <c r="A68" s="7">
        <v>1169000000</v>
      </c>
      <c r="B68" s="253" t="s">
        <v>236</v>
      </c>
      <c r="C68" s="292">
        <v>3333</v>
      </c>
      <c r="D68" s="355">
        <v>996.98978</v>
      </c>
      <c r="E68" s="292">
        <f t="shared" si="0"/>
        <v>29.912684668466849</v>
      </c>
      <c r="F68" s="292">
        <f t="shared" si="1"/>
        <v>-2336.0102200000001</v>
      </c>
    </row>
    <row r="69" spans="1:8" ht="25.5" customHeight="1">
      <c r="A69" s="3">
        <v>1170000000</v>
      </c>
      <c r="B69" s="254" t="s">
        <v>134</v>
      </c>
      <c r="C69" s="291">
        <f>C70+C71</f>
        <v>0</v>
      </c>
      <c r="D69" s="291">
        <f>D70+D71</f>
        <v>0</v>
      </c>
      <c r="E69" s="292" t="e">
        <f t="shared" si="0"/>
        <v>#DIV/0!</v>
      </c>
      <c r="F69" s="291">
        <f t="shared" si="1"/>
        <v>0</v>
      </c>
    </row>
    <row r="70" spans="1:8" ht="23.25">
      <c r="A70" s="7">
        <v>1170105005</v>
      </c>
      <c r="B70" s="253" t="s">
        <v>17</v>
      </c>
      <c r="C70" s="292">
        <v>0</v>
      </c>
      <c r="D70" s="292"/>
      <c r="E70" s="292" t="e">
        <f t="shared" si="0"/>
        <v>#DIV/0!</v>
      </c>
      <c r="F70" s="292">
        <f t="shared" si="1"/>
        <v>0</v>
      </c>
    </row>
    <row r="71" spans="1:8" ht="23.25">
      <c r="A71" s="7">
        <v>1170505005</v>
      </c>
      <c r="B71" s="255" t="s">
        <v>220</v>
      </c>
      <c r="C71" s="292">
        <v>0</v>
      </c>
      <c r="D71" s="355">
        <v>0</v>
      </c>
      <c r="E71" s="292" t="e">
        <f t="shared" si="0"/>
        <v>#DIV/0!</v>
      </c>
      <c r="F71" s="292">
        <f t="shared" si="1"/>
        <v>0</v>
      </c>
    </row>
    <row r="72" spans="1:8" s="6" customFormat="1" ht="22.5">
      <c r="A72" s="3">
        <v>1000000000</v>
      </c>
      <c r="B72" s="252" t="s">
        <v>18</v>
      </c>
      <c r="C72" s="407">
        <f>SUM(C4,C32)</f>
        <v>169461.94200000001</v>
      </c>
      <c r="D72" s="441">
        <f>SUM(D4,D32)</f>
        <v>60884.793550000002</v>
      </c>
      <c r="E72" s="291">
        <f>SUM(D72/C72*100)</f>
        <v>35.928299198884432</v>
      </c>
      <c r="F72" s="291">
        <f>SUM(D72-C72)</f>
        <v>-108577.14845000001</v>
      </c>
      <c r="G72" s="94"/>
      <c r="H72" s="94"/>
    </row>
    <row r="73" spans="1:8" s="6" customFormat="1" ht="30" customHeight="1">
      <c r="A73" s="3">
        <v>2000000000</v>
      </c>
      <c r="B73" s="252" t="s">
        <v>19</v>
      </c>
      <c r="C73" s="291">
        <f>C74+C77+C78+C79+C81+C76+C80</f>
        <v>630757.43241000001</v>
      </c>
      <c r="D73" s="291">
        <f>D74+D77+D78+D79+D81+D76+D80</f>
        <v>178410.93766</v>
      </c>
      <c r="E73" s="291">
        <f t="shared" si="0"/>
        <v>28.285189914976812</v>
      </c>
      <c r="F73" s="291">
        <f t="shared" si="1"/>
        <v>-452346.49475000001</v>
      </c>
      <c r="G73" s="94"/>
      <c r="H73" s="94"/>
    </row>
    <row r="74" spans="1:8" ht="21.75" customHeight="1">
      <c r="A74" s="16">
        <v>2021000000</v>
      </c>
      <c r="B74" s="256" t="s">
        <v>20</v>
      </c>
      <c r="C74" s="356">
        <v>27513.7</v>
      </c>
      <c r="D74" s="408">
        <v>6489.5</v>
      </c>
      <c r="E74" s="292">
        <f t="shared" si="0"/>
        <v>23.586431486859276</v>
      </c>
      <c r="F74" s="292">
        <f t="shared" si="1"/>
        <v>-21024.2</v>
      </c>
    </row>
    <row r="75" spans="1:8" ht="24" hidden="1" customHeight="1">
      <c r="A75" s="16">
        <v>2020100905</v>
      </c>
      <c r="B75" s="259" t="s">
        <v>275</v>
      </c>
      <c r="C75" s="356">
        <v>0</v>
      </c>
      <c r="D75" s="408">
        <v>0</v>
      </c>
      <c r="E75" s="292" t="e">
        <f t="shared" si="0"/>
        <v>#DIV/0!</v>
      </c>
      <c r="F75" s="292">
        <f t="shared" si="1"/>
        <v>0</v>
      </c>
    </row>
    <row r="76" spans="1:8" ht="21.75" customHeight="1">
      <c r="A76" s="16">
        <v>2020100310</v>
      </c>
      <c r="B76" s="256" t="s">
        <v>231</v>
      </c>
      <c r="C76" s="356">
        <v>10103.5</v>
      </c>
      <c r="D76" s="408">
        <v>4210</v>
      </c>
      <c r="E76" s="292">
        <f t="shared" si="0"/>
        <v>41.668728658385703</v>
      </c>
      <c r="F76" s="292">
        <f t="shared" si="1"/>
        <v>-5893.5</v>
      </c>
    </row>
    <row r="77" spans="1:8" ht="23.25">
      <c r="A77" s="16">
        <v>2022000000</v>
      </c>
      <c r="B77" s="256" t="s">
        <v>21</v>
      </c>
      <c r="C77" s="356">
        <v>136350.27531</v>
      </c>
      <c r="D77" s="355">
        <v>34450.549870000003</v>
      </c>
      <c r="E77" s="292">
        <f t="shared" si="0"/>
        <v>25.266212181585075</v>
      </c>
      <c r="F77" s="292">
        <f t="shared" si="1"/>
        <v>-101899.72543999999</v>
      </c>
    </row>
    <row r="78" spans="1:8" ht="23.25">
      <c r="A78" s="16">
        <v>2023000000</v>
      </c>
      <c r="B78" s="256" t="s">
        <v>22</v>
      </c>
      <c r="C78" s="356">
        <v>349012.15710000001</v>
      </c>
      <c r="D78" s="409">
        <v>153349.86179</v>
      </c>
      <c r="E78" s="292">
        <f t="shared" si="0"/>
        <v>43.938257928952815</v>
      </c>
      <c r="F78" s="292">
        <f t="shared" si="1"/>
        <v>-195662.29531000002</v>
      </c>
    </row>
    <row r="79" spans="1:8" ht="19.5" customHeight="1">
      <c r="A79" s="16">
        <v>2024000000</v>
      </c>
      <c r="B79" s="259" t="s">
        <v>23</v>
      </c>
      <c r="C79" s="356">
        <v>136818.29999999999</v>
      </c>
      <c r="D79" s="410">
        <v>8969.8179999999993</v>
      </c>
      <c r="E79" s="292">
        <f t="shared" si="0"/>
        <v>6.5560074931496732</v>
      </c>
      <c r="F79" s="292">
        <f t="shared" si="1"/>
        <v>-127848.48199999999</v>
      </c>
    </row>
    <row r="80" spans="1:8" ht="23.25">
      <c r="A80" s="16">
        <v>2180500005</v>
      </c>
      <c r="B80" s="259" t="s">
        <v>324</v>
      </c>
      <c r="C80" s="356">
        <v>0</v>
      </c>
      <c r="D80" s="410">
        <v>0</v>
      </c>
      <c r="E80" s="292" t="e">
        <f t="shared" si="0"/>
        <v>#DIV/0!</v>
      </c>
      <c r="F80" s="292">
        <f t="shared" si="1"/>
        <v>0</v>
      </c>
    </row>
    <row r="81" spans="1:8" ht="22.5" customHeight="1">
      <c r="A81" s="7">
        <v>2196001005</v>
      </c>
      <c r="B81" s="255" t="s">
        <v>25</v>
      </c>
      <c r="C81" s="355">
        <v>-29040.5</v>
      </c>
      <c r="D81" s="355">
        <v>-29058.792000000001</v>
      </c>
      <c r="E81" s="292">
        <f t="shared" si="0"/>
        <v>100.06298789621391</v>
      </c>
      <c r="F81" s="292">
        <f>SUM(D81-C81)</f>
        <v>-18.292000000001281</v>
      </c>
    </row>
    <row r="82" spans="1:8" s="6" customFormat="1" ht="56.25" hidden="1" customHeight="1">
      <c r="A82" s="3">
        <v>3000000000</v>
      </c>
      <c r="B82" s="254" t="s">
        <v>26</v>
      </c>
      <c r="C82" s="358">
        <v>0</v>
      </c>
      <c r="D82" s="411">
        <v>0</v>
      </c>
      <c r="E82" s="292" t="e">
        <f t="shared" si="0"/>
        <v>#DIV/0!</v>
      </c>
      <c r="F82" s="291">
        <f t="shared" si="1"/>
        <v>0</v>
      </c>
    </row>
    <row r="83" spans="1:8" s="6" customFormat="1" ht="22.5" customHeight="1">
      <c r="A83" s="3"/>
      <c r="B83" s="252" t="s">
        <v>27</v>
      </c>
      <c r="C83" s="424">
        <f>C72+C73</f>
        <v>800219.37441000005</v>
      </c>
      <c r="D83" s="438">
        <f>D72+D73</f>
        <v>239295.73121</v>
      </c>
      <c r="E83" s="292">
        <f>SUM(D83/C83*100)</f>
        <v>29.903766249902684</v>
      </c>
      <c r="F83" s="291">
        <f>SUM(D84-C83)</f>
        <v>-837815.90225000004</v>
      </c>
      <c r="G83" s="319"/>
      <c r="H83" s="94"/>
    </row>
    <row r="84" spans="1:8" s="6" customFormat="1" ht="22.5">
      <c r="A84" s="3"/>
      <c r="B84" s="261" t="s">
        <v>320</v>
      </c>
      <c r="C84" s="415">
        <f>C83-C145</f>
        <v>-34298.351569999824</v>
      </c>
      <c r="D84" s="291">
        <f>D83-D145</f>
        <v>-37596.527839999995</v>
      </c>
      <c r="E84" s="293"/>
      <c r="F84" s="293"/>
      <c r="G84" s="94"/>
      <c r="H84" s="94"/>
    </row>
    <row r="85" spans="1:8" ht="23.25">
      <c r="A85" s="23"/>
      <c r="B85" s="24"/>
      <c r="C85" s="359"/>
      <c r="D85" s="359"/>
      <c r="E85" s="294"/>
      <c r="F85" s="294"/>
    </row>
    <row r="86" spans="1:8" ht="90">
      <c r="A86" s="28" t="s">
        <v>0</v>
      </c>
      <c r="B86" s="28" t="s">
        <v>28</v>
      </c>
      <c r="C86" s="295" t="s">
        <v>411</v>
      </c>
      <c r="D86" s="412" t="s">
        <v>421</v>
      </c>
      <c r="E86" s="295" t="s">
        <v>2</v>
      </c>
      <c r="F86" s="296" t="s">
        <v>3</v>
      </c>
    </row>
    <row r="87" spans="1:8" ht="22.5">
      <c r="A87" s="29">
        <v>1</v>
      </c>
      <c r="B87" s="28">
        <v>2</v>
      </c>
      <c r="C87" s="297">
        <v>3</v>
      </c>
      <c r="D87" s="413">
        <v>4</v>
      </c>
      <c r="E87" s="297">
        <v>5</v>
      </c>
      <c r="F87" s="297">
        <v>6</v>
      </c>
    </row>
    <row r="88" spans="1:8" s="6" customFormat="1" ht="22.5" customHeight="1">
      <c r="A88" s="30" t="s">
        <v>29</v>
      </c>
      <c r="B88" s="262" t="s">
        <v>30</v>
      </c>
      <c r="C88" s="293">
        <f>SUM(C89:C95)</f>
        <v>45734.480129999996</v>
      </c>
      <c r="D88" s="293">
        <f>SUM(D89:D95)</f>
        <v>16956.6728</v>
      </c>
      <c r="E88" s="298">
        <f>SUM(D88/C88*100)</f>
        <v>37.076343169968816</v>
      </c>
      <c r="F88" s="298">
        <f>SUM(D88-C88)</f>
        <v>-28777.807329999996</v>
      </c>
    </row>
    <row r="89" spans="1:8" s="6" customFormat="1" ht="37.5">
      <c r="A89" s="35" t="s">
        <v>31</v>
      </c>
      <c r="B89" s="263" t="s">
        <v>32</v>
      </c>
      <c r="C89" s="429">
        <v>50</v>
      </c>
      <c r="D89" s="429">
        <v>5.0336400000000001</v>
      </c>
      <c r="E89" s="298">
        <f>SUM(D89/C89*100)</f>
        <v>10.06728</v>
      </c>
      <c r="F89" s="298">
        <f>SUM(D89-C89)</f>
        <v>-44.966360000000002</v>
      </c>
    </row>
    <row r="90" spans="1:8" ht="21.75" customHeight="1">
      <c r="A90" s="35" t="s">
        <v>33</v>
      </c>
      <c r="B90" s="264" t="s">
        <v>34</v>
      </c>
      <c r="C90" s="429">
        <v>22497.362000000001</v>
      </c>
      <c r="D90" s="429">
        <v>8207.7943799999994</v>
      </c>
      <c r="E90" s="299">
        <f t="shared" ref="E90:E145" si="2">SUM(D90/C90*100)</f>
        <v>36.483363605030668</v>
      </c>
      <c r="F90" s="299">
        <f t="shared" ref="F90:F145" si="3">SUM(D90-C90)</f>
        <v>-14289.567620000002</v>
      </c>
    </row>
    <row r="91" spans="1:8" ht="19.5" customHeight="1">
      <c r="A91" s="35" t="s">
        <v>35</v>
      </c>
      <c r="B91" s="264" t="s">
        <v>36</v>
      </c>
      <c r="C91" s="429">
        <v>10.5</v>
      </c>
      <c r="D91" s="429">
        <v>0</v>
      </c>
      <c r="E91" s="299">
        <f t="shared" si="2"/>
        <v>0</v>
      </c>
      <c r="F91" s="299">
        <f t="shared" si="3"/>
        <v>-10.5</v>
      </c>
    </row>
    <row r="92" spans="1:8" ht="38.25" customHeight="1">
      <c r="A92" s="35" t="s">
        <v>37</v>
      </c>
      <c r="B92" s="264" t="s">
        <v>38</v>
      </c>
      <c r="C92" s="430">
        <v>5075.3999999999996</v>
      </c>
      <c r="D92" s="430">
        <v>1837.5430799999999</v>
      </c>
      <c r="E92" s="299">
        <f t="shared" si="2"/>
        <v>36.204891831185719</v>
      </c>
      <c r="F92" s="299">
        <f t="shared" si="3"/>
        <v>-3237.8569199999997</v>
      </c>
    </row>
    <row r="93" spans="1:8" ht="18.75" customHeight="1">
      <c r="A93" s="35" t="s">
        <v>39</v>
      </c>
      <c r="B93" s="264" t="s">
        <v>40</v>
      </c>
      <c r="C93" s="429">
        <v>75.599999999999994</v>
      </c>
      <c r="D93" s="429">
        <v>0</v>
      </c>
      <c r="E93" s="299">
        <f t="shared" si="2"/>
        <v>0</v>
      </c>
      <c r="F93" s="299">
        <f t="shared" si="3"/>
        <v>-75.599999999999994</v>
      </c>
    </row>
    <row r="94" spans="1:8" ht="24.75" customHeight="1">
      <c r="A94" s="35" t="s">
        <v>41</v>
      </c>
      <c r="B94" s="264" t="s">
        <v>42</v>
      </c>
      <c r="C94" s="430">
        <v>646.02695000000006</v>
      </c>
      <c r="D94" s="430">
        <v>0</v>
      </c>
      <c r="E94" s="299">
        <f t="shared" si="2"/>
        <v>0</v>
      </c>
      <c r="F94" s="299">
        <f t="shared" si="3"/>
        <v>-646.02695000000006</v>
      </c>
    </row>
    <row r="95" spans="1:8" ht="24" customHeight="1">
      <c r="A95" s="35" t="s">
        <v>43</v>
      </c>
      <c r="B95" s="264" t="s">
        <v>44</v>
      </c>
      <c r="C95" s="429">
        <v>17379.591179999999</v>
      </c>
      <c r="D95" s="429">
        <v>6906.3017</v>
      </c>
      <c r="E95" s="299">
        <f t="shared" si="2"/>
        <v>39.737998601184586</v>
      </c>
      <c r="F95" s="299">
        <f t="shared" si="3"/>
        <v>-10473.289479999999</v>
      </c>
    </row>
    <row r="96" spans="1:8" s="6" customFormat="1" ht="22.5">
      <c r="A96" s="41" t="s">
        <v>45</v>
      </c>
      <c r="B96" s="265" t="s">
        <v>46</v>
      </c>
      <c r="C96" s="293">
        <f>C97</f>
        <v>2158.6999999999998</v>
      </c>
      <c r="D96" s="293">
        <f>D97</f>
        <v>895.2</v>
      </c>
      <c r="E96" s="298">
        <f t="shared" si="2"/>
        <v>41.469402881363784</v>
      </c>
      <c r="F96" s="298">
        <f t="shared" si="3"/>
        <v>-1263.4999999999998</v>
      </c>
    </row>
    <row r="97" spans="1:7" ht="23.25">
      <c r="A97" s="43" t="s">
        <v>47</v>
      </c>
      <c r="B97" s="266" t="s">
        <v>48</v>
      </c>
      <c r="C97" s="429">
        <v>2158.6999999999998</v>
      </c>
      <c r="D97" s="429">
        <v>895.2</v>
      </c>
      <c r="E97" s="299">
        <f t="shared" si="2"/>
        <v>41.469402881363784</v>
      </c>
      <c r="F97" s="299">
        <f t="shared" si="3"/>
        <v>-1263.4999999999998</v>
      </c>
    </row>
    <row r="98" spans="1:7" s="6" customFormat="1" ht="21" customHeight="1">
      <c r="A98" s="30" t="s">
        <v>49</v>
      </c>
      <c r="B98" s="262" t="s">
        <v>50</v>
      </c>
      <c r="C98" s="293">
        <f>SUM(C100:C103)</f>
        <v>14584.7</v>
      </c>
      <c r="D98" s="293">
        <f>SUM(D100:D103)</f>
        <v>1492.0435100000002</v>
      </c>
      <c r="E98" s="298">
        <f t="shared" si="2"/>
        <v>10.230196781558758</v>
      </c>
      <c r="F98" s="298">
        <f t="shared" si="3"/>
        <v>-13092.656490000001</v>
      </c>
    </row>
    <row r="99" spans="1:7" ht="23.25" hidden="1" customHeight="1">
      <c r="A99" s="35" t="s">
        <v>51</v>
      </c>
      <c r="B99" s="264" t="s">
        <v>52</v>
      </c>
      <c r="C99" s="429"/>
      <c r="D99" s="429"/>
      <c r="E99" s="299" t="e">
        <f t="shared" si="2"/>
        <v>#DIV/0!</v>
      </c>
      <c r="F99" s="299">
        <f t="shared" si="3"/>
        <v>0</v>
      </c>
    </row>
    <row r="100" spans="1:7" ht="23.25">
      <c r="A100" s="45" t="s">
        <v>53</v>
      </c>
      <c r="B100" s="264" t="s">
        <v>326</v>
      </c>
      <c r="C100" s="429">
        <v>1811.2</v>
      </c>
      <c r="D100" s="429">
        <v>566.87154999999996</v>
      </c>
      <c r="E100" s="299">
        <f t="shared" si="2"/>
        <v>31.298120030918724</v>
      </c>
      <c r="F100" s="299">
        <f t="shared" si="3"/>
        <v>-1244.32845</v>
      </c>
    </row>
    <row r="101" spans="1:7" ht="36.75" customHeight="1">
      <c r="A101" s="46" t="s">
        <v>55</v>
      </c>
      <c r="B101" s="267" t="s">
        <v>56</v>
      </c>
      <c r="C101" s="429">
        <v>2277.8000000000002</v>
      </c>
      <c r="D101" s="429">
        <v>863.48296000000005</v>
      </c>
      <c r="E101" s="299">
        <f t="shared" si="2"/>
        <v>37.908638159627714</v>
      </c>
      <c r="F101" s="299">
        <f t="shared" si="3"/>
        <v>-1414.3170400000001</v>
      </c>
    </row>
    <row r="102" spans="1:7" ht="21" customHeight="1">
      <c r="A102" s="46" t="s">
        <v>218</v>
      </c>
      <c r="B102" s="267" t="s">
        <v>219</v>
      </c>
      <c r="C102" s="429">
        <v>0</v>
      </c>
      <c r="D102" s="429">
        <v>0</v>
      </c>
      <c r="E102" s="299" t="e">
        <f t="shared" si="2"/>
        <v>#DIV/0!</v>
      </c>
      <c r="F102" s="299">
        <f t="shared" si="3"/>
        <v>0</v>
      </c>
    </row>
    <row r="103" spans="1:7" ht="34.5" customHeight="1">
      <c r="A103" s="46" t="s">
        <v>357</v>
      </c>
      <c r="B103" s="267" t="s">
        <v>358</v>
      </c>
      <c r="C103" s="431">
        <v>10495.7</v>
      </c>
      <c r="D103" s="429">
        <v>61.689</v>
      </c>
      <c r="E103" s="299">
        <f t="shared" si="2"/>
        <v>0.58775498537496307</v>
      </c>
      <c r="F103" s="299">
        <f t="shared" si="3"/>
        <v>-10434.011</v>
      </c>
    </row>
    <row r="104" spans="1:7" s="6" customFormat="1" ht="27" customHeight="1">
      <c r="A104" s="30" t="s">
        <v>57</v>
      </c>
      <c r="B104" s="262" t="s">
        <v>58</v>
      </c>
      <c r="C104" s="432">
        <f>SUM(C105:C110)</f>
        <v>196332.209</v>
      </c>
      <c r="D104" s="432">
        <f>SUM(D105:D110)</f>
        <v>16944.207260000003</v>
      </c>
      <c r="E104" s="298">
        <f t="shared" si="2"/>
        <v>8.6303757016251996</v>
      </c>
      <c r="F104" s="298">
        <f t="shared" si="3"/>
        <v>-179388.00174000001</v>
      </c>
    </row>
    <row r="105" spans="1:7" ht="27" customHeight="1">
      <c r="A105" s="35" t="s">
        <v>442</v>
      </c>
      <c r="B105" s="263" t="s">
        <v>443</v>
      </c>
      <c r="C105" s="433">
        <v>200</v>
      </c>
      <c r="D105" s="433">
        <v>86.4</v>
      </c>
      <c r="E105" s="299">
        <f t="shared" si="2"/>
        <v>43.2</v>
      </c>
      <c r="F105" s="299">
        <f t="shared" si="3"/>
        <v>-113.6</v>
      </c>
    </row>
    <row r="106" spans="1:7" ht="21" customHeight="1">
      <c r="A106" s="35" t="s">
        <v>59</v>
      </c>
      <c r="B106" s="264" t="s">
        <v>60</v>
      </c>
      <c r="C106" s="433">
        <v>0</v>
      </c>
      <c r="D106" s="429">
        <v>0</v>
      </c>
      <c r="E106" s="299" t="e">
        <f t="shared" si="2"/>
        <v>#DIV/0!</v>
      </c>
      <c r="F106" s="299">
        <f t="shared" si="3"/>
        <v>0</v>
      </c>
    </row>
    <row r="107" spans="1:7" s="6" customFormat="1" ht="20.25" customHeight="1">
      <c r="A107" s="35" t="s">
        <v>59</v>
      </c>
      <c r="B107" s="264" t="s">
        <v>323</v>
      </c>
      <c r="C107" s="433">
        <v>61.3</v>
      </c>
      <c r="D107" s="429">
        <v>4.3369999999999997</v>
      </c>
      <c r="E107" s="299">
        <f t="shared" si="2"/>
        <v>7.0750407830342574</v>
      </c>
      <c r="F107" s="299">
        <f t="shared" si="3"/>
        <v>-56.962999999999994</v>
      </c>
      <c r="G107" s="50"/>
    </row>
    <row r="108" spans="1:7" s="6" customFormat="1" ht="20.25" customHeight="1">
      <c r="A108" s="35" t="s">
        <v>61</v>
      </c>
      <c r="B108" s="264" t="s">
        <v>412</v>
      </c>
      <c r="C108" s="433">
        <v>824.4</v>
      </c>
      <c r="D108" s="429"/>
      <c r="E108" s="299"/>
      <c r="F108" s="299"/>
      <c r="G108" s="50"/>
    </row>
    <row r="109" spans="1:7" ht="26.25" customHeight="1">
      <c r="A109" s="35" t="s">
        <v>63</v>
      </c>
      <c r="B109" s="264" t="s">
        <v>64</v>
      </c>
      <c r="C109" s="433">
        <v>194402.109</v>
      </c>
      <c r="D109" s="429">
        <v>16559.377700000001</v>
      </c>
      <c r="E109" s="299">
        <f t="shared" si="2"/>
        <v>8.5181059944159347</v>
      </c>
      <c r="F109" s="299">
        <f t="shared" si="3"/>
        <v>-177842.73129999998</v>
      </c>
    </row>
    <row r="110" spans="1:7" ht="23.25">
      <c r="A110" s="35" t="s">
        <v>65</v>
      </c>
      <c r="B110" s="264" t="s">
        <v>66</v>
      </c>
      <c r="C110" s="433">
        <v>844.4</v>
      </c>
      <c r="D110" s="429">
        <v>294.09255999999999</v>
      </c>
      <c r="E110" s="299">
        <f t="shared" si="2"/>
        <v>34.828583609663667</v>
      </c>
      <c r="F110" s="299">
        <f t="shared" si="3"/>
        <v>-550.30744000000004</v>
      </c>
    </row>
    <row r="111" spans="1:7" s="6" customFormat="1" ht="22.5">
      <c r="A111" s="30" t="s">
        <v>67</v>
      </c>
      <c r="B111" s="262" t="s">
        <v>68</v>
      </c>
      <c r="C111" s="293">
        <f>SUM(C112:C114)</f>
        <v>16338.85828</v>
      </c>
      <c r="D111" s="293">
        <f>SUM(D112:D114)</f>
        <v>469.02343999999999</v>
      </c>
      <c r="E111" s="298">
        <f t="shared" si="2"/>
        <v>2.8706010662576111</v>
      </c>
      <c r="F111" s="298">
        <f t="shared" si="3"/>
        <v>-15869.83484</v>
      </c>
    </row>
    <row r="112" spans="1:7" ht="23.25">
      <c r="A112" s="35" t="s">
        <v>69</v>
      </c>
      <c r="B112" s="268" t="s">
        <v>70</v>
      </c>
      <c r="C112" s="429">
        <v>1010.6</v>
      </c>
      <c r="D112" s="429">
        <v>298.75326999999999</v>
      </c>
      <c r="E112" s="299">
        <f t="shared" si="2"/>
        <v>29.561970116762314</v>
      </c>
      <c r="F112" s="299">
        <f t="shared" si="3"/>
        <v>-711.84672999999998</v>
      </c>
    </row>
    <row r="113" spans="1:7" ht="23.25" customHeight="1">
      <c r="A113" s="35" t="s">
        <v>71</v>
      </c>
      <c r="B113" s="268" t="s">
        <v>72</v>
      </c>
      <c r="C113" s="429">
        <v>6537.9</v>
      </c>
      <c r="D113" s="429">
        <v>170.27017000000001</v>
      </c>
      <c r="E113" s="299">
        <f t="shared" si="2"/>
        <v>2.6043556799583967</v>
      </c>
      <c r="F113" s="299">
        <f t="shared" si="3"/>
        <v>-6367.6298299999999</v>
      </c>
    </row>
    <row r="114" spans="1:7" ht="19.5" customHeight="1">
      <c r="A114" s="35" t="s">
        <v>73</v>
      </c>
      <c r="B114" s="264" t="s">
        <v>74</v>
      </c>
      <c r="C114" s="429">
        <v>8790.3582800000004</v>
      </c>
      <c r="D114" s="429">
        <v>0</v>
      </c>
      <c r="E114" s="299">
        <f t="shared" si="2"/>
        <v>0</v>
      </c>
      <c r="F114" s="299">
        <f t="shared" si="3"/>
        <v>-8790.3582800000004</v>
      </c>
    </row>
    <row r="115" spans="1:7" s="6" customFormat="1" ht="22.5">
      <c r="A115" s="30" t="s">
        <v>75</v>
      </c>
      <c r="B115" s="269" t="s">
        <v>76</v>
      </c>
      <c r="C115" s="432">
        <f>SUM(C116)</f>
        <v>32</v>
      </c>
      <c r="D115" s="432">
        <f>SUM(D116)</f>
        <v>32</v>
      </c>
      <c r="E115" s="298">
        <f t="shared" si="2"/>
        <v>100</v>
      </c>
      <c r="F115" s="298">
        <f t="shared" si="3"/>
        <v>0</v>
      </c>
    </row>
    <row r="116" spans="1:7" ht="38.25">
      <c r="A116" s="35" t="s">
        <v>77</v>
      </c>
      <c r="B116" s="268" t="s">
        <v>78</v>
      </c>
      <c r="C116" s="299">
        <v>32</v>
      </c>
      <c r="D116" s="430">
        <v>32</v>
      </c>
      <c r="E116" s="299">
        <f t="shared" si="2"/>
        <v>100</v>
      </c>
      <c r="F116" s="299">
        <f t="shared" si="3"/>
        <v>0</v>
      </c>
    </row>
    <row r="117" spans="1:7" s="6" customFormat="1" ht="22.5">
      <c r="A117" s="30" t="s">
        <v>79</v>
      </c>
      <c r="B117" s="269" t="s">
        <v>80</v>
      </c>
      <c r="C117" s="432">
        <f>SUM(C118:C122)</f>
        <v>399260.02046999999</v>
      </c>
      <c r="D117" s="432">
        <f>D118+D119+D121+D122+D120</f>
        <v>180487.48122999998</v>
      </c>
      <c r="E117" s="298">
        <f t="shared" si="2"/>
        <v>45.205498165715206</v>
      </c>
      <c r="F117" s="298">
        <f t="shared" si="3"/>
        <v>-218772.53924000001</v>
      </c>
    </row>
    <row r="118" spans="1:7" ht="23.25">
      <c r="A118" s="35" t="s">
        <v>81</v>
      </c>
      <c r="B118" s="268" t="s">
        <v>257</v>
      </c>
      <c r="C118" s="433">
        <v>98583.404999999999</v>
      </c>
      <c r="D118" s="429">
        <v>43637.949769999999</v>
      </c>
      <c r="E118" s="299">
        <f t="shared" si="2"/>
        <v>44.265005626454069</v>
      </c>
      <c r="F118" s="299">
        <f t="shared" si="3"/>
        <v>-54945.45523</v>
      </c>
    </row>
    <row r="119" spans="1:7" ht="23.25">
      <c r="A119" s="35" t="s">
        <v>82</v>
      </c>
      <c r="B119" s="268" t="s">
        <v>258</v>
      </c>
      <c r="C119" s="433">
        <v>271029.11547000002</v>
      </c>
      <c r="D119" s="429">
        <v>123335.79568</v>
      </c>
      <c r="E119" s="299">
        <f t="shared" si="2"/>
        <v>45.506474633221437</v>
      </c>
      <c r="F119" s="299">
        <f t="shared" si="3"/>
        <v>-147693.31979000004</v>
      </c>
    </row>
    <row r="120" spans="1:7" ht="23.25">
      <c r="A120" s="35" t="s">
        <v>334</v>
      </c>
      <c r="B120" s="268" t="s">
        <v>335</v>
      </c>
      <c r="C120" s="433">
        <v>21735.9</v>
      </c>
      <c r="D120" s="429">
        <v>8997.4380000000001</v>
      </c>
      <c r="E120" s="299">
        <f t="shared" si="2"/>
        <v>41.394366002788011</v>
      </c>
      <c r="F120" s="299">
        <f t="shared" si="3"/>
        <v>-12738.462000000001</v>
      </c>
    </row>
    <row r="121" spans="1:7" ht="23.25">
      <c r="A121" s="35" t="s">
        <v>83</v>
      </c>
      <c r="B121" s="268" t="s">
        <v>259</v>
      </c>
      <c r="C121" s="433">
        <v>5403.3</v>
      </c>
      <c r="D121" s="429">
        <v>3631.3319999999999</v>
      </c>
      <c r="E121" s="299">
        <f t="shared" si="2"/>
        <v>67.205818666370547</v>
      </c>
      <c r="F121" s="299">
        <f t="shared" si="3"/>
        <v>-1771.9680000000003</v>
      </c>
    </row>
    <row r="122" spans="1:7" ht="23.25">
      <c r="A122" s="35" t="s">
        <v>84</v>
      </c>
      <c r="B122" s="268" t="s">
        <v>260</v>
      </c>
      <c r="C122" s="433">
        <v>2508.3000000000002</v>
      </c>
      <c r="D122" s="429">
        <v>884.96578</v>
      </c>
      <c r="E122" s="299">
        <f t="shared" si="2"/>
        <v>35.281496631184467</v>
      </c>
      <c r="F122" s="299">
        <f t="shared" si="3"/>
        <v>-1623.3342200000002</v>
      </c>
    </row>
    <row r="123" spans="1:7" s="6" customFormat="1" ht="22.5">
      <c r="A123" s="30" t="s">
        <v>85</v>
      </c>
      <c r="B123" s="262" t="s">
        <v>86</v>
      </c>
      <c r="C123" s="293">
        <f>SUM(C124:C125)</f>
        <v>53864.284160000003</v>
      </c>
      <c r="D123" s="293">
        <f>SUM(D124:D125)</f>
        <v>17199.14386</v>
      </c>
      <c r="E123" s="298">
        <f t="shared" si="2"/>
        <v>31.930515977732433</v>
      </c>
      <c r="F123" s="298">
        <f t="shared" si="3"/>
        <v>-36665.140299999999</v>
      </c>
    </row>
    <row r="124" spans="1:7" ht="23.25">
      <c r="A124" s="35" t="s">
        <v>87</v>
      </c>
      <c r="B124" s="264" t="s">
        <v>233</v>
      </c>
      <c r="C124" s="429">
        <v>52764.284160000003</v>
      </c>
      <c r="D124" s="429">
        <v>16457.567859999999</v>
      </c>
      <c r="E124" s="299">
        <f t="shared" si="2"/>
        <v>31.190734645607666</v>
      </c>
      <c r="F124" s="299">
        <f t="shared" si="3"/>
        <v>-36306.7163</v>
      </c>
    </row>
    <row r="125" spans="1:7" ht="38.25">
      <c r="A125" s="35" t="s">
        <v>272</v>
      </c>
      <c r="B125" s="264" t="s">
        <v>273</v>
      </c>
      <c r="C125" s="429">
        <v>1100</v>
      </c>
      <c r="D125" s="429">
        <v>741.57600000000002</v>
      </c>
      <c r="E125" s="299">
        <f t="shared" si="2"/>
        <v>67.415999999999997</v>
      </c>
      <c r="F125" s="299">
        <f t="shared" si="3"/>
        <v>-358.42399999999998</v>
      </c>
    </row>
    <row r="126" spans="1:7" s="6" customFormat="1" ht="22.5">
      <c r="A126" s="52">
        <v>1000</v>
      </c>
      <c r="B126" s="262" t="s">
        <v>88</v>
      </c>
      <c r="C126" s="293">
        <f>SUM(C127:C130)</f>
        <v>44287.707369999996</v>
      </c>
      <c r="D126" s="434">
        <f>D127+D128+D129+D130</f>
        <v>24458.230199999998</v>
      </c>
      <c r="E126" s="298">
        <f t="shared" si="2"/>
        <v>55.225776298747256</v>
      </c>
      <c r="F126" s="298">
        <f t="shared" si="3"/>
        <v>-19829.477169999998</v>
      </c>
      <c r="G126" s="94"/>
    </row>
    <row r="127" spans="1:7" ht="23.25">
      <c r="A127" s="53">
        <v>1001</v>
      </c>
      <c r="B127" s="270" t="s">
        <v>89</v>
      </c>
      <c r="C127" s="429">
        <v>60</v>
      </c>
      <c r="D127" s="429">
        <v>19.586279999999999</v>
      </c>
      <c r="E127" s="299">
        <f t="shared" si="2"/>
        <v>32.643799999999992</v>
      </c>
      <c r="F127" s="299">
        <f t="shared" si="3"/>
        <v>-40.413719999999998</v>
      </c>
    </row>
    <row r="128" spans="1:7" ht="23.25">
      <c r="A128" s="53">
        <v>1003</v>
      </c>
      <c r="B128" s="270" t="s">
        <v>90</v>
      </c>
      <c r="C128" s="429">
        <v>17271.45853</v>
      </c>
      <c r="D128" s="429">
        <v>2410.7400400000001</v>
      </c>
      <c r="E128" s="299">
        <f t="shared" si="2"/>
        <v>13.957941281059835</v>
      </c>
      <c r="F128" s="299">
        <f t="shared" si="3"/>
        <v>-14860.718489999999</v>
      </c>
    </row>
    <row r="129" spans="1:6" ht="23.25">
      <c r="A129" s="53">
        <v>1004</v>
      </c>
      <c r="B129" s="270" t="s">
        <v>91</v>
      </c>
      <c r="C129" s="429">
        <v>26759.848839999999</v>
      </c>
      <c r="D129" s="435">
        <v>21961.300009999999</v>
      </c>
      <c r="E129" s="299">
        <f t="shared" si="2"/>
        <v>82.068101883941736</v>
      </c>
      <c r="F129" s="299">
        <f t="shared" si="3"/>
        <v>-4798.5488299999997</v>
      </c>
    </row>
    <row r="130" spans="1:6" ht="24.75" customHeight="1">
      <c r="A130" s="35" t="s">
        <v>92</v>
      </c>
      <c r="B130" s="264" t="s">
        <v>93</v>
      </c>
      <c r="C130" s="429">
        <v>196.4</v>
      </c>
      <c r="D130" s="429">
        <v>66.603870000000001</v>
      </c>
      <c r="E130" s="299">
        <f t="shared" si="2"/>
        <v>33.912357433808552</v>
      </c>
      <c r="F130" s="299">
        <f t="shared" si="3"/>
        <v>-129.79613000000001</v>
      </c>
    </row>
    <row r="131" spans="1:6" ht="23.25">
      <c r="A131" s="30" t="s">
        <v>94</v>
      </c>
      <c r="B131" s="262" t="s">
        <v>95</v>
      </c>
      <c r="C131" s="293">
        <f>C132+C133</f>
        <v>15282.5</v>
      </c>
      <c r="D131" s="293">
        <f>D132+D133</f>
        <v>2936.8417499999996</v>
      </c>
      <c r="E131" s="299">
        <f t="shared" si="2"/>
        <v>19.217024374284307</v>
      </c>
      <c r="F131" s="293">
        <f>F132+F133+F134+F135+F136</f>
        <v>-12345.65825</v>
      </c>
    </row>
    <row r="132" spans="1:6" ht="23.25">
      <c r="A132" s="35" t="s">
        <v>96</v>
      </c>
      <c r="B132" s="264" t="s">
        <v>97</v>
      </c>
      <c r="C132" s="429">
        <v>450</v>
      </c>
      <c r="D132" s="429">
        <v>225.54374999999999</v>
      </c>
      <c r="E132" s="299">
        <f t="shared" si="2"/>
        <v>50.120833333333323</v>
      </c>
      <c r="F132" s="299">
        <f t="shared" ref="F132:F140" si="4">SUM(D132-C132)</f>
        <v>-224.45625000000001</v>
      </c>
    </row>
    <row r="133" spans="1:6" ht="20.25" customHeight="1">
      <c r="A133" s="35" t="s">
        <v>98</v>
      </c>
      <c r="B133" s="264" t="s">
        <v>99</v>
      </c>
      <c r="C133" s="429">
        <v>14832.5</v>
      </c>
      <c r="D133" s="429">
        <v>2711.2979999999998</v>
      </c>
      <c r="E133" s="299">
        <f t="shared" si="2"/>
        <v>18.279440418001009</v>
      </c>
      <c r="F133" s="299">
        <f t="shared" si="4"/>
        <v>-12121.202000000001</v>
      </c>
    </row>
    <row r="134" spans="1:6" ht="15.75" hidden="1" customHeight="1">
      <c r="A134" s="35" t="s">
        <v>100</v>
      </c>
      <c r="B134" s="264" t="s">
        <v>101</v>
      </c>
      <c r="C134" s="429">
        <f>SUM(C124:C125)</f>
        <v>53864.284160000003</v>
      </c>
      <c r="D134" s="429"/>
      <c r="E134" s="299">
        <f t="shared" si="2"/>
        <v>0</v>
      </c>
      <c r="F134" s="299"/>
    </row>
    <row r="135" spans="1:6" ht="15.75" hidden="1" customHeight="1">
      <c r="A135" s="35" t="s">
        <v>102</v>
      </c>
      <c r="B135" s="264" t="s">
        <v>103</v>
      </c>
      <c r="C135" s="429"/>
      <c r="D135" s="429"/>
      <c r="E135" s="299" t="e">
        <f t="shared" si="2"/>
        <v>#DIV/0!</v>
      </c>
      <c r="F135" s="299"/>
    </row>
    <row r="136" spans="1:6" ht="15.75" hidden="1" customHeight="1">
      <c r="A136" s="35" t="s">
        <v>104</v>
      </c>
      <c r="B136" s="264" t="s">
        <v>105</v>
      </c>
      <c r="C136" s="429"/>
      <c r="D136" s="429"/>
      <c r="E136" s="299" t="e">
        <f t="shared" si="2"/>
        <v>#DIV/0!</v>
      </c>
      <c r="F136" s="299"/>
    </row>
    <row r="137" spans="1:6" ht="20.25" customHeight="1">
      <c r="A137" s="30" t="s">
        <v>106</v>
      </c>
      <c r="B137" s="262" t="s">
        <v>107</v>
      </c>
      <c r="C137" s="293">
        <f>C138</f>
        <v>45.14</v>
      </c>
      <c r="D137" s="436">
        <f>D138</f>
        <v>0</v>
      </c>
      <c r="E137" s="299">
        <f>SUM(D137/C137*100)</f>
        <v>0</v>
      </c>
      <c r="F137" s="299">
        <f t="shared" si="4"/>
        <v>-45.14</v>
      </c>
    </row>
    <row r="138" spans="1:6" ht="22.5" customHeight="1">
      <c r="A138" s="35" t="s">
        <v>108</v>
      </c>
      <c r="B138" s="264" t="s">
        <v>109</v>
      </c>
      <c r="C138" s="429">
        <v>45.14</v>
      </c>
      <c r="D138" s="429">
        <v>0</v>
      </c>
      <c r="E138" s="299">
        <f t="shared" si="2"/>
        <v>0</v>
      </c>
      <c r="F138" s="299">
        <f t="shared" si="4"/>
        <v>-45.14</v>
      </c>
    </row>
    <row r="139" spans="1:6" ht="19.5" hidden="1" customHeight="1">
      <c r="A139" s="30" t="s">
        <v>110</v>
      </c>
      <c r="B139" s="265" t="s">
        <v>111</v>
      </c>
      <c r="C139" s="437">
        <f>C140</f>
        <v>0</v>
      </c>
      <c r="D139" s="437">
        <v>0</v>
      </c>
      <c r="E139" s="299"/>
      <c r="F139" s="298">
        <f t="shared" si="4"/>
        <v>0</v>
      </c>
    </row>
    <row r="140" spans="1:6" ht="37.5" hidden="1" customHeight="1">
      <c r="A140" s="35" t="s">
        <v>112</v>
      </c>
      <c r="B140" s="266" t="s">
        <v>113</v>
      </c>
      <c r="C140" s="430">
        <v>0</v>
      </c>
      <c r="D140" s="430">
        <v>0</v>
      </c>
      <c r="E140" s="298"/>
      <c r="F140" s="299">
        <f t="shared" si="4"/>
        <v>0</v>
      </c>
    </row>
    <row r="141" spans="1:6" s="6" customFormat="1" ht="19.5" customHeight="1">
      <c r="A141" s="52">
        <v>1400</v>
      </c>
      <c r="B141" s="271" t="s">
        <v>114</v>
      </c>
      <c r="C141" s="432">
        <f>C142+C143+C144</f>
        <v>46597.126569999993</v>
      </c>
      <c r="D141" s="432">
        <f>D142+D143+D144</f>
        <v>15021.415000000001</v>
      </c>
      <c r="E141" s="298">
        <f t="shared" si="2"/>
        <v>32.236783908626329</v>
      </c>
      <c r="F141" s="298">
        <f t="shared" si="3"/>
        <v>-31575.711569999992</v>
      </c>
    </row>
    <row r="142" spans="1:6" ht="40.5" customHeight="1">
      <c r="A142" s="53">
        <v>1401</v>
      </c>
      <c r="B142" s="270" t="s">
        <v>115</v>
      </c>
      <c r="C142" s="433">
        <v>28294</v>
      </c>
      <c r="D142" s="429">
        <v>11788.915000000001</v>
      </c>
      <c r="E142" s="299">
        <f t="shared" si="2"/>
        <v>41.665777196578787</v>
      </c>
      <c r="F142" s="299">
        <f t="shared" si="3"/>
        <v>-16505.084999999999</v>
      </c>
    </row>
    <row r="143" spans="1:6" ht="24.75" customHeight="1">
      <c r="A143" s="53">
        <v>1402</v>
      </c>
      <c r="B143" s="270" t="s">
        <v>116</v>
      </c>
      <c r="C143" s="433">
        <v>7030.308</v>
      </c>
      <c r="D143" s="429">
        <v>3232.5</v>
      </c>
      <c r="E143" s="299">
        <f t="shared" si="2"/>
        <v>45.979493359323662</v>
      </c>
      <c r="F143" s="299">
        <f t="shared" si="3"/>
        <v>-3797.808</v>
      </c>
    </row>
    <row r="144" spans="1:6" ht="27" customHeight="1">
      <c r="A144" s="53">
        <v>1403</v>
      </c>
      <c r="B144" s="270" t="s">
        <v>117</v>
      </c>
      <c r="C144" s="433">
        <v>11272.818569999999</v>
      </c>
      <c r="D144" s="429">
        <v>0</v>
      </c>
      <c r="E144" s="299">
        <f t="shared" si="2"/>
        <v>0</v>
      </c>
      <c r="F144" s="299">
        <f t="shared" si="3"/>
        <v>-11272.818569999999</v>
      </c>
    </row>
    <row r="145" spans="1:8" s="6" customFormat="1" ht="22.5">
      <c r="A145" s="52"/>
      <c r="B145" s="272" t="s">
        <v>118</v>
      </c>
      <c r="C145" s="438">
        <f>C88+C96+C98+C104+C111+C115+C117+C123+C126+C131+C137+C139+C141</f>
        <v>834517.72597999987</v>
      </c>
      <c r="D145" s="438">
        <f>D88+D96+D98+D104+D111+D115+D117+D123+D126+D131+D137+D139+D141</f>
        <v>276892.25904999999</v>
      </c>
      <c r="E145" s="298">
        <f t="shared" si="2"/>
        <v>33.179913431417759</v>
      </c>
      <c r="F145" s="298">
        <f t="shared" si="3"/>
        <v>-557625.46692999988</v>
      </c>
      <c r="G145" s="94"/>
      <c r="H145" s="94"/>
    </row>
    <row r="146" spans="1:8">
      <c r="C146" s="360"/>
      <c r="D146" s="414"/>
    </row>
    <row r="147" spans="1:8" s="65" customFormat="1" ht="12.75">
      <c r="A147" s="63" t="s">
        <v>119</v>
      </c>
      <c r="B147" s="63"/>
      <c r="C147" s="134"/>
      <c r="D147" s="134"/>
    </row>
    <row r="148" spans="1:8" s="65" customFormat="1" ht="12.75">
      <c r="A148" s="66" t="s">
        <v>120</v>
      </c>
      <c r="B148" s="66"/>
      <c r="C148" s="134" t="s">
        <v>121</v>
      </c>
      <c r="D148" s="134"/>
    </row>
  </sheetData>
  <customSheetViews>
    <customSheetView guid="{61528DAC-5C4C-48F4-ADE2-8A724B05A086}" scale="60" showPageBreaks="1" hiddenRows="1" view="pageBreakPreview" topLeftCell="A55">
      <selection activeCell="D78" sqref="D78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1"/>
      <headerFooter alignWithMargins="0"/>
    </customSheetView>
    <customSheetView guid="{5BFCA170-DEAE-4D2C-98A0-1E68B427AC01}" scale="67" showPageBreaks="1" hiddenRows="1" view="pageBreakPreview">
      <selection activeCell="H53" sqref="H53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2"/>
      <headerFooter alignWithMargins="0"/>
    </customSheetView>
    <customSheetView guid="{1A52382B-3765-4E8C-903F-6B8919B7242E}" scale="67" showPageBreaks="1" hiddenRows="1" view="pageBreakPreview" topLeftCell="A125">
      <selection activeCell="G145" sqref="G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3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4"/>
      <headerFooter alignWithMargins="0"/>
    </customSheetView>
    <customSheetView guid="{3DCB9AAA-F09C-4EA6-B992-F93E466D374A}" scale="67" showPageBreaks="1" fitToPage="1" hiddenRows="1" view="pageBreakPreview" topLeftCell="A115">
      <selection activeCell="D87" sqref="D87:D142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47" fitToHeight="2" orientation="portrait" r:id="rId5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6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7"/>
      <headerFooter alignWithMargins="0"/>
    </customSheetView>
    <customSheetView guid="{B31C8DB7-3E78-4144-A6B5-8DE36DE63F0E}" scale="67" showPageBreaks="1" hiddenRows="1" view="pageBreakPreview" topLeftCell="A110">
      <selection activeCell="C144" sqref="C144:C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8"/>
      <headerFooter alignWithMargins="0"/>
    </customSheetView>
    <customSheetView guid="{B30CE22D-C12F-4E12-8BB9-3AAE0A6991CC}" scale="60" showPageBreaks="1" hiddenRows="1" view="pageBreakPreview" topLeftCell="A95">
      <selection activeCell="C144" sqref="C144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9"/>
      <headerFooter alignWithMargins="0"/>
    </customSheetView>
  </customSheetViews>
  <phoneticPr fontId="0" type="noConversion"/>
  <pageMargins left="0.59055118110236227" right="0.55118110236220474" top="0.15748031496062992" bottom="0.15748031496062992" header="0.15748031496062992" footer="0.27559055118110237"/>
  <pageSetup paperSize="9" scale="39" orientation="portrait" r:id="rId10"/>
  <headerFooter alignWithMargins="0"/>
  <rowBreaks count="1" manualBreakCount="1"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142"/>
  <sheetViews>
    <sheetView view="pageBreakPreview" topLeftCell="A18" zoomScale="70" zoomScaleSheetLayoutView="70" workbookViewId="0">
      <selection activeCell="C38" sqref="C38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25" t="s">
        <v>423</v>
      </c>
      <c r="B1" s="525"/>
      <c r="C1" s="525"/>
      <c r="D1" s="525"/>
      <c r="E1" s="525"/>
      <c r="F1" s="525"/>
    </row>
    <row r="2" spans="1:6">
      <c r="A2" s="525"/>
      <c r="B2" s="525"/>
      <c r="C2" s="525"/>
      <c r="D2" s="525"/>
      <c r="E2" s="525"/>
      <c r="F2" s="525"/>
    </row>
    <row r="3" spans="1:6" ht="63">
      <c r="A3" s="2" t="s">
        <v>0</v>
      </c>
      <c r="B3" s="2" t="s">
        <v>1</v>
      </c>
      <c r="C3" s="72" t="s">
        <v>411</v>
      </c>
      <c r="D3" s="73" t="s">
        <v>422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C5+C7+C12+C14+C17+C20</f>
        <v>537.81500000000005</v>
      </c>
      <c r="D4" s="5">
        <f>D5+D12+D14+D17+D20+D7</f>
        <v>211.33177999999998</v>
      </c>
      <c r="E4" s="5">
        <f>SUM(D4/C4*100)</f>
        <v>39.294512053401256</v>
      </c>
      <c r="F4" s="5">
        <f>SUM(D4-C4)</f>
        <v>-326.48322000000007</v>
      </c>
    </row>
    <row r="5" spans="1:6" s="6" customFormat="1">
      <c r="A5" s="68">
        <v>1010000000</v>
      </c>
      <c r="B5" s="67" t="s">
        <v>5</v>
      </c>
      <c r="C5" s="5">
        <f>C6</f>
        <v>68.849999999999994</v>
      </c>
      <c r="D5" s="5">
        <f>D6</f>
        <v>34.334870000000002</v>
      </c>
      <c r="E5" s="5">
        <f t="shared" ref="E5:E47" si="0">SUM(D5/C5*100)</f>
        <v>49.869092229484394</v>
      </c>
      <c r="F5" s="5">
        <f t="shared" ref="F5:F47" si="1">SUM(D5-C5)</f>
        <v>-34.515129999999992</v>
      </c>
    </row>
    <row r="6" spans="1:6">
      <c r="A6" s="7">
        <v>1010200001</v>
      </c>
      <c r="B6" s="8" t="s">
        <v>228</v>
      </c>
      <c r="C6" s="9">
        <v>68.849999999999994</v>
      </c>
      <c r="D6" s="10">
        <v>34.334870000000002</v>
      </c>
      <c r="E6" s="9">
        <f t="shared" ref="E6:E11" si="2">SUM(D6/C6*100)</f>
        <v>49.869092229484394</v>
      </c>
      <c r="F6" s="9">
        <f t="shared" si="1"/>
        <v>-34.515129999999992</v>
      </c>
    </row>
    <row r="7" spans="1:6" ht="31.5">
      <c r="A7" s="3">
        <v>1030000000</v>
      </c>
      <c r="B7" s="13" t="s">
        <v>280</v>
      </c>
      <c r="C7" s="5">
        <f>C8+C10+C9</f>
        <v>221.96500000000003</v>
      </c>
      <c r="D7" s="5">
        <f>D8+D10+D9+D11</f>
        <v>107.54747999999999</v>
      </c>
      <c r="E7" s="9">
        <f t="shared" si="2"/>
        <v>48.452449710539938</v>
      </c>
      <c r="F7" s="9">
        <f t="shared" si="1"/>
        <v>-114.41752000000004</v>
      </c>
    </row>
    <row r="8" spans="1:6">
      <c r="A8" s="7">
        <v>1030223001</v>
      </c>
      <c r="B8" s="8" t="s">
        <v>282</v>
      </c>
      <c r="C8" s="9">
        <v>82.8</v>
      </c>
      <c r="D8" s="10">
        <v>48.585320000000003</v>
      </c>
      <c r="E8" s="9">
        <f t="shared" si="2"/>
        <v>58.67792270531401</v>
      </c>
      <c r="F8" s="9">
        <f t="shared" si="1"/>
        <v>-34.214679999999994</v>
      </c>
    </row>
    <row r="9" spans="1:6">
      <c r="A9" s="7">
        <v>1030224001</v>
      </c>
      <c r="B9" s="8" t="s">
        <v>286</v>
      </c>
      <c r="C9" s="9">
        <v>0.86499999999999999</v>
      </c>
      <c r="D9" s="10">
        <v>0.36496000000000001</v>
      </c>
      <c r="E9" s="9">
        <f t="shared" si="2"/>
        <v>42.191907514450868</v>
      </c>
      <c r="F9" s="9">
        <f t="shared" si="1"/>
        <v>-0.50004000000000004</v>
      </c>
    </row>
    <row r="10" spans="1:6">
      <c r="A10" s="7">
        <v>1030225001</v>
      </c>
      <c r="B10" s="8" t="s">
        <v>281</v>
      </c>
      <c r="C10" s="9">
        <v>138.30000000000001</v>
      </c>
      <c r="D10" s="10">
        <v>67.432850000000002</v>
      </c>
      <c r="E10" s="9">
        <f t="shared" si="2"/>
        <v>48.758387563268258</v>
      </c>
      <c r="F10" s="9">
        <f t="shared" si="1"/>
        <v>-70.867150000000009</v>
      </c>
    </row>
    <row r="11" spans="1:6">
      <c r="A11" s="7">
        <v>1030226001</v>
      </c>
      <c r="B11" s="8" t="s">
        <v>287</v>
      </c>
      <c r="C11" s="9">
        <v>0</v>
      </c>
      <c r="D11" s="10">
        <v>-8.8356499999999993</v>
      </c>
      <c r="E11" s="9" t="e">
        <f t="shared" si="2"/>
        <v>#DIV/0!</v>
      </c>
      <c r="F11" s="9">
        <f t="shared" si="1"/>
        <v>-8.8356499999999993</v>
      </c>
    </row>
    <row r="12" spans="1:6" s="6" customFormat="1">
      <c r="A12" s="68">
        <v>1050000000</v>
      </c>
      <c r="B12" s="67" t="s">
        <v>6</v>
      </c>
      <c r="C12" s="5">
        <f>C13</f>
        <v>2</v>
      </c>
      <c r="D12" s="5">
        <f>D13</f>
        <v>40.129199999999997</v>
      </c>
      <c r="E12" s="5">
        <f t="shared" si="0"/>
        <v>2006.4599999999998</v>
      </c>
      <c r="F12" s="5">
        <f t="shared" si="1"/>
        <v>38.129199999999997</v>
      </c>
    </row>
    <row r="13" spans="1:6" ht="15.75" customHeight="1">
      <c r="A13" s="7">
        <v>1050300000</v>
      </c>
      <c r="B13" s="11" t="s">
        <v>229</v>
      </c>
      <c r="C13" s="12">
        <v>2</v>
      </c>
      <c r="D13" s="10">
        <v>40.129199999999997</v>
      </c>
      <c r="E13" s="9">
        <f t="shared" si="0"/>
        <v>2006.4599999999998</v>
      </c>
      <c r="F13" s="9">
        <f t="shared" si="1"/>
        <v>38.129199999999997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240</v>
      </c>
      <c r="D14" s="5">
        <f>D15+D16</f>
        <v>28.820230000000002</v>
      </c>
      <c r="E14" s="5">
        <f t="shared" si="0"/>
        <v>12.008429166666668</v>
      </c>
      <c r="F14" s="5">
        <f t="shared" si="1"/>
        <v>-211.17976999999999</v>
      </c>
    </row>
    <row r="15" spans="1:6" s="6" customFormat="1" ht="15.75" customHeight="1">
      <c r="A15" s="7">
        <v>1060100000</v>
      </c>
      <c r="B15" s="11" t="s">
        <v>8</v>
      </c>
      <c r="C15" s="9">
        <v>40</v>
      </c>
      <c r="D15" s="10">
        <v>10.467420000000001</v>
      </c>
      <c r="E15" s="9">
        <f t="shared" si="0"/>
        <v>26.168550000000003</v>
      </c>
      <c r="F15" s="9">
        <f>SUM(D15-C15)</f>
        <v>-29.532579999999999</v>
      </c>
    </row>
    <row r="16" spans="1:6" ht="15" customHeight="1">
      <c r="A16" s="7">
        <v>1060600000</v>
      </c>
      <c r="B16" s="11" t="s">
        <v>7</v>
      </c>
      <c r="C16" s="9">
        <v>200</v>
      </c>
      <c r="D16" s="10">
        <v>18.352810000000002</v>
      </c>
      <c r="E16" s="9">
        <f t="shared" si="0"/>
        <v>9.1764050000000008</v>
      </c>
      <c r="F16" s="9">
        <f t="shared" si="1"/>
        <v>-181.64718999999999</v>
      </c>
    </row>
    <row r="17" spans="1:6" s="6" customFormat="1" ht="15" customHeight="1">
      <c r="A17" s="3">
        <v>1080000000</v>
      </c>
      <c r="B17" s="4" t="s">
        <v>10</v>
      </c>
      <c r="C17" s="5">
        <f>C18</f>
        <v>5</v>
      </c>
      <c r="D17" s="5">
        <f>D18</f>
        <v>0.5</v>
      </c>
      <c r="E17" s="9">
        <f t="shared" si="0"/>
        <v>10</v>
      </c>
      <c r="F17" s="5">
        <f t="shared" si="1"/>
        <v>-4.5</v>
      </c>
    </row>
    <row r="18" spans="1:6" ht="18.75" customHeight="1">
      <c r="A18" s="7">
        <v>1080402001</v>
      </c>
      <c r="B18" s="8" t="s">
        <v>227</v>
      </c>
      <c r="C18" s="9">
        <v>5</v>
      </c>
      <c r="D18" s="10">
        <v>0.5</v>
      </c>
      <c r="E18" s="9">
        <f t="shared" si="0"/>
        <v>10</v>
      </c>
      <c r="F18" s="9">
        <f t="shared" si="1"/>
        <v>-4.5</v>
      </c>
    </row>
    <row r="19" spans="1:6" ht="15" hidden="1" customHeight="1">
      <c r="A19" s="7">
        <v>1080714001</v>
      </c>
      <c r="B19" s="8" t="s">
        <v>226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230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125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C26+C31+C34+C29</f>
        <v>55</v>
      </c>
      <c r="D25" s="5">
        <f>D26+D31+D34+D29</f>
        <v>6.3845299999999998</v>
      </c>
      <c r="E25" s="5">
        <f t="shared" si="0"/>
        <v>11.608236363636363</v>
      </c>
      <c r="F25" s="5">
        <f t="shared" si="1"/>
        <v>-48.615470000000002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55</v>
      </c>
      <c r="D26" s="5">
        <f>D27+D28</f>
        <v>0</v>
      </c>
      <c r="E26" s="5">
        <f t="shared" si="0"/>
        <v>0</v>
      </c>
      <c r="F26" s="5">
        <f t="shared" si="1"/>
        <v>-55</v>
      </c>
    </row>
    <row r="27" spans="1:6" ht="22.5" customHeight="1">
      <c r="A27" s="16">
        <v>1110502000</v>
      </c>
      <c r="B27" s="17" t="s">
        <v>225</v>
      </c>
      <c r="C27" s="12">
        <v>55</v>
      </c>
      <c r="D27" s="10">
        <v>0</v>
      </c>
      <c r="E27" s="9">
        <f t="shared" si="0"/>
        <v>0</v>
      </c>
      <c r="F27" s="9">
        <f t="shared" si="1"/>
        <v>-55</v>
      </c>
    </row>
    <row r="28" spans="1:6" hidden="1">
      <c r="A28" s="7">
        <v>1110503505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5.5" customHeight="1">
      <c r="A29" s="68">
        <v>1130000000</v>
      </c>
      <c r="B29" s="69" t="s">
        <v>130</v>
      </c>
      <c r="C29" s="5">
        <f>C30</f>
        <v>0</v>
      </c>
      <c r="D29" s="5">
        <f>D30</f>
        <v>6.3845299999999998</v>
      </c>
      <c r="E29" s="9" t="e">
        <f t="shared" si="0"/>
        <v>#DIV/0!</v>
      </c>
      <c r="F29" s="5">
        <f t="shared" si="1"/>
        <v>6.3845299999999998</v>
      </c>
    </row>
    <row r="30" spans="1:6" ht="30.75" customHeight="1">
      <c r="A30" s="7">
        <v>1130200000</v>
      </c>
      <c r="B30" s="8" t="s">
        <v>223</v>
      </c>
      <c r="C30" s="9">
        <v>0</v>
      </c>
      <c r="D30" s="10">
        <v>6.3845299999999998</v>
      </c>
      <c r="E30" s="9" t="e">
        <f t="shared" si="0"/>
        <v>#DIV/0!</v>
      </c>
      <c r="F30" s="9">
        <f t="shared" si="1"/>
        <v>6.3845299999999998</v>
      </c>
    </row>
    <row r="31" spans="1:6" ht="25.5" customHeight="1">
      <c r="A31" s="70">
        <v>1140000000</v>
      </c>
      <c r="B31" s="71" t="s">
        <v>131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4.75" customHeight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27.75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>
      <c r="A34" s="3">
        <v>1170000000</v>
      </c>
      <c r="B34" s="13" t="s">
        <v>134</v>
      </c>
      <c r="C34" s="5">
        <v>0</v>
      </c>
      <c r="D34" s="365">
        <f>D35+D36</f>
        <v>0</v>
      </c>
      <c r="E34" s="9" t="e">
        <f t="shared" si="0"/>
        <v>#DIV/0!</v>
      </c>
      <c r="F34" s="5">
        <f t="shared" si="1"/>
        <v>0</v>
      </c>
    </row>
    <row r="35" spans="1:11" ht="18.75" customHeight="1">
      <c r="A35" s="7">
        <v>1170105005</v>
      </c>
      <c r="B35" s="8" t="s">
        <v>17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0.75" hidden="1" customHeight="1">
      <c r="A36" s="7">
        <v>1170505005</v>
      </c>
      <c r="B36" s="11" t="s">
        <v>220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18</v>
      </c>
      <c r="C37" s="127">
        <f>C25+C4</f>
        <v>592.81500000000005</v>
      </c>
      <c r="D37" s="127">
        <f>SUM(D4,D25)</f>
        <v>217.71630999999999</v>
      </c>
      <c r="E37" s="5">
        <f t="shared" si="0"/>
        <v>36.725843644307247</v>
      </c>
      <c r="F37" s="5">
        <f t="shared" si="1"/>
        <v>-375.09869000000003</v>
      </c>
    </row>
    <row r="38" spans="1:11" s="6" customFormat="1">
      <c r="A38" s="3">
        <v>2000000000</v>
      </c>
      <c r="B38" s="4" t="s">
        <v>19</v>
      </c>
      <c r="C38" s="277">
        <f>C39+C40+C41+C42+C43+C44</f>
        <v>3424.1271500000003</v>
      </c>
      <c r="D38" s="277">
        <f>D39+D40+D41+D42+D43+D45</f>
        <v>850.34299999999996</v>
      </c>
      <c r="E38" s="5">
        <f t="shared" si="0"/>
        <v>24.833861674792068</v>
      </c>
      <c r="F38" s="5">
        <f t="shared" si="1"/>
        <v>-2573.7841500000004</v>
      </c>
      <c r="G38" s="19"/>
    </row>
    <row r="39" spans="1:11">
      <c r="A39" s="16">
        <v>2021000000</v>
      </c>
      <c r="B39" s="17" t="s">
        <v>20</v>
      </c>
      <c r="C39" s="330">
        <v>1200.7</v>
      </c>
      <c r="D39" s="20">
        <v>500.29</v>
      </c>
      <c r="E39" s="9">
        <f t="shared" si="0"/>
        <v>41.666527858749063</v>
      </c>
      <c r="F39" s="9">
        <f t="shared" si="1"/>
        <v>-700.41000000000008</v>
      </c>
    </row>
    <row r="40" spans="1:11">
      <c r="A40" s="16">
        <v>2021500200</v>
      </c>
      <c r="B40" s="17" t="s">
        <v>231</v>
      </c>
      <c r="C40" s="327">
        <v>452.20800000000003</v>
      </c>
      <c r="D40" s="20">
        <v>112.5</v>
      </c>
      <c r="E40" s="9">
        <f>SUM(D40/C40*100)</f>
        <v>24.877932278951278</v>
      </c>
      <c r="F40" s="9">
        <f>SUM(D40-C40)</f>
        <v>-339.70800000000003</v>
      </c>
    </row>
    <row r="41" spans="1:11">
      <c r="A41" s="16">
        <v>2022000000</v>
      </c>
      <c r="B41" s="17" t="s">
        <v>21</v>
      </c>
      <c r="C41" s="327">
        <v>1188.7561900000001</v>
      </c>
      <c r="D41" s="10">
        <v>139.75200000000001</v>
      </c>
      <c r="E41" s="9">
        <f t="shared" si="0"/>
        <v>11.756153294983053</v>
      </c>
      <c r="F41" s="9">
        <f t="shared" si="1"/>
        <v>-1049.0041900000001</v>
      </c>
    </row>
    <row r="42" spans="1:11" ht="19.5" customHeight="1">
      <c r="A42" s="16">
        <v>2023000000</v>
      </c>
      <c r="B42" s="17" t="s">
        <v>22</v>
      </c>
      <c r="C42" s="327">
        <v>91.480999999999995</v>
      </c>
      <c r="D42" s="248">
        <v>37.301000000000002</v>
      </c>
      <c r="E42" s="9">
        <f t="shared" si="0"/>
        <v>40.774587072725488</v>
      </c>
      <c r="F42" s="9">
        <f t="shared" si="1"/>
        <v>-54.179999999999993</v>
      </c>
    </row>
    <row r="43" spans="1:11">
      <c r="A43" s="7">
        <v>2070500010</v>
      </c>
      <c r="B43" s="17" t="s">
        <v>356</v>
      </c>
      <c r="C43" s="327">
        <v>60.477960000000003</v>
      </c>
      <c r="D43" s="249">
        <v>60.5</v>
      </c>
      <c r="E43" s="9">
        <f t="shared" si="0"/>
        <v>100.03644302817092</v>
      </c>
      <c r="F43" s="9">
        <f t="shared" si="1"/>
        <v>2.2039999999996951E-2</v>
      </c>
    </row>
    <row r="44" spans="1:11" ht="15.75" customHeight="1">
      <c r="A44" s="16">
        <v>2024000000</v>
      </c>
      <c r="B44" s="18" t="s">
        <v>23</v>
      </c>
      <c r="C44" s="327">
        <v>430.50400000000002</v>
      </c>
      <c r="D44" s="249">
        <v>0</v>
      </c>
      <c r="E44" s="9">
        <f t="shared" si="0"/>
        <v>0</v>
      </c>
      <c r="F44" s="9">
        <f t="shared" si="1"/>
        <v>-430.50400000000002</v>
      </c>
    </row>
    <row r="45" spans="1:11" ht="17.25" customHeight="1">
      <c r="A45" s="7">
        <v>2190000010</v>
      </c>
      <c r="B45" s="11" t="s">
        <v>25</v>
      </c>
      <c r="C45" s="336">
        <v>0</v>
      </c>
      <c r="D45" s="324">
        <v>0</v>
      </c>
      <c r="E45" s="5" t="e">
        <f t="shared" si="0"/>
        <v>#DIV/0!</v>
      </c>
      <c r="F45" s="5">
        <f>SUM(D45-C45)</f>
        <v>0</v>
      </c>
    </row>
    <row r="46" spans="1:11" s="473" customFormat="1" ht="19.5" customHeight="1">
      <c r="A46" s="3">
        <v>3000000000</v>
      </c>
      <c r="B46" s="13" t="s">
        <v>26</v>
      </c>
      <c r="C46" s="337">
        <v>0</v>
      </c>
      <c r="D46" s="338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468"/>
      <c r="B47" s="469" t="s">
        <v>27</v>
      </c>
      <c r="C47" s="470">
        <f>C37+C38</f>
        <v>4016.9421500000003</v>
      </c>
      <c r="D47" s="471">
        <f>D37+D38</f>
        <v>1068.0593099999999</v>
      </c>
      <c r="E47" s="472">
        <f t="shared" si="0"/>
        <v>26.588864616832975</v>
      </c>
      <c r="F47" s="472">
        <f t="shared" si="1"/>
        <v>-2948.8828400000002</v>
      </c>
      <c r="G47" s="290"/>
      <c r="H47" s="290"/>
      <c r="K47" s="130"/>
    </row>
    <row r="48" spans="1:11" s="6" customFormat="1">
      <c r="A48" s="3"/>
      <c r="B48" s="21" t="s">
        <v>321</v>
      </c>
      <c r="C48" s="373">
        <f>C47-C94</f>
        <v>-213.83623999999918</v>
      </c>
      <c r="D48" s="373">
        <f>D47-D94</f>
        <v>238.66070999999988</v>
      </c>
      <c r="E48" s="22"/>
      <c r="F48" s="22"/>
    </row>
    <row r="49" spans="1:6">
      <c r="A49" s="23"/>
      <c r="B49" s="24"/>
      <c r="C49" s="247"/>
      <c r="D49" s="247"/>
      <c r="E49" s="26"/>
      <c r="F49" s="92"/>
    </row>
    <row r="50" spans="1:6" ht="50.25" customHeight="1">
      <c r="A50" s="28" t="s">
        <v>0</v>
      </c>
      <c r="B50" s="28" t="s">
        <v>28</v>
      </c>
      <c r="C50" s="240" t="s">
        <v>411</v>
      </c>
      <c r="D50" s="241" t="s">
        <v>419</v>
      </c>
      <c r="E50" s="72" t="s">
        <v>2</v>
      </c>
      <c r="F50" s="74" t="s">
        <v>3</v>
      </c>
    </row>
    <row r="51" spans="1:6">
      <c r="A51" s="88">
        <v>1</v>
      </c>
      <c r="B51" s="87">
        <v>2</v>
      </c>
      <c r="C51" s="87">
        <v>3</v>
      </c>
      <c r="D51" s="87">
        <v>4</v>
      </c>
      <c r="E51" s="87">
        <v>5</v>
      </c>
      <c r="F51" s="87">
        <v>6</v>
      </c>
    </row>
    <row r="52" spans="1:6" s="6" customFormat="1" ht="30.75" customHeight="1">
      <c r="A52" s="30" t="s">
        <v>29</v>
      </c>
      <c r="B52" s="31" t="s">
        <v>30</v>
      </c>
      <c r="C52" s="443">
        <f>C54+C57+C58+C59</f>
        <v>1083.4159999999999</v>
      </c>
      <c r="D52" s="443">
        <f>D54+D57+D58+D59</f>
        <v>358.75871000000001</v>
      </c>
      <c r="E52" s="34">
        <f>SUM(D52/C52*100)</f>
        <v>33.113661788269702</v>
      </c>
      <c r="F52" s="34">
        <f>SUM(D52-C52)</f>
        <v>-724.65728999999988</v>
      </c>
    </row>
    <row r="53" spans="1:6" s="6" customFormat="1" ht="31.5">
      <c r="A53" s="35" t="s">
        <v>31</v>
      </c>
      <c r="B53" s="36" t="s">
        <v>32</v>
      </c>
      <c r="C53" s="389"/>
      <c r="D53" s="395"/>
      <c r="E53" s="38"/>
      <c r="F53" s="38"/>
    </row>
    <row r="54" spans="1:6" ht="16.5" customHeight="1">
      <c r="A54" s="35" t="s">
        <v>33</v>
      </c>
      <c r="B54" s="39" t="s">
        <v>34</v>
      </c>
      <c r="C54" s="442">
        <v>1076.0999999999999</v>
      </c>
      <c r="D54" s="442">
        <v>356.44321000000002</v>
      </c>
      <c r="E54" s="38">
        <f>SUM(D54/C54*100)</f>
        <v>33.12361397639625</v>
      </c>
      <c r="F54" s="38">
        <f t="shared" ref="F54:F94" si="3">SUM(D54-C54)</f>
        <v>-719.65678999999989</v>
      </c>
    </row>
    <row r="55" spans="1:6" ht="0.75" hidden="1" customHeight="1">
      <c r="A55" s="35" t="s">
        <v>35</v>
      </c>
      <c r="B55" s="39" t="s">
        <v>36</v>
      </c>
      <c r="C55" s="442"/>
      <c r="D55" s="442"/>
      <c r="E55" s="38"/>
      <c r="F55" s="38">
        <f t="shared" si="3"/>
        <v>0</v>
      </c>
    </row>
    <row r="56" spans="1:6" ht="15.75" hidden="1" customHeight="1">
      <c r="A56" s="35" t="s">
        <v>37</v>
      </c>
      <c r="B56" s="39" t="s">
        <v>38</v>
      </c>
      <c r="C56" s="442"/>
      <c r="D56" s="442"/>
      <c r="E56" s="38" t="e">
        <f t="shared" ref="E56:E94" si="4">SUM(D56/C56*100)</f>
        <v>#DIV/0!</v>
      </c>
      <c r="F56" s="38">
        <f t="shared" si="3"/>
        <v>0</v>
      </c>
    </row>
    <row r="57" spans="1:6" ht="14.25" hidden="1" customHeight="1">
      <c r="A57" s="35" t="s">
        <v>39</v>
      </c>
      <c r="B57" s="39" t="s">
        <v>40</v>
      </c>
      <c r="C57" s="442">
        <v>0</v>
      </c>
      <c r="D57" s="442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41</v>
      </c>
      <c r="B58" s="39" t="s">
        <v>42</v>
      </c>
      <c r="C58" s="444">
        <v>5</v>
      </c>
      <c r="D58" s="444">
        <v>0</v>
      </c>
      <c r="E58" s="38">
        <f t="shared" si="4"/>
        <v>0</v>
      </c>
      <c r="F58" s="38">
        <f t="shared" si="3"/>
        <v>-5</v>
      </c>
    </row>
    <row r="59" spans="1:6" ht="17.25" customHeight="1">
      <c r="A59" s="35" t="s">
        <v>43</v>
      </c>
      <c r="B59" s="39" t="s">
        <v>44</v>
      </c>
      <c r="C59" s="442">
        <v>2.3159999999999998</v>
      </c>
      <c r="D59" s="442">
        <v>2.3155000000000001</v>
      </c>
      <c r="E59" s="38">
        <f t="shared" si="4"/>
        <v>99.978411053540597</v>
      </c>
      <c r="F59" s="38">
        <f t="shared" si="3"/>
        <v>-4.9999999999972289E-4</v>
      </c>
    </row>
    <row r="60" spans="1:6" s="6" customFormat="1">
      <c r="A60" s="41" t="s">
        <v>45</v>
      </c>
      <c r="B60" s="42" t="s">
        <v>46</v>
      </c>
      <c r="C60" s="443">
        <f>C61</f>
        <v>89.944999999999993</v>
      </c>
      <c r="D60" s="443">
        <f>D61</f>
        <v>31.78</v>
      </c>
      <c r="E60" s="34">
        <f t="shared" si="4"/>
        <v>35.332703318694762</v>
      </c>
      <c r="F60" s="34">
        <f t="shared" si="3"/>
        <v>-58.164999999999992</v>
      </c>
    </row>
    <row r="61" spans="1:6">
      <c r="A61" s="43" t="s">
        <v>47</v>
      </c>
      <c r="B61" s="44" t="s">
        <v>48</v>
      </c>
      <c r="C61" s="442">
        <v>89.944999999999993</v>
      </c>
      <c r="D61" s="442">
        <v>31.78</v>
      </c>
      <c r="E61" s="38">
        <f t="shared" si="4"/>
        <v>35.332703318694762</v>
      </c>
      <c r="F61" s="38">
        <f t="shared" si="3"/>
        <v>-58.164999999999992</v>
      </c>
    </row>
    <row r="62" spans="1:6" s="6" customFormat="1" ht="16.5" customHeight="1">
      <c r="A62" s="30" t="s">
        <v>49</v>
      </c>
      <c r="B62" s="31" t="s">
        <v>50</v>
      </c>
      <c r="C62" s="443">
        <f>C65+C66+C67</f>
        <v>14</v>
      </c>
      <c r="D62" s="443">
        <f>D65+D66</f>
        <v>0</v>
      </c>
      <c r="E62" s="34">
        <f t="shared" si="4"/>
        <v>0</v>
      </c>
      <c r="F62" s="34">
        <f t="shared" si="3"/>
        <v>-14</v>
      </c>
    </row>
    <row r="63" spans="1:6" ht="13.5" customHeight="1">
      <c r="A63" s="35" t="s">
        <v>51</v>
      </c>
      <c r="B63" s="39" t="s">
        <v>52</v>
      </c>
      <c r="C63" s="442"/>
      <c r="D63" s="442"/>
      <c r="E63" s="34" t="e">
        <f t="shared" si="4"/>
        <v>#DIV/0!</v>
      </c>
      <c r="F63" s="34">
        <f t="shared" si="3"/>
        <v>0</v>
      </c>
    </row>
    <row r="64" spans="1:6">
      <c r="A64" s="45" t="s">
        <v>53</v>
      </c>
      <c r="B64" s="39" t="s">
        <v>54</v>
      </c>
      <c r="C64" s="442"/>
      <c r="D64" s="442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55</v>
      </c>
      <c r="B65" s="47" t="s">
        <v>56</v>
      </c>
      <c r="C65" s="442">
        <v>2</v>
      </c>
      <c r="D65" s="442">
        <v>0</v>
      </c>
      <c r="E65" s="34">
        <f t="shared" si="4"/>
        <v>0</v>
      </c>
      <c r="F65" s="34">
        <f t="shared" si="3"/>
        <v>-2</v>
      </c>
    </row>
    <row r="66" spans="1:7" ht="15.75" customHeight="1">
      <c r="A66" s="46" t="s">
        <v>218</v>
      </c>
      <c r="B66" s="47" t="s">
        <v>219</v>
      </c>
      <c r="C66" s="442">
        <v>10</v>
      </c>
      <c r="D66" s="442">
        <v>0</v>
      </c>
      <c r="E66" s="38">
        <f t="shared" si="4"/>
        <v>0</v>
      </c>
      <c r="F66" s="38">
        <f t="shared" si="3"/>
        <v>-10</v>
      </c>
    </row>
    <row r="67" spans="1:7" ht="15.75" customHeight="1">
      <c r="A67" s="46" t="s">
        <v>357</v>
      </c>
      <c r="B67" s="47" t="s">
        <v>413</v>
      </c>
      <c r="C67" s="442">
        <v>2</v>
      </c>
      <c r="D67" s="442"/>
      <c r="E67" s="38"/>
      <c r="F67" s="38"/>
    </row>
    <row r="68" spans="1:7" s="6" customFormat="1">
      <c r="A68" s="30" t="s">
        <v>57</v>
      </c>
      <c r="B68" s="31" t="s">
        <v>58</v>
      </c>
      <c r="C68" s="401">
        <f>C71+C72+C69+C70</f>
        <v>2169.4978899999996</v>
      </c>
      <c r="D68" s="401">
        <f>D71+D72+D69+D70</f>
        <v>158.80862999999999</v>
      </c>
      <c r="E68" s="34">
        <f t="shared" si="4"/>
        <v>7.320063814397165</v>
      </c>
      <c r="F68" s="34">
        <f t="shared" si="3"/>
        <v>-2010.6892599999996</v>
      </c>
    </row>
    <row r="69" spans="1:7" ht="16.5" customHeight="1">
      <c r="A69" s="35" t="s">
        <v>59</v>
      </c>
      <c r="B69" s="39" t="s">
        <v>60</v>
      </c>
      <c r="C69" s="445">
        <v>4.0214999999999996</v>
      </c>
      <c r="D69" s="442">
        <v>0</v>
      </c>
      <c r="E69" s="38">
        <f t="shared" si="4"/>
        <v>0</v>
      </c>
      <c r="F69" s="38">
        <f t="shared" si="3"/>
        <v>-4.0214999999999996</v>
      </c>
    </row>
    <row r="70" spans="1:7" s="6" customFormat="1">
      <c r="A70" s="35" t="s">
        <v>61</v>
      </c>
      <c r="B70" s="39" t="s">
        <v>62</v>
      </c>
      <c r="C70" s="445">
        <v>5.2629999999999999</v>
      </c>
      <c r="D70" s="442">
        <v>0</v>
      </c>
      <c r="E70" s="38">
        <f t="shared" si="4"/>
        <v>0</v>
      </c>
      <c r="F70" s="38">
        <f t="shared" si="3"/>
        <v>-5.2629999999999999</v>
      </c>
      <c r="G70" s="50"/>
    </row>
    <row r="71" spans="1:7" ht="15.75" customHeight="1">
      <c r="A71" s="35" t="s">
        <v>63</v>
      </c>
      <c r="B71" s="39" t="s">
        <v>64</v>
      </c>
      <c r="C71" s="445">
        <v>2092.5013899999999</v>
      </c>
      <c r="D71" s="442">
        <v>158.80862999999999</v>
      </c>
      <c r="E71" s="38">
        <f t="shared" si="4"/>
        <v>7.5894157470547725</v>
      </c>
      <c r="F71" s="38">
        <f t="shared" si="3"/>
        <v>-1933.6927599999999</v>
      </c>
    </row>
    <row r="72" spans="1:7">
      <c r="A72" s="35" t="s">
        <v>65</v>
      </c>
      <c r="B72" s="39" t="s">
        <v>66</v>
      </c>
      <c r="C72" s="445">
        <v>67.712000000000003</v>
      </c>
      <c r="D72" s="442">
        <v>0</v>
      </c>
      <c r="E72" s="38">
        <f t="shared" si="4"/>
        <v>0</v>
      </c>
      <c r="F72" s="38">
        <f t="shared" si="3"/>
        <v>-67.712000000000003</v>
      </c>
    </row>
    <row r="73" spans="1:7" s="6" customFormat="1" ht="18" customHeight="1">
      <c r="A73" s="30" t="s">
        <v>67</v>
      </c>
      <c r="B73" s="31" t="s">
        <v>68</v>
      </c>
      <c r="C73" s="443">
        <f>C76</f>
        <v>583.81949999999995</v>
      </c>
      <c r="D73" s="443">
        <f>D76</f>
        <v>164.49626000000001</v>
      </c>
      <c r="E73" s="34">
        <f t="shared" si="4"/>
        <v>28.175876276828717</v>
      </c>
      <c r="F73" s="34">
        <f t="shared" si="3"/>
        <v>-419.32323999999994</v>
      </c>
    </row>
    <row r="74" spans="1:7" ht="0.75" hidden="1" customHeight="1">
      <c r="A74" s="35" t="s">
        <v>69</v>
      </c>
      <c r="B74" s="51" t="s">
        <v>70</v>
      </c>
      <c r="C74" s="442"/>
      <c r="D74" s="442"/>
      <c r="E74" s="38" t="e">
        <f t="shared" si="4"/>
        <v>#DIV/0!</v>
      </c>
      <c r="F74" s="38">
        <f t="shared" si="3"/>
        <v>0</v>
      </c>
    </row>
    <row r="75" spans="1:7" hidden="1">
      <c r="A75" s="35" t="s">
        <v>71</v>
      </c>
      <c r="B75" s="51" t="s">
        <v>72</v>
      </c>
      <c r="C75" s="442"/>
      <c r="D75" s="442"/>
      <c r="E75" s="38" t="e">
        <f t="shared" si="4"/>
        <v>#DIV/0!</v>
      </c>
      <c r="F75" s="38">
        <f t="shared" si="3"/>
        <v>0</v>
      </c>
    </row>
    <row r="76" spans="1:7" ht="16.5" customHeight="1">
      <c r="A76" s="35" t="s">
        <v>73</v>
      </c>
      <c r="B76" s="39" t="s">
        <v>74</v>
      </c>
      <c r="C76" s="442">
        <v>583.81949999999995</v>
      </c>
      <c r="D76" s="442">
        <v>164.49626000000001</v>
      </c>
      <c r="E76" s="38">
        <f t="shared" si="4"/>
        <v>28.175876276828717</v>
      </c>
      <c r="F76" s="38">
        <f t="shared" si="3"/>
        <v>-419.32323999999994</v>
      </c>
    </row>
    <row r="77" spans="1:7" s="6" customFormat="1">
      <c r="A77" s="30" t="s">
        <v>85</v>
      </c>
      <c r="B77" s="31" t="s">
        <v>86</v>
      </c>
      <c r="C77" s="443">
        <f>C78</f>
        <v>276.10000000000002</v>
      </c>
      <c r="D77" s="443">
        <f>D78</f>
        <v>115.55500000000001</v>
      </c>
      <c r="E77" s="34">
        <f t="shared" si="4"/>
        <v>41.852589641434264</v>
      </c>
      <c r="F77" s="34">
        <f t="shared" si="3"/>
        <v>-160.54500000000002</v>
      </c>
    </row>
    <row r="78" spans="1:7" ht="14.25" customHeight="1">
      <c r="A78" s="35" t="s">
        <v>87</v>
      </c>
      <c r="B78" s="39" t="s">
        <v>233</v>
      </c>
      <c r="C78" s="442">
        <v>276.10000000000002</v>
      </c>
      <c r="D78" s="442">
        <v>115.55500000000001</v>
      </c>
      <c r="E78" s="38">
        <f t="shared" si="4"/>
        <v>41.852589641434264</v>
      </c>
      <c r="F78" s="38">
        <f t="shared" si="3"/>
        <v>-160.54500000000002</v>
      </c>
    </row>
    <row r="79" spans="1:7" s="6" customFormat="1" ht="0.75" hidden="1" customHeight="1">
      <c r="A79" s="52">
        <v>1000</v>
      </c>
      <c r="B79" s="31" t="s">
        <v>88</v>
      </c>
      <c r="C79" s="443"/>
      <c r="D79" s="443"/>
      <c r="E79" s="34" t="e">
        <f t="shared" si="4"/>
        <v>#DIV/0!</v>
      </c>
      <c r="F79" s="34">
        <f t="shared" si="3"/>
        <v>0</v>
      </c>
    </row>
    <row r="80" spans="1:7" ht="16.5" hidden="1" customHeight="1">
      <c r="A80" s="53">
        <v>1001</v>
      </c>
      <c r="B80" s="54" t="s">
        <v>89</v>
      </c>
      <c r="C80" s="442"/>
      <c r="D80" s="442"/>
      <c r="E80" s="38" t="e">
        <f t="shared" si="4"/>
        <v>#DIV/0!</v>
      </c>
      <c r="F80" s="38">
        <f t="shared" si="3"/>
        <v>0</v>
      </c>
    </row>
    <row r="81" spans="1:7" ht="15.75" hidden="1" customHeight="1">
      <c r="A81" s="53">
        <v>1003</v>
      </c>
      <c r="B81" s="54" t="s">
        <v>90</v>
      </c>
      <c r="C81" s="442"/>
      <c r="D81" s="442"/>
      <c r="E81" s="38" t="e">
        <f t="shared" si="4"/>
        <v>#DIV/0!</v>
      </c>
      <c r="F81" s="38">
        <f t="shared" si="3"/>
        <v>0</v>
      </c>
    </row>
    <row r="82" spans="1:7" ht="16.5" hidden="1" customHeight="1">
      <c r="A82" s="53">
        <v>1004</v>
      </c>
      <c r="B82" s="54" t="s">
        <v>91</v>
      </c>
      <c r="C82" s="442"/>
      <c r="D82" s="446"/>
      <c r="E82" s="38" t="e">
        <f t="shared" si="4"/>
        <v>#DIV/0!</v>
      </c>
      <c r="F82" s="38">
        <f t="shared" si="3"/>
        <v>0</v>
      </c>
    </row>
    <row r="83" spans="1:7" ht="0.75" customHeight="1">
      <c r="A83" s="35" t="s">
        <v>92</v>
      </c>
      <c r="B83" s="39" t="s">
        <v>93</v>
      </c>
      <c r="C83" s="442"/>
      <c r="D83" s="442"/>
      <c r="E83" s="38"/>
      <c r="F83" s="38">
        <f t="shared" si="3"/>
        <v>0</v>
      </c>
    </row>
    <row r="84" spans="1:7" ht="12" customHeight="1">
      <c r="A84" s="30" t="s">
        <v>94</v>
      </c>
      <c r="B84" s="31" t="s">
        <v>95</v>
      </c>
      <c r="C84" s="443">
        <f>C85</f>
        <v>14</v>
      </c>
      <c r="D84" s="443">
        <v>0</v>
      </c>
      <c r="E84" s="38">
        <f t="shared" si="4"/>
        <v>0</v>
      </c>
      <c r="F84" s="22">
        <f>F85+F86+F87+F88+F89</f>
        <v>-14</v>
      </c>
    </row>
    <row r="85" spans="1:7" ht="11.25" customHeight="1">
      <c r="A85" s="35" t="s">
        <v>96</v>
      </c>
      <c r="B85" s="39" t="s">
        <v>97</v>
      </c>
      <c r="C85" s="442">
        <v>14</v>
      </c>
      <c r="D85" s="442">
        <v>0</v>
      </c>
      <c r="E85" s="38">
        <v>0</v>
      </c>
      <c r="F85" s="38">
        <f>SUM(D85-C85)</f>
        <v>-14</v>
      </c>
    </row>
    <row r="86" spans="1:7" ht="14.25" hidden="1" customHeight="1">
      <c r="A86" s="35" t="s">
        <v>98</v>
      </c>
      <c r="B86" s="39" t="s">
        <v>99</v>
      </c>
      <c r="C86" s="442"/>
      <c r="D86" s="442"/>
      <c r="E86" s="38" t="e">
        <f t="shared" si="4"/>
        <v>#DIV/0!</v>
      </c>
      <c r="F86" s="38">
        <f>SUM(D86-C86)</f>
        <v>0</v>
      </c>
    </row>
    <row r="87" spans="1:7" ht="15.75" hidden="1" customHeight="1">
      <c r="A87" s="35" t="s">
        <v>100</v>
      </c>
      <c r="B87" s="39" t="s">
        <v>101</v>
      </c>
      <c r="C87" s="442"/>
      <c r="D87" s="442"/>
      <c r="E87" s="38" t="e">
        <f t="shared" si="4"/>
        <v>#DIV/0!</v>
      </c>
      <c r="F87" s="38"/>
    </row>
    <row r="88" spans="1:7" ht="9.75" hidden="1" customHeight="1">
      <c r="A88" s="35" t="s">
        <v>102</v>
      </c>
      <c r="B88" s="39" t="s">
        <v>103</v>
      </c>
      <c r="C88" s="442"/>
      <c r="D88" s="442"/>
      <c r="E88" s="38" t="e">
        <f t="shared" si="4"/>
        <v>#DIV/0!</v>
      </c>
      <c r="F88" s="38"/>
    </row>
    <row r="89" spans="1:7" ht="11.25" hidden="1" customHeight="1">
      <c r="A89" s="35" t="s">
        <v>104</v>
      </c>
      <c r="B89" s="39" t="s">
        <v>105</v>
      </c>
      <c r="C89" s="442"/>
      <c r="D89" s="442"/>
      <c r="E89" s="38" t="e">
        <f t="shared" si="4"/>
        <v>#DIV/0!</v>
      </c>
      <c r="F89" s="38"/>
    </row>
    <row r="90" spans="1:7" s="6" customFormat="1" ht="17.25" hidden="1" customHeight="1">
      <c r="A90" s="52">
        <v>1400</v>
      </c>
      <c r="B90" s="56" t="s">
        <v>114</v>
      </c>
      <c r="C90" s="401">
        <v>0</v>
      </c>
      <c r="D90" s="401">
        <f>SUM(D91:D93)</f>
        <v>0</v>
      </c>
      <c r="E90" s="34" t="e">
        <f t="shared" si="4"/>
        <v>#DIV/0!</v>
      </c>
      <c r="F90" s="34">
        <f t="shared" si="3"/>
        <v>0</v>
      </c>
    </row>
    <row r="91" spans="1:7" ht="18.75" hidden="1" customHeight="1">
      <c r="A91" s="53">
        <v>1401</v>
      </c>
      <c r="B91" s="54" t="s">
        <v>115</v>
      </c>
      <c r="C91" s="445"/>
      <c r="D91" s="442"/>
      <c r="E91" s="38" t="e">
        <f t="shared" si="4"/>
        <v>#DIV/0!</v>
      </c>
      <c r="F91" s="38">
        <f t="shared" si="3"/>
        <v>0</v>
      </c>
    </row>
    <row r="92" spans="1:7" ht="15.75" hidden="1" customHeight="1">
      <c r="A92" s="53">
        <v>1402</v>
      </c>
      <c r="B92" s="54" t="s">
        <v>116</v>
      </c>
      <c r="C92" s="445"/>
      <c r="D92" s="442"/>
      <c r="E92" s="38" t="e">
        <f t="shared" si="4"/>
        <v>#DIV/0!</v>
      </c>
      <c r="F92" s="38">
        <f t="shared" si="3"/>
        <v>0</v>
      </c>
    </row>
    <row r="93" spans="1:7" ht="12.75" hidden="1" customHeight="1">
      <c r="A93" s="53">
        <v>1403</v>
      </c>
      <c r="B93" s="54" t="s">
        <v>117</v>
      </c>
      <c r="C93" s="445"/>
      <c r="D93" s="442"/>
      <c r="E93" s="38" t="e">
        <f t="shared" si="4"/>
        <v>#DIV/0!</v>
      </c>
      <c r="F93" s="38">
        <f t="shared" si="3"/>
        <v>0</v>
      </c>
    </row>
    <row r="94" spans="1:7" s="6" customFormat="1">
      <c r="A94" s="52"/>
      <c r="B94" s="57" t="s">
        <v>118</v>
      </c>
      <c r="C94" s="447">
        <f>C52+C60+C62+C68+C73+C77+C84</f>
        <v>4230.7783899999995</v>
      </c>
      <c r="D94" s="447">
        <f>D52+D60+D62+D68+D73+D77+D79+D84+D90</f>
        <v>829.39859999999999</v>
      </c>
      <c r="E94" s="128">
        <f t="shared" si="4"/>
        <v>19.603924468376611</v>
      </c>
      <c r="F94" s="34">
        <f t="shared" si="3"/>
        <v>-3401.3797899999995</v>
      </c>
      <c r="G94" s="290">
        <f>C94-2813.74646</f>
        <v>1417.0319299999996</v>
      </c>
    </row>
    <row r="95" spans="1:7">
      <c r="C95" s="126"/>
      <c r="D95" s="101"/>
    </row>
    <row r="96" spans="1:7" s="65" customFormat="1" ht="16.5" customHeight="1">
      <c r="A96" s="63" t="s">
        <v>119</v>
      </c>
      <c r="B96" s="63"/>
      <c r="C96" s="246"/>
      <c r="D96" s="246"/>
    </row>
    <row r="97" spans="1:3" s="65" customFormat="1" ht="20.25" customHeight="1">
      <c r="A97" s="66" t="s">
        <v>120</v>
      </c>
      <c r="B97" s="66"/>
      <c r="C97" s="65" t="s">
        <v>121</v>
      </c>
    </row>
    <row r="98" spans="1:3" ht="13.5" customHeight="1"/>
    <row r="100" spans="1:3" ht="5.25" customHeight="1"/>
    <row r="142" hidden="1"/>
  </sheetData>
  <customSheetViews>
    <customSheetView guid="{61528DAC-5C4C-48F4-ADE2-8A724B05A086}" scale="70" showPageBreaks="1" printArea="1" hiddenRows="1" view="pageBreakPreview" topLeftCell="A29">
      <selection activeCell="C70" sqref="C70"/>
      <pageMargins left="0.74803149606299213" right="0.74803149606299213" top="0.19685039370078741" bottom="0.15748031496062992" header="0.51181102362204722" footer="0.23622047244094491"/>
      <pageSetup paperSize="9" scale="60" orientation="portrait" r:id="rId1"/>
      <headerFooter alignWithMargins="0"/>
    </customSheetView>
    <customSheetView guid="{5BFCA170-DEAE-4D2C-98A0-1E68B427AC01}" showPageBreaks="1" hiddenRows="1">
      <selection activeCell="C69" sqref="C69"/>
      <pageMargins left="0.75" right="0.75" top="0.18" bottom="0.17" header="0.5" footer="0.25"/>
      <pageSetup paperSize="9" scale="63" orientation="portrait" r:id="rId2"/>
      <headerFooter alignWithMargins="0"/>
    </customSheetView>
    <customSheetView guid="{1A52382B-3765-4E8C-903F-6B8919B7242E}" hiddenRows="1" topLeftCell="A42">
      <selection activeCell="A67" sqref="A67:XFD67"/>
      <pageMargins left="0.75" right="0.75" top="0.18" bottom="0.17" header="0.5" footer="0.25"/>
      <pageSetup paperSize="9" scale="63" orientation="portrait" r:id="rId3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5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6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7"/>
      <headerFooter alignWithMargins="0"/>
    </customSheetView>
    <customSheetView guid="{B31C8DB7-3E78-4144-A6B5-8DE36DE63F0E}" hiddenRows="1" topLeftCell="A28">
      <selection activeCell="D42" sqref="D42"/>
      <pageMargins left="0.75" right="0.75" top="0.18" bottom="0.17" header="0.5" footer="0.25"/>
      <pageSetup paperSize="9" scale="63" orientation="portrait" r:id="rId8"/>
      <headerFooter alignWithMargins="0"/>
    </customSheetView>
    <customSheetView guid="{B30CE22D-C12F-4E12-8BB9-3AAE0A6991CC}" scale="70" showPageBreaks="1" hiddenRows="1" view="pageBreakPreview">
      <selection activeCell="A67" sqref="A67:XFD67"/>
      <pageMargins left="0.74803149606299213" right="0.74803149606299213" top="0.19685039370078741" bottom="0.15748031496062992" header="0.51181102362204722" footer="0.23622047244094491"/>
      <pageSetup paperSize="9" scale="60" orientation="portrait" r:id="rId9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19685039370078741" bottom="0.15748031496062992" header="0.51181102362204722" footer="0.23622047244094491"/>
  <pageSetup paperSize="9" scale="60" orientation="portrait" r:id="rId1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H142"/>
  <sheetViews>
    <sheetView view="pageBreakPreview" topLeftCell="A33" zoomScale="70" zoomScaleSheetLayoutView="70" workbookViewId="0">
      <selection activeCell="C44" sqref="C44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5" t="s">
        <v>425</v>
      </c>
      <c r="B1" s="525"/>
      <c r="C1" s="525"/>
      <c r="D1" s="525"/>
      <c r="E1" s="525"/>
      <c r="F1" s="525"/>
    </row>
    <row r="2" spans="1:6">
      <c r="A2" s="525"/>
      <c r="B2" s="525"/>
      <c r="C2" s="525"/>
      <c r="D2" s="525"/>
      <c r="E2" s="525"/>
      <c r="F2" s="525"/>
    </row>
    <row r="3" spans="1:6" ht="63">
      <c r="A3" s="2" t="s">
        <v>0</v>
      </c>
      <c r="B3" s="2" t="s">
        <v>1</v>
      </c>
      <c r="C3" s="135" t="s">
        <v>411</v>
      </c>
      <c r="D3" s="73" t="s">
        <v>422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365">
        <f>C5+C12+C14+C17+C7</f>
        <v>3515.44</v>
      </c>
      <c r="D4" s="365">
        <f>D5+D12+D14+D17+D7</f>
        <v>714.02537000000007</v>
      </c>
      <c r="E4" s="5">
        <f>SUM(D4/C4*100)</f>
        <v>20.311123785358305</v>
      </c>
      <c r="F4" s="5">
        <f>SUM(D4-C4)</f>
        <v>-2801.4146300000002</v>
      </c>
    </row>
    <row r="5" spans="1:6" s="6" customFormat="1">
      <c r="A5" s="68">
        <v>1010000000</v>
      </c>
      <c r="B5" s="67" t="s">
        <v>5</v>
      </c>
      <c r="C5" s="365">
        <f>C6</f>
        <v>443.71499999999997</v>
      </c>
      <c r="D5" s="365">
        <f>D6</f>
        <v>142.13004000000001</v>
      </c>
      <c r="E5" s="5">
        <f t="shared" ref="E5:E52" si="0">SUM(D5/C5*100)</f>
        <v>32.031831243027625</v>
      </c>
      <c r="F5" s="5">
        <f t="shared" ref="F5:F52" si="1">SUM(D5-C5)</f>
        <v>-301.58495999999997</v>
      </c>
    </row>
    <row r="6" spans="1:6">
      <c r="A6" s="7">
        <v>1010200001</v>
      </c>
      <c r="B6" s="8" t="s">
        <v>228</v>
      </c>
      <c r="C6" s="456">
        <v>443.71499999999997</v>
      </c>
      <c r="D6" s="454">
        <v>142.13004000000001</v>
      </c>
      <c r="E6" s="9">
        <f t="shared" ref="E6:E11" si="2">SUM(D6/C6*100)</f>
        <v>32.031831243027625</v>
      </c>
      <c r="F6" s="9">
        <f t="shared" si="1"/>
        <v>-301.58495999999997</v>
      </c>
    </row>
    <row r="7" spans="1:6" ht="31.5">
      <c r="A7" s="3">
        <v>1030000000</v>
      </c>
      <c r="B7" s="13" t="s">
        <v>280</v>
      </c>
      <c r="C7" s="365">
        <f>C8+C10+C9</f>
        <v>635.72500000000002</v>
      </c>
      <c r="D7" s="365">
        <f>D8+D10+D9+D11</f>
        <v>308.02425999999997</v>
      </c>
      <c r="E7" s="5">
        <f t="shared" si="2"/>
        <v>48.452437767902786</v>
      </c>
      <c r="F7" s="5">
        <f t="shared" si="1"/>
        <v>-327.70074000000005</v>
      </c>
    </row>
    <row r="8" spans="1:6">
      <c r="A8" s="7">
        <v>1030223001</v>
      </c>
      <c r="B8" s="8" t="s">
        <v>282</v>
      </c>
      <c r="C8" s="456">
        <v>237.12</v>
      </c>
      <c r="D8" s="454">
        <v>139.15199999999999</v>
      </c>
      <c r="E8" s="9">
        <f t="shared" si="2"/>
        <v>58.68421052631578</v>
      </c>
      <c r="F8" s="9">
        <f t="shared" si="1"/>
        <v>-97.968000000000018</v>
      </c>
    </row>
    <row r="9" spans="1:6">
      <c r="A9" s="7">
        <v>1030224001</v>
      </c>
      <c r="B9" s="8" t="s">
        <v>288</v>
      </c>
      <c r="C9" s="456">
        <v>2.5049999999999999</v>
      </c>
      <c r="D9" s="454">
        <v>1.0453600000000001</v>
      </c>
      <c r="E9" s="9">
        <f t="shared" si="2"/>
        <v>41.730938123752495</v>
      </c>
      <c r="F9" s="9">
        <f t="shared" si="1"/>
        <v>-1.4596399999999998</v>
      </c>
    </row>
    <row r="10" spans="1:6">
      <c r="A10" s="7">
        <v>1030225001</v>
      </c>
      <c r="B10" s="8" t="s">
        <v>281</v>
      </c>
      <c r="C10" s="456">
        <v>396.1</v>
      </c>
      <c r="D10" s="454">
        <v>193.13292999999999</v>
      </c>
      <c r="E10" s="9">
        <f t="shared" si="2"/>
        <v>48.758629134057053</v>
      </c>
      <c r="F10" s="9">
        <f t="shared" si="1"/>
        <v>-202.96707000000004</v>
      </c>
    </row>
    <row r="11" spans="1:6">
      <c r="A11" s="7">
        <v>1030226001</v>
      </c>
      <c r="B11" s="8" t="s">
        <v>290</v>
      </c>
      <c r="C11" s="456">
        <v>0</v>
      </c>
      <c r="D11" s="454">
        <v>-25.30603</v>
      </c>
      <c r="E11" s="9" t="e">
        <f t="shared" si="2"/>
        <v>#DIV/0!</v>
      </c>
      <c r="F11" s="9">
        <f t="shared" si="1"/>
        <v>-25.30603</v>
      </c>
    </row>
    <row r="12" spans="1:6" s="6" customFormat="1">
      <c r="A12" s="68">
        <v>1050000000</v>
      </c>
      <c r="B12" s="67" t="s">
        <v>6</v>
      </c>
      <c r="C12" s="365">
        <f>SUM(C13:C13)</f>
        <v>40</v>
      </c>
      <c r="D12" s="365">
        <f>SUM(D13:D13)</f>
        <v>38.018050000000002</v>
      </c>
      <c r="E12" s="5">
        <f t="shared" si="0"/>
        <v>95.045125000000013</v>
      </c>
      <c r="F12" s="5">
        <f t="shared" si="1"/>
        <v>-1.9819499999999977</v>
      </c>
    </row>
    <row r="13" spans="1:6" ht="15.75" customHeight="1">
      <c r="A13" s="7">
        <v>1050300000</v>
      </c>
      <c r="B13" s="11" t="s">
        <v>229</v>
      </c>
      <c r="C13" s="463">
        <v>40</v>
      </c>
      <c r="D13" s="454">
        <v>38.018050000000002</v>
      </c>
      <c r="E13" s="9">
        <f t="shared" si="0"/>
        <v>95.045125000000013</v>
      </c>
      <c r="F13" s="9">
        <f t="shared" si="1"/>
        <v>-1.9819499999999977</v>
      </c>
    </row>
    <row r="14" spans="1:6" s="6" customFormat="1" ht="15.75" customHeight="1">
      <c r="A14" s="68">
        <v>1060000000</v>
      </c>
      <c r="B14" s="67" t="s">
        <v>135</v>
      </c>
      <c r="C14" s="365">
        <f>C15+C16</f>
        <v>2383</v>
      </c>
      <c r="D14" s="365">
        <f>D15+D16</f>
        <v>220.63301999999999</v>
      </c>
      <c r="E14" s="5">
        <f t="shared" si="0"/>
        <v>9.2586244229962222</v>
      </c>
      <c r="F14" s="5">
        <f t="shared" si="1"/>
        <v>-2162.3669799999998</v>
      </c>
    </row>
    <row r="15" spans="1:6" s="6" customFormat="1" ht="15.75" customHeight="1">
      <c r="A15" s="7">
        <v>1060100000</v>
      </c>
      <c r="B15" s="11" t="s">
        <v>8</v>
      </c>
      <c r="C15" s="456">
        <v>1098</v>
      </c>
      <c r="D15" s="454">
        <v>31.01736</v>
      </c>
      <c r="E15" s="5">
        <f t="shared" si="0"/>
        <v>2.8248961748633881</v>
      </c>
      <c r="F15" s="9">
        <f>SUM(D15-C15)</f>
        <v>-1066.9826399999999</v>
      </c>
    </row>
    <row r="16" spans="1:6" ht="15" customHeight="1">
      <c r="A16" s="7">
        <v>1060600000</v>
      </c>
      <c r="B16" s="11" t="s">
        <v>7</v>
      </c>
      <c r="C16" s="456">
        <v>1285</v>
      </c>
      <c r="D16" s="454">
        <v>189.61565999999999</v>
      </c>
      <c r="E16" s="5">
        <f t="shared" si="0"/>
        <v>14.756082490272373</v>
      </c>
      <c r="F16" s="9">
        <f t="shared" si="1"/>
        <v>-1095.3843400000001</v>
      </c>
    </row>
    <row r="17" spans="1:6" s="6" customFormat="1" ht="18" customHeight="1">
      <c r="A17" s="3">
        <v>1080000000</v>
      </c>
      <c r="B17" s="4" t="s">
        <v>10</v>
      </c>
      <c r="C17" s="365">
        <f>C18</f>
        <v>13</v>
      </c>
      <c r="D17" s="365">
        <f>D18</f>
        <v>5.22</v>
      </c>
      <c r="E17" s="5">
        <f t="shared" si="0"/>
        <v>40.153846153846153</v>
      </c>
      <c r="F17" s="5">
        <f t="shared" si="1"/>
        <v>-7.78</v>
      </c>
    </row>
    <row r="18" spans="1:6" ht="18" customHeight="1">
      <c r="A18" s="7">
        <v>1080400001</v>
      </c>
      <c r="B18" s="8" t="s">
        <v>227</v>
      </c>
      <c r="C18" s="456">
        <v>13</v>
      </c>
      <c r="D18" s="454">
        <v>5.22</v>
      </c>
      <c r="E18" s="9">
        <f t="shared" si="0"/>
        <v>40.153846153846153</v>
      </c>
      <c r="F18" s="9">
        <f t="shared" si="1"/>
        <v>-7.78</v>
      </c>
    </row>
    <row r="19" spans="1:6" ht="0.75" hidden="1" customHeight="1">
      <c r="A19" s="7">
        <v>1080714001</v>
      </c>
      <c r="B19" s="8" t="s">
        <v>11</v>
      </c>
      <c r="C19" s="456"/>
      <c r="D19" s="454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365">
        <f>C21+C22+C23+C24</f>
        <v>0</v>
      </c>
      <c r="D20" s="36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124</v>
      </c>
      <c r="C21" s="365"/>
      <c r="D21" s="455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125</v>
      </c>
      <c r="C22" s="365"/>
      <c r="D22" s="455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365"/>
      <c r="D23" s="455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127</v>
      </c>
      <c r="C24" s="365"/>
      <c r="D24" s="455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365">
        <f>C26+C30+C32+C37+C35</f>
        <v>420</v>
      </c>
      <c r="D25" s="365">
        <f>D26+D30+D32+D35+D37</f>
        <v>182.70638</v>
      </c>
      <c r="E25" s="5">
        <f t="shared" si="0"/>
        <v>43.501519047619048</v>
      </c>
      <c r="F25" s="5">
        <f t="shared" si="1"/>
        <v>-237.29362</v>
      </c>
    </row>
    <row r="26" spans="1:6" s="6" customFormat="1" ht="30.75" customHeight="1">
      <c r="A26" s="68">
        <v>1110000000</v>
      </c>
      <c r="B26" s="69" t="s">
        <v>128</v>
      </c>
      <c r="C26" s="365">
        <f>C28+C29</f>
        <v>220</v>
      </c>
      <c r="D26" s="365">
        <f>D28+D29</f>
        <v>47.965000000000003</v>
      </c>
      <c r="E26" s="5">
        <f t="shared" si="0"/>
        <v>21.802272727272729</v>
      </c>
      <c r="F26" s="5">
        <f t="shared" si="1"/>
        <v>-172.035</v>
      </c>
    </row>
    <row r="27" spans="1:6">
      <c r="A27" s="16">
        <v>1110502501</v>
      </c>
      <c r="B27" s="17" t="s">
        <v>225</v>
      </c>
      <c r="C27" s="463">
        <v>0</v>
      </c>
      <c r="D27" s="454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327</v>
      </c>
      <c r="C28" s="463">
        <v>200</v>
      </c>
      <c r="D28" s="454">
        <v>27.2</v>
      </c>
      <c r="E28" s="9">
        <f t="shared" si="0"/>
        <v>13.600000000000001</v>
      </c>
      <c r="F28" s="9">
        <f t="shared" si="1"/>
        <v>-172.8</v>
      </c>
    </row>
    <row r="29" spans="1:6">
      <c r="A29" s="7">
        <v>1110503000</v>
      </c>
      <c r="B29" s="11" t="s">
        <v>224</v>
      </c>
      <c r="C29" s="463">
        <v>20</v>
      </c>
      <c r="D29" s="454">
        <v>20.765000000000001</v>
      </c>
      <c r="E29" s="9">
        <f>SUM(D29/C29*100)</f>
        <v>103.82500000000002</v>
      </c>
      <c r="F29" s="9">
        <f t="shared" si="1"/>
        <v>0.76500000000000057</v>
      </c>
    </row>
    <row r="30" spans="1:6" s="15" customFormat="1" ht="35.25" customHeight="1">
      <c r="A30" s="68">
        <v>1130000000</v>
      </c>
      <c r="B30" s="69" t="s">
        <v>130</v>
      </c>
      <c r="C30" s="365">
        <f>C31</f>
        <v>200</v>
      </c>
      <c r="D30" s="365">
        <f>D31</f>
        <v>133.95569</v>
      </c>
      <c r="E30" s="5">
        <f t="shared" si="0"/>
        <v>66.977845000000002</v>
      </c>
      <c r="F30" s="5">
        <f t="shared" si="1"/>
        <v>-66.044309999999996</v>
      </c>
    </row>
    <row r="31" spans="1:6" ht="18" customHeight="1">
      <c r="A31" s="7">
        <v>1130206005</v>
      </c>
      <c r="B31" s="8" t="s">
        <v>223</v>
      </c>
      <c r="C31" s="456">
        <v>200</v>
      </c>
      <c r="D31" s="454">
        <v>133.95569</v>
      </c>
      <c r="E31" s="9">
        <f>SUM(D31/C31*100)</f>
        <v>66.977845000000002</v>
      </c>
      <c r="F31" s="9">
        <f t="shared" si="1"/>
        <v>-66.044309999999996</v>
      </c>
    </row>
    <row r="32" spans="1:6" ht="17.25" customHeight="1">
      <c r="A32" s="70">
        <v>1140000000</v>
      </c>
      <c r="B32" s="71" t="s">
        <v>131</v>
      </c>
      <c r="C32" s="365">
        <f>C33+C34</f>
        <v>0</v>
      </c>
      <c r="D32" s="365">
        <f>D33+D34</f>
        <v>0</v>
      </c>
      <c r="E32" s="5" t="e">
        <f t="shared" si="0"/>
        <v>#DIV/0!</v>
      </c>
      <c r="F32" s="5">
        <f t="shared" si="1"/>
        <v>0</v>
      </c>
    </row>
    <row r="33" spans="1:7" ht="19.5" customHeight="1">
      <c r="A33" s="16">
        <v>1140200000</v>
      </c>
      <c r="B33" s="18" t="s">
        <v>132</v>
      </c>
      <c r="C33" s="456">
        <v>0</v>
      </c>
      <c r="D33" s="454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7">
        <v>1140600000</v>
      </c>
      <c r="B34" s="8" t="s">
        <v>222</v>
      </c>
      <c r="C34" s="456">
        <v>0</v>
      </c>
      <c r="D34" s="454">
        <v>0</v>
      </c>
      <c r="E34" s="9" t="e">
        <f t="shared" si="0"/>
        <v>#DIV/0!</v>
      </c>
      <c r="F34" s="9">
        <f t="shared" si="1"/>
        <v>0</v>
      </c>
    </row>
    <row r="35" spans="1:7" hidden="1">
      <c r="A35" s="100">
        <v>1163305010</v>
      </c>
      <c r="B35" s="13" t="s">
        <v>251</v>
      </c>
      <c r="C35" s="365">
        <f>C36</f>
        <v>0</v>
      </c>
      <c r="D35" s="455">
        <f>D36</f>
        <v>0</v>
      </c>
      <c r="E35" s="9" t="e">
        <f t="shared" si="0"/>
        <v>#DIV/0!</v>
      </c>
      <c r="F35" s="9">
        <f t="shared" si="1"/>
        <v>0</v>
      </c>
    </row>
    <row r="36" spans="1:7" ht="47.25" hidden="1">
      <c r="A36" s="7">
        <v>1163305010</v>
      </c>
      <c r="B36" s="8" t="s">
        <v>267</v>
      </c>
      <c r="C36" s="456">
        <v>0</v>
      </c>
      <c r="D36" s="454">
        <v>0</v>
      </c>
      <c r="E36" s="9" t="e">
        <f t="shared" si="0"/>
        <v>#DIV/0!</v>
      </c>
      <c r="F36" s="9">
        <f t="shared" si="1"/>
        <v>0</v>
      </c>
    </row>
    <row r="37" spans="1:7">
      <c r="A37" s="3">
        <v>1170000000</v>
      </c>
      <c r="B37" s="13" t="s">
        <v>134</v>
      </c>
      <c r="C37" s="365">
        <f>C38+C39</f>
        <v>0</v>
      </c>
      <c r="D37" s="365">
        <f>D38+D39</f>
        <v>0.78569</v>
      </c>
      <c r="E37" s="5" t="e">
        <f t="shared" si="0"/>
        <v>#DIV/0!</v>
      </c>
      <c r="F37" s="5">
        <f t="shared" si="1"/>
        <v>0.78569</v>
      </c>
    </row>
    <row r="38" spans="1:7">
      <c r="A38" s="7">
        <v>1170105005</v>
      </c>
      <c r="B38" s="8" t="s">
        <v>17</v>
      </c>
      <c r="C38" s="456">
        <v>0</v>
      </c>
      <c r="D38" s="456">
        <v>0.78569</v>
      </c>
      <c r="E38" s="9" t="e">
        <f t="shared" si="0"/>
        <v>#DIV/0!</v>
      </c>
      <c r="F38" s="9">
        <f t="shared" si="1"/>
        <v>0.78569</v>
      </c>
    </row>
    <row r="39" spans="1:7">
      <c r="A39" s="7">
        <v>1170505005</v>
      </c>
      <c r="B39" s="11" t="s">
        <v>220</v>
      </c>
      <c r="C39" s="456">
        <v>0</v>
      </c>
      <c r="D39" s="454">
        <v>0</v>
      </c>
      <c r="E39" s="9" t="e">
        <f t="shared" si="0"/>
        <v>#DIV/0!</v>
      </c>
      <c r="F39" s="9">
        <f t="shared" si="1"/>
        <v>0</v>
      </c>
    </row>
    <row r="40" spans="1:7" s="6" customFormat="1" ht="19.5" customHeight="1">
      <c r="A40" s="3">
        <v>1000000000</v>
      </c>
      <c r="B40" s="4" t="s">
        <v>18</v>
      </c>
      <c r="C40" s="449">
        <f>SUM(C4,C25)</f>
        <v>3935.44</v>
      </c>
      <c r="D40" s="449">
        <f>D4+D25</f>
        <v>896.73175000000003</v>
      </c>
      <c r="E40" s="5">
        <f t="shared" si="0"/>
        <v>22.786060770841381</v>
      </c>
      <c r="F40" s="5">
        <f t="shared" si="1"/>
        <v>-3038.7082500000001</v>
      </c>
    </row>
    <row r="41" spans="1:7" s="6" customFormat="1" ht="20.25" customHeight="1">
      <c r="A41" s="3">
        <v>2000000000</v>
      </c>
      <c r="B41" s="4" t="s">
        <v>19</v>
      </c>
      <c r="C41" s="457">
        <f>C42+C43+C44+C46+C47+C45+C48</f>
        <v>8720.1092700000008</v>
      </c>
      <c r="D41" s="457">
        <f>D42+D43+D44+D46+D47+D45+D48</f>
        <v>2233.4768800000002</v>
      </c>
      <c r="E41" s="5">
        <f t="shared" si="0"/>
        <v>25.612946017590442</v>
      </c>
      <c r="F41" s="5">
        <f t="shared" si="1"/>
        <v>-6486.6323900000007</v>
      </c>
      <c r="G41" s="19"/>
    </row>
    <row r="42" spans="1:7" ht="19.5" customHeight="1">
      <c r="A42" s="16">
        <v>2021000000</v>
      </c>
      <c r="B42" s="17" t="s">
        <v>20</v>
      </c>
      <c r="C42" s="464">
        <v>3003</v>
      </c>
      <c r="D42" s="458">
        <v>1251</v>
      </c>
      <c r="E42" s="9">
        <f t="shared" si="0"/>
        <v>41.658341658341655</v>
      </c>
      <c r="F42" s="9">
        <f t="shared" si="1"/>
        <v>-1752</v>
      </c>
    </row>
    <row r="43" spans="1:7" ht="27.75" customHeight="1">
      <c r="A43" s="16">
        <v>2021500200</v>
      </c>
      <c r="B43" s="17" t="s">
        <v>231</v>
      </c>
      <c r="C43" s="463">
        <v>0</v>
      </c>
      <c r="D43" s="459">
        <v>0</v>
      </c>
      <c r="E43" s="9" t="e">
        <f t="shared" si="0"/>
        <v>#DIV/0!</v>
      </c>
      <c r="F43" s="9">
        <f t="shared" si="1"/>
        <v>0</v>
      </c>
    </row>
    <row r="44" spans="1:7" ht="21" customHeight="1">
      <c r="A44" s="16">
        <v>2022000000</v>
      </c>
      <c r="B44" s="17" t="s">
        <v>21</v>
      </c>
      <c r="C44" s="463">
        <v>4805.0308999999997</v>
      </c>
      <c r="D44" s="454">
        <v>538.78700000000003</v>
      </c>
      <c r="E44" s="9">
        <f t="shared" si="0"/>
        <v>11.212976798962938</v>
      </c>
      <c r="F44" s="9">
        <f t="shared" si="1"/>
        <v>-4266.2438999999995</v>
      </c>
    </row>
    <row r="45" spans="1:7" ht="23.25" customHeight="1">
      <c r="A45" s="16">
        <v>2022999910</v>
      </c>
      <c r="B45" s="18" t="s">
        <v>349</v>
      </c>
      <c r="C45" s="463">
        <v>0</v>
      </c>
      <c r="D45" s="454">
        <v>0</v>
      </c>
      <c r="E45" s="9" t="e">
        <f>SUM(D45/C45*100)</f>
        <v>#DIV/0!</v>
      </c>
      <c r="F45" s="9">
        <f>SUM(D45-C45)</f>
        <v>0</v>
      </c>
    </row>
    <row r="46" spans="1:7" ht="21" customHeight="1">
      <c r="A46" s="16">
        <v>2023000000</v>
      </c>
      <c r="B46" s="17" t="s">
        <v>22</v>
      </c>
      <c r="C46" s="463">
        <v>183.01900000000001</v>
      </c>
      <c r="D46" s="460">
        <v>74.599000000000004</v>
      </c>
      <c r="E46" s="9">
        <f t="shared" si="0"/>
        <v>40.76024893590283</v>
      </c>
      <c r="F46" s="9">
        <f t="shared" si="1"/>
        <v>-108.42</v>
      </c>
    </row>
    <row r="47" spans="1:7" ht="17.25" customHeight="1">
      <c r="A47" s="16">
        <v>2020400000</v>
      </c>
      <c r="B47" s="17" t="s">
        <v>23</v>
      </c>
      <c r="C47" s="463">
        <v>360</v>
      </c>
      <c r="D47" s="461">
        <v>0</v>
      </c>
      <c r="E47" s="9">
        <f t="shared" si="0"/>
        <v>0</v>
      </c>
      <c r="F47" s="9">
        <f t="shared" si="1"/>
        <v>-360</v>
      </c>
    </row>
    <row r="48" spans="1:7" ht="16.5" customHeight="1">
      <c r="A48" s="7">
        <v>2070500010</v>
      </c>
      <c r="B48" s="17" t="s">
        <v>350</v>
      </c>
      <c r="C48" s="463">
        <v>369.05937</v>
      </c>
      <c r="D48" s="461">
        <v>369.09088000000003</v>
      </c>
      <c r="E48" s="9">
        <f t="shared" si="0"/>
        <v>100.00853792168995</v>
      </c>
      <c r="F48" s="9">
        <f t="shared" si="1"/>
        <v>3.1510000000025684E-2</v>
      </c>
    </row>
    <row r="49" spans="1:8" ht="47.25" hidden="1">
      <c r="A49" s="16">
        <v>2020900000</v>
      </c>
      <c r="B49" s="18" t="s">
        <v>24</v>
      </c>
      <c r="C49" s="463"/>
      <c r="D49" s="461"/>
      <c r="E49" s="9" t="e">
        <f t="shared" si="0"/>
        <v>#DIV/0!</v>
      </c>
      <c r="F49" s="9">
        <f t="shared" si="1"/>
        <v>0</v>
      </c>
    </row>
    <row r="50" spans="1:8" hidden="1">
      <c r="A50" s="7">
        <v>2190500005</v>
      </c>
      <c r="B50" s="11" t="s">
        <v>25</v>
      </c>
      <c r="C50" s="455">
        <v>0</v>
      </c>
      <c r="D50" s="455"/>
      <c r="E50" s="5"/>
      <c r="F50" s="5">
        <f>SUM(D50-C50)</f>
        <v>0</v>
      </c>
    </row>
    <row r="51" spans="1:8" s="6" customFormat="1" ht="31.5" hidden="1">
      <c r="A51" s="3">
        <v>3000000000</v>
      </c>
      <c r="B51" s="13" t="s">
        <v>26</v>
      </c>
      <c r="C51" s="465">
        <v>0</v>
      </c>
      <c r="D51" s="455">
        <v>0</v>
      </c>
      <c r="E51" s="5" t="e">
        <f t="shared" si="0"/>
        <v>#DIV/0!</v>
      </c>
      <c r="F51" s="5">
        <f t="shared" si="1"/>
        <v>0</v>
      </c>
    </row>
    <row r="52" spans="1:8" s="6" customFormat="1" ht="23.25" customHeight="1">
      <c r="A52" s="3"/>
      <c r="B52" s="4" t="s">
        <v>27</v>
      </c>
      <c r="C52" s="365">
        <f>SUM(C40,C41,C51)</f>
        <v>12655.549270000001</v>
      </c>
      <c r="D52" s="462">
        <f>D40+D41</f>
        <v>3130.2086300000001</v>
      </c>
      <c r="E52" s="5">
        <f t="shared" si="0"/>
        <v>24.733882056151955</v>
      </c>
      <c r="F52" s="5">
        <f t="shared" si="1"/>
        <v>-9525.3406400000022</v>
      </c>
      <c r="G52" s="94">
        <f>D52-1187.43232</f>
        <v>1942.7763100000002</v>
      </c>
      <c r="H52" s="94"/>
    </row>
    <row r="53" spans="1:8" s="6" customFormat="1">
      <c r="A53" s="3"/>
      <c r="B53" s="21" t="s">
        <v>320</v>
      </c>
      <c r="C53" s="365">
        <f>C52-C101</f>
        <v>-1205.1446799999976</v>
      </c>
      <c r="D53" s="365">
        <f>D52-D101</f>
        <v>-584.84593000000041</v>
      </c>
      <c r="E53" s="22"/>
      <c r="F53" s="22"/>
    </row>
    <row r="54" spans="1:8" ht="32.25" customHeight="1">
      <c r="A54" s="23"/>
      <c r="B54" s="24"/>
      <c r="C54" s="115"/>
      <c r="D54" s="115"/>
      <c r="E54" s="26"/>
      <c r="F54" s="27"/>
    </row>
    <row r="55" spans="1:8" ht="63">
      <c r="A55" s="28" t="s">
        <v>0</v>
      </c>
      <c r="B55" s="28" t="s">
        <v>28</v>
      </c>
      <c r="C55" s="146" t="s">
        <v>411</v>
      </c>
      <c r="D55" s="147" t="s">
        <v>424</v>
      </c>
      <c r="E55" s="72" t="s">
        <v>2</v>
      </c>
      <c r="F55" s="74" t="s">
        <v>3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7.25" customHeight="1">
      <c r="A57" s="30" t="s">
        <v>29</v>
      </c>
      <c r="B57" s="31" t="s">
        <v>30</v>
      </c>
      <c r="C57" s="102">
        <f>C58+C59+C60+C61+C62+C64+C63</f>
        <v>1760.6429999999998</v>
      </c>
      <c r="D57" s="102">
        <f>D58+D59+D60+D61+D62+D64+D63</f>
        <v>605.29217999999992</v>
      </c>
      <c r="E57" s="34">
        <f>SUM(D57/C57*100)</f>
        <v>34.37904106624682</v>
      </c>
      <c r="F57" s="34">
        <f>SUM(D57-C57)</f>
        <v>-1155.3508199999999</v>
      </c>
    </row>
    <row r="58" spans="1:8" s="6" customFormat="1" ht="0.75" hidden="1" customHeight="1">
      <c r="A58" s="35" t="s">
        <v>31</v>
      </c>
      <c r="B58" s="36" t="s">
        <v>32</v>
      </c>
      <c r="C58" s="92"/>
      <c r="D58" s="92"/>
      <c r="E58" s="38"/>
      <c r="F58" s="38"/>
    </row>
    <row r="59" spans="1:8" ht="16.5" customHeight="1">
      <c r="A59" s="35" t="s">
        <v>33</v>
      </c>
      <c r="B59" s="39" t="s">
        <v>34</v>
      </c>
      <c r="C59" s="148">
        <v>1746.6</v>
      </c>
      <c r="D59" s="92">
        <v>596.54967999999997</v>
      </c>
      <c r="E59" s="38">
        <f t="shared" ref="E59:E101" si="3">SUM(D59/C59*100)</f>
        <v>34.154911256154811</v>
      </c>
      <c r="F59" s="38">
        <f t="shared" ref="F59:F101" si="4">SUM(D59-C59)</f>
        <v>-1150.0503199999998</v>
      </c>
    </row>
    <row r="60" spans="1:8" ht="12.75" hidden="1" customHeight="1">
      <c r="A60" s="35" t="s">
        <v>35</v>
      </c>
      <c r="B60" s="39" t="s">
        <v>36</v>
      </c>
      <c r="C60" s="92"/>
      <c r="D60" s="92"/>
      <c r="E60" s="38" t="e">
        <f t="shared" si="3"/>
        <v>#DIV/0!</v>
      </c>
      <c r="F60" s="38">
        <f t="shared" si="4"/>
        <v>0</v>
      </c>
    </row>
    <row r="61" spans="1:8" ht="12.75" hidden="1" customHeight="1">
      <c r="A61" s="35" t="s">
        <v>37</v>
      </c>
      <c r="B61" s="39" t="s">
        <v>38</v>
      </c>
      <c r="C61" s="92"/>
      <c r="D61" s="92"/>
      <c r="E61" s="38" t="e">
        <f t="shared" si="3"/>
        <v>#DIV/0!</v>
      </c>
      <c r="F61" s="38">
        <f t="shared" si="4"/>
        <v>0</v>
      </c>
    </row>
    <row r="62" spans="1:8" ht="16.5" hidden="1" customHeight="1">
      <c r="A62" s="35" t="s">
        <v>39</v>
      </c>
      <c r="B62" s="39" t="s">
        <v>40</v>
      </c>
      <c r="C62" s="92">
        <v>0</v>
      </c>
      <c r="D62" s="92">
        <v>0</v>
      </c>
      <c r="E62" s="38" t="e">
        <f t="shared" si="3"/>
        <v>#DIV/0!</v>
      </c>
      <c r="F62" s="38">
        <f t="shared" si="4"/>
        <v>0</v>
      </c>
    </row>
    <row r="63" spans="1:8" ht="18" customHeight="1">
      <c r="A63" s="35" t="s">
        <v>41</v>
      </c>
      <c r="B63" s="39" t="s">
        <v>42</v>
      </c>
      <c r="C63" s="104">
        <v>5</v>
      </c>
      <c r="D63" s="104">
        <v>0</v>
      </c>
      <c r="E63" s="38">
        <f t="shared" si="3"/>
        <v>0</v>
      </c>
      <c r="F63" s="38">
        <f t="shared" si="4"/>
        <v>-5</v>
      </c>
    </row>
    <row r="64" spans="1:8" ht="18" customHeight="1">
      <c r="A64" s="35" t="s">
        <v>43</v>
      </c>
      <c r="B64" s="39" t="s">
        <v>44</v>
      </c>
      <c r="C64" s="92">
        <v>9.0429999999999993</v>
      </c>
      <c r="D64" s="92">
        <v>8.7424999999999997</v>
      </c>
      <c r="E64" s="38">
        <f t="shared" si="3"/>
        <v>96.676987725312401</v>
      </c>
      <c r="F64" s="38">
        <f t="shared" si="4"/>
        <v>-0.30049999999999955</v>
      </c>
    </row>
    <row r="65" spans="1:7" s="6" customFormat="1" ht="15.75" customHeight="1">
      <c r="A65" s="41" t="s">
        <v>45</v>
      </c>
      <c r="B65" s="42" t="s">
        <v>46</v>
      </c>
      <c r="C65" s="22">
        <f>C66</f>
        <v>179.892</v>
      </c>
      <c r="D65" s="22">
        <f>D66</f>
        <v>59.920349999999999</v>
      </c>
      <c r="E65" s="34">
        <f t="shared" si="3"/>
        <v>33.309068774598096</v>
      </c>
      <c r="F65" s="34">
        <f t="shared" si="4"/>
        <v>-119.97165</v>
      </c>
    </row>
    <row r="66" spans="1:7">
      <c r="A66" s="43" t="s">
        <v>47</v>
      </c>
      <c r="B66" s="44" t="s">
        <v>48</v>
      </c>
      <c r="C66" s="92">
        <v>179.892</v>
      </c>
      <c r="D66" s="92">
        <v>59.920349999999999</v>
      </c>
      <c r="E66" s="38">
        <f t="shared" si="3"/>
        <v>33.309068774598096</v>
      </c>
      <c r="F66" s="38">
        <f t="shared" si="4"/>
        <v>-119.97165</v>
      </c>
    </row>
    <row r="67" spans="1:7" s="6" customFormat="1" ht="20.25" customHeight="1">
      <c r="A67" s="30" t="s">
        <v>49</v>
      </c>
      <c r="B67" s="31" t="s">
        <v>50</v>
      </c>
      <c r="C67" s="400">
        <f>C70+C72+C71</f>
        <v>6.5</v>
      </c>
      <c r="D67" s="400">
        <f>D70+D72</f>
        <v>2.1</v>
      </c>
      <c r="E67" s="34">
        <f t="shared" si="3"/>
        <v>32.307692307692307</v>
      </c>
      <c r="F67" s="34">
        <f t="shared" si="4"/>
        <v>-4.4000000000000004</v>
      </c>
    </row>
    <row r="68" spans="1:7" ht="0.75" hidden="1" customHeight="1">
      <c r="A68" s="35" t="s">
        <v>51</v>
      </c>
      <c r="B68" s="39" t="s">
        <v>52</v>
      </c>
      <c r="C68" s="92"/>
      <c r="D68" s="92"/>
      <c r="E68" s="34" t="e">
        <f t="shared" si="3"/>
        <v>#DIV/0!</v>
      </c>
      <c r="F68" s="34">
        <f t="shared" si="4"/>
        <v>0</v>
      </c>
    </row>
    <row r="69" spans="1:7" ht="16.5" hidden="1" customHeight="1">
      <c r="A69" s="45" t="s">
        <v>53</v>
      </c>
      <c r="B69" s="39" t="s">
        <v>54</v>
      </c>
      <c r="C69" s="92">
        <v>0</v>
      </c>
      <c r="D69" s="92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55</v>
      </c>
      <c r="B70" s="47" t="s">
        <v>56</v>
      </c>
      <c r="C70" s="92">
        <v>2.4</v>
      </c>
      <c r="D70" s="92">
        <v>0</v>
      </c>
      <c r="E70" s="34">
        <f t="shared" si="3"/>
        <v>0</v>
      </c>
      <c r="F70" s="34">
        <f t="shared" si="4"/>
        <v>-2.4</v>
      </c>
    </row>
    <row r="71" spans="1:7" ht="15.75" customHeight="1">
      <c r="A71" s="46" t="s">
        <v>357</v>
      </c>
      <c r="B71" s="47" t="s">
        <v>358</v>
      </c>
      <c r="C71" s="92">
        <v>2</v>
      </c>
      <c r="D71" s="92">
        <v>0</v>
      </c>
      <c r="E71" s="34">
        <v>0</v>
      </c>
      <c r="F71" s="34">
        <v>0</v>
      </c>
    </row>
    <row r="72" spans="1:7" ht="15" customHeight="1">
      <c r="A72" s="46" t="s">
        <v>218</v>
      </c>
      <c r="B72" s="47" t="s">
        <v>219</v>
      </c>
      <c r="C72" s="92">
        <v>2.1</v>
      </c>
      <c r="D72" s="92">
        <v>2.1</v>
      </c>
      <c r="E72" s="38">
        <f t="shared" si="3"/>
        <v>100</v>
      </c>
      <c r="F72" s="38">
        <f t="shared" si="4"/>
        <v>0</v>
      </c>
    </row>
    <row r="73" spans="1:7" s="6" customFormat="1" ht="17.25" customHeight="1">
      <c r="A73" s="422"/>
      <c r="B73" s="31" t="s">
        <v>58</v>
      </c>
      <c r="C73" s="401">
        <f>C75+C76+C77+C74</f>
        <v>5093.1170399999992</v>
      </c>
      <c r="D73" s="105">
        <f>SUM(D74:D77)</f>
        <v>1271.6328800000001</v>
      </c>
      <c r="E73" s="34">
        <f t="shared" si="3"/>
        <v>24.967674412602943</v>
      </c>
      <c r="F73" s="34">
        <f t="shared" si="4"/>
        <v>-3821.4841599999991</v>
      </c>
    </row>
    <row r="74" spans="1:7" ht="15.75" customHeight="1">
      <c r="A74" s="35" t="s">
        <v>59</v>
      </c>
      <c r="B74" s="39" t="s">
        <v>60</v>
      </c>
      <c r="C74" s="106">
        <v>8.0429999999999993</v>
      </c>
      <c r="D74" s="92">
        <v>0</v>
      </c>
      <c r="E74" s="38">
        <f t="shared" si="3"/>
        <v>0</v>
      </c>
      <c r="F74" s="38">
        <f t="shared" si="4"/>
        <v>-8.0429999999999993</v>
      </c>
    </row>
    <row r="75" spans="1:7" s="6" customFormat="1" ht="19.5" customHeight="1">
      <c r="A75" s="35" t="s">
        <v>61</v>
      </c>
      <c r="B75" s="39" t="s">
        <v>62</v>
      </c>
      <c r="C75" s="106">
        <v>1300</v>
      </c>
      <c r="D75" s="92">
        <v>657.37483999999995</v>
      </c>
      <c r="E75" s="38">
        <f t="shared" si="3"/>
        <v>50.567295384615385</v>
      </c>
      <c r="F75" s="38">
        <f t="shared" si="4"/>
        <v>-642.62516000000005</v>
      </c>
      <c r="G75" s="50"/>
    </row>
    <row r="76" spans="1:7">
      <c r="A76" s="35" t="s">
        <v>63</v>
      </c>
      <c r="B76" s="39" t="s">
        <v>64</v>
      </c>
      <c r="C76" s="106">
        <v>3763.07404</v>
      </c>
      <c r="D76" s="92">
        <v>612.25804000000005</v>
      </c>
      <c r="E76" s="38">
        <f t="shared" si="3"/>
        <v>16.270156619081565</v>
      </c>
      <c r="F76" s="38">
        <f t="shared" si="4"/>
        <v>-3150.8159999999998</v>
      </c>
    </row>
    <row r="77" spans="1:7">
      <c r="A77" s="35" t="s">
        <v>65</v>
      </c>
      <c r="B77" s="39" t="s">
        <v>66</v>
      </c>
      <c r="C77" s="106">
        <v>22</v>
      </c>
      <c r="D77" s="92">
        <v>2</v>
      </c>
      <c r="E77" s="38">
        <f t="shared" si="3"/>
        <v>9.0909090909090917</v>
      </c>
      <c r="F77" s="38">
        <f t="shared" si="4"/>
        <v>-20</v>
      </c>
    </row>
    <row r="78" spans="1:7" s="6" customFormat="1" ht="24" customHeight="1">
      <c r="A78" s="30" t="s">
        <v>67</v>
      </c>
      <c r="B78" s="31" t="s">
        <v>68</v>
      </c>
      <c r="C78" s="22">
        <f>SUM(C79:C82)</f>
        <v>3804.2639100000001</v>
      </c>
      <c r="D78" s="22">
        <f>SUM(D79:D82)</f>
        <v>482.24936000000002</v>
      </c>
      <c r="E78" s="34">
        <f t="shared" si="3"/>
        <v>12.676548510011232</v>
      </c>
      <c r="F78" s="34">
        <f t="shared" si="4"/>
        <v>-3322.0145499999999</v>
      </c>
    </row>
    <row r="79" spans="1:7" ht="2.25" hidden="1" customHeight="1">
      <c r="A79" s="35" t="s">
        <v>69</v>
      </c>
      <c r="B79" s="51" t="s">
        <v>70</v>
      </c>
      <c r="C79" s="92">
        <v>0</v>
      </c>
      <c r="D79" s="92">
        <v>0</v>
      </c>
      <c r="E79" s="38" t="e">
        <f t="shared" si="3"/>
        <v>#DIV/0!</v>
      </c>
      <c r="F79" s="38">
        <f t="shared" si="4"/>
        <v>0</v>
      </c>
    </row>
    <row r="80" spans="1:7" ht="17.25" hidden="1" customHeight="1">
      <c r="A80" s="35" t="s">
        <v>71</v>
      </c>
      <c r="B80" s="51" t="s">
        <v>72</v>
      </c>
      <c r="C80" s="92"/>
      <c r="D80" s="92"/>
      <c r="E80" s="38" t="e">
        <f t="shared" si="3"/>
        <v>#DIV/0!</v>
      </c>
      <c r="F80" s="38">
        <f t="shared" si="4"/>
        <v>0</v>
      </c>
    </row>
    <row r="81" spans="1:6" ht="15" customHeight="1">
      <c r="A81" s="35" t="s">
        <v>73</v>
      </c>
      <c r="B81" s="39" t="s">
        <v>74</v>
      </c>
      <c r="C81" s="92">
        <v>3804.2639100000001</v>
      </c>
      <c r="D81" s="92">
        <v>482.24936000000002</v>
      </c>
      <c r="E81" s="38">
        <f t="shared" si="3"/>
        <v>12.676548510011232</v>
      </c>
      <c r="F81" s="38">
        <f t="shared" si="4"/>
        <v>-3322.0145499999999</v>
      </c>
    </row>
    <row r="82" spans="1:6" ht="18" hidden="1" customHeight="1">
      <c r="A82" s="35" t="s">
        <v>263</v>
      </c>
      <c r="B82" s="39" t="s">
        <v>264</v>
      </c>
      <c r="C82" s="92">
        <v>0</v>
      </c>
      <c r="D82" s="92">
        <v>0</v>
      </c>
      <c r="E82" s="38" t="e">
        <f t="shared" si="3"/>
        <v>#DIV/0!</v>
      </c>
      <c r="F82" s="38">
        <f t="shared" si="4"/>
        <v>0</v>
      </c>
    </row>
    <row r="83" spans="1:6" s="6" customFormat="1" ht="16.5" customHeight="1">
      <c r="A83" s="30" t="s">
        <v>85</v>
      </c>
      <c r="B83" s="31" t="s">
        <v>86</v>
      </c>
      <c r="C83" s="22">
        <f>C84+C85</f>
        <v>2987.1880000000001</v>
      </c>
      <c r="D83" s="22">
        <f>D84+D85</f>
        <v>1284.7697900000001</v>
      </c>
      <c r="E83" s="34">
        <f t="shared" si="3"/>
        <v>43.009338213731439</v>
      </c>
      <c r="F83" s="34">
        <f t="shared" si="4"/>
        <v>-1702.41821</v>
      </c>
    </row>
    <row r="84" spans="1:6" ht="14.25" customHeight="1">
      <c r="A84" s="35" t="s">
        <v>87</v>
      </c>
      <c r="B84" s="39" t="s">
        <v>233</v>
      </c>
      <c r="C84" s="92">
        <v>2987.1880000000001</v>
      </c>
      <c r="D84" s="92">
        <v>1284.7697900000001</v>
      </c>
      <c r="E84" s="38">
        <f t="shared" si="3"/>
        <v>43.009338213731439</v>
      </c>
      <c r="F84" s="38">
        <f t="shared" si="4"/>
        <v>-1702.41821</v>
      </c>
    </row>
    <row r="85" spans="1:6" ht="14.25" hidden="1" customHeight="1">
      <c r="A85" s="35" t="s">
        <v>272</v>
      </c>
      <c r="B85" s="39" t="s">
        <v>273</v>
      </c>
      <c r="C85" s="92"/>
      <c r="D85" s="92">
        <v>0</v>
      </c>
      <c r="E85" s="38" t="e">
        <f t="shared" si="3"/>
        <v>#DIV/0!</v>
      </c>
      <c r="F85" s="38">
        <f t="shared" si="4"/>
        <v>0</v>
      </c>
    </row>
    <row r="86" spans="1:6" s="6" customFormat="1" ht="15" customHeight="1">
      <c r="A86" s="52">
        <v>1000</v>
      </c>
      <c r="B86" s="31" t="s">
        <v>88</v>
      </c>
      <c r="C86" s="22">
        <f>SUM(C87:C90)</f>
        <v>0</v>
      </c>
      <c r="D86" s="22">
        <f>SUM(D87:D90)</f>
        <v>0</v>
      </c>
      <c r="E86" s="34" t="e">
        <f t="shared" si="3"/>
        <v>#DIV/0!</v>
      </c>
      <c r="F86" s="34">
        <f t="shared" si="4"/>
        <v>0</v>
      </c>
    </row>
    <row r="87" spans="1:6" hidden="1">
      <c r="A87" s="53">
        <v>1001</v>
      </c>
      <c r="B87" s="54" t="s">
        <v>89</v>
      </c>
      <c r="C87" s="92"/>
      <c r="D87" s="92"/>
      <c r="E87" s="34" t="e">
        <f t="shared" si="3"/>
        <v>#DIV/0!</v>
      </c>
      <c r="F87" s="38">
        <f t="shared" si="4"/>
        <v>0</v>
      </c>
    </row>
    <row r="88" spans="1:6" hidden="1">
      <c r="A88" s="53">
        <v>1003</v>
      </c>
      <c r="B88" s="54" t="s">
        <v>90</v>
      </c>
      <c r="C88" s="92">
        <v>0</v>
      </c>
      <c r="D88" s="92">
        <v>0</v>
      </c>
      <c r="E88" s="34" t="e">
        <f t="shared" si="3"/>
        <v>#DIV/0!</v>
      </c>
      <c r="F88" s="38">
        <f t="shared" si="4"/>
        <v>0</v>
      </c>
    </row>
    <row r="89" spans="1:6" hidden="1">
      <c r="A89" s="53">
        <v>1004</v>
      </c>
      <c r="B89" s="54" t="s">
        <v>91</v>
      </c>
      <c r="C89" s="92"/>
      <c r="D89" s="273"/>
      <c r="E89" s="34" t="e">
        <f t="shared" si="3"/>
        <v>#DIV/0!</v>
      </c>
      <c r="F89" s="38">
        <f t="shared" si="4"/>
        <v>0</v>
      </c>
    </row>
    <row r="90" spans="1:6">
      <c r="A90" s="35" t="s">
        <v>92</v>
      </c>
      <c r="B90" s="39" t="s">
        <v>93</v>
      </c>
      <c r="C90" s="92">
        <v>0</v>
      </c>
      <c r="D90" s="92">
        <v>0</v>
      </c>
      <c r="E90" s="38" t="e">
        <f t="shared" si="3"/>
        <v>#DIV/0!</v>
      </c>
      <c r="F90" s="38">
        <f t="shared" si="4"/>
        <v>0</v>
      </c>
    </row>
    <row r="91" spans="1:6" ht="15" customHeight="1">
      <c r="A91" s="30" t="s">
        <v>94</v>
      </c>
      <c r="B91" s="31" t="s">
        <v>95</v>
      </c>
      <c r="C91" s="22">
        <f>C92+C93+C94+C95+C96</f>
        <v>29.09</v>
      </c>
      <c r="D91" s="22">
        <f>D92+D93+D94+D95+D96</f>
        <v>9.09</v>
      </c>
      <c r="E91" s="34">
        <f t="shared" si="3"/>
        <v>31.247851495359232</v>
      </c>
      <c r="F91" s="22">
        <f>F92+F93+F94+F95+F96</f>
        <v>-20</v>
      </c>
    </row>
    <row r="92" spans="1:6" ht="15.75" customHeight="1">
      <c r="A92" s="35" t="s">
        <v>96</v>
      </c>
      <c r="B92" s="39" t="s">
        <v>97</v>
      </c>
      <c r="C92" s="92">
        <v>29.09</v>
      </c>
      <c r="D92" s="92">
        <v>9.09</v>
      </c>
      <c r="E92" s="38">
        <f t="shared" si="3"/>
        <v>31.247851495359232</v>
      </c>
      <c r="F92" s="38">
        <f>SUM(D92-C92)</f>
        <v>-20</v>
      </c>
    </row>
    <row r="93" spans="1:6" ht="15" hidden="1" customHeight="1">
      <c r="A93" s="35" t="s">
        <v>98</v>
      </c>
      <c r="B93" s="39" t="s">
        <v>99</v>
      </c>
      <c r="C93" s="132"/>
      <c r="D93" s="92"/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100</v>
      </c>
      <c r="B94" s="39" t="s">
        <v>101</v>
      </c>
      <c r="C94" s="132"/>
      <c r="D94" s="92"/>
      <c r="E94" s="38" t="e">
        <f t="shared" si="3"/>
        <v>#DIV/0!</v>
      </c>
      <c r="F94" s="38"/>
    </row>
    <row r="95" spans="1:6" ht="15" hidden="1" customHeight="1">
      <c r="A95" s="35" t="s">
        <v>102</v>
      </c>
      <c r="B95" s="39" t="s">
        <v>103</v>
      </c>
      <c r="C95" s="132"/>
      <c r="D95" s="92"/>
      <c r="E95" s="38" t="e">
        <f t="shared" si="3"/>
        <v>#DIV/0!</v>
      </c>
      <c r="F95" s="38"/>
    </row>
    <row r="96" spans="1:6" ht="57.75" hidden="1" customHeight="1">
      <c r="A96" s="35" t="s">
        <v>104</v>
      </c>
      <c r="B96" s="39" t="s">
        <v>105</v>
      </c>
      <c r="C96" s="237"/>
      <c r="D96" s="92"/>
      <c r="E96" s="38" t="e">
        <f t="shared" si="3"/>
        <v>#DIV/0!</v>
      </c>
      <c r="F96" s="38"/>
    </row>
    <row r="97" spans="1:7" s="6" customFormat="1" ht="18" hidden="1" customHeight="1">
      <c r="A97" s="52">
        <v>1400</v>
      </c>
      <c r="B97" s="56" t="s">
        <v>114</v>
      </c>
      <c r="C97" s="48"/>
      <c r="D97" s="105"/>
      <c r="E97" s="34" t="e">
        <f t="shared" si="3"/>
        <v>#DIV/0!</v>
      </c>
      <c r="F97" s="34">
        <f t="shared" si="4"/>
        <v>0</v>
      </c>
    </row>
    <row r="98" spans="1:7" ht="16.5" hidden="1" customHeight="1">
      <c r="A98" s="53">
        <v>1401</v>
      </c>
      <c r="B98" s="54" t="s">
        <v>115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7" ht="20.25" hidden="1" customHeight="1">
      <c r="A99" s="53">
        <v>1402</v>
      </c>
      <c r="B99" s="54" t="s">
        <v>116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7" ht="13.5" hidden="1" customHeight="1">
      <c r="A100" s="53">
        <v>1403</v>
      </c>
      <c r="B100" s="54" t="s">
        <v>117</v>
      </c>
      <c r="C100" s="106">
        <v>0</v>
      </c>
      <c r="D100" s="92">
        <v>0</v>
      </c>
      <c r="E100" s="38" t="e">
        <f t="shared" si="3"/>
        <v>#DIV/0!</v>
      </c>
      <c r="F100" s="38">
        <f t="shared" si="4"/>
        <v>0</v>
      </c>
    </row>
    <row r="101" spans="1:7" s="6" customFormat="1" ht="15" customHeight="1">
      <c r="A101" s="52"/>
      <c r="B101" s="57" t="s">
        <v>118</v>
      </c>
      <c r="C101" s="376">
        <f>C57+C65+C67+C73+C78+C83+C91+C86+C97</f>
        <v>13860.693949999999</v>
      </c>
      <c r="D101" s="376">
        <f>D57+D65+D67+D73+D78+D83+D91+D86+D97</f>
        <v>3715.0545600000005</v>
      </c>
      <c r="E101" s="34">
        <f t="shared" si="3"/>
        <v>26.802803477238601</v>
      </c>
      <c r="F101" s="34">
        <f t="shared" si="4"/>
        <v>-10145.639389999998</v>
      </c>
      <c r="G101" s="94"/>
    </row>
    <row r="102" spans="1:7" ht="5.25" customHeight="1">
      <c r="D102" s="61"/>
    </row>
    <row r="103" spans="1:7" s="65" customFormat="1" ht="12.75">
      <c r="A103" s="63" t="s">
        <v>119</v>
      </c>
      <c r="B103" s="63"/>
      <c r="C103" s="133"/>
      <c r="D103" s="64"/>
    </row>
    <row r="104" spans="1:7" s="65" customFormat="1" ht="12.75">
      <c r="A104" s="66" t="s">
        <v>120</v>
      </c>
      <c r="B104" s="66"/>
      <c r="C104" s="133" t="s">
        <v>121</v>
      </c>
    </row>
    <row r="142" hidden="1"/>
  </sheetData>
  <customSheetViews>
    <customSheetView guid="{61528DAC-5C4C-48F4-ADE2-8A724B05A086}" scale="70" showPageBreaks="1" printArea="1" hiddenRows="1" view="pageBreakPreview" topLeftCell="A31">
      <selection activeCell="C77" sqref="C77"/>
      <pageMargins left="0.74803149606299213" right="0.74803149606299213" top="0.98425196850393704" bottom="0.98425196850393704" header="0.51181102362204722" footer="0.51181102362204722"/>
      <pageSetup paperSize="9" scale="59" orientation="portrait" r:id="rId1"/>
      <headerFooter alignWithMargins="0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2"/>
      <headerFooter alignWithMargins="0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3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4"/>
    </customSheetView>
    <customSheetView guid="{3DCB9AAA-F09C-4EA6-B992-F93E466D374A}" hiddenRows="1" topLeftCell="A52">
      <selection activeCell="B100" sqref="B100"/>
      <pageMargins left="0.75" right="0.75" top="1" bottom="1" header="0.5" footer="0.5"/>
      <pageSetup paperSize="9" scale="46" orientation="portrait" r:id="rId5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6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7"/>
      <headerFooter alignWithMargins="0"/>
    </customSheetView>
    <customSheetView guid="{B31C8DB7-3E78-4144-A6B5-8DE36DE63F0E}" hiddenRows="1" topLeftCell="A33">
      <selection activeCell="D45" sqref="D45"/>
      <pageMargins left="0.75" right="0.75" top="1" bottom="1" header="0.5" footer="0.5"/>
      <pageSetup paperSize="9" scale="46" orientation="portrait" r:id="rId8"/>
      <headerFooter alignWithMargins="0"/>
    </customSheetView>
    <customSheetView guid="{B30CE22D-C12F-4E12-8BB9-3AAE0A6991CC}" scale="70" showPageBreaks="1" printArea="1" hiddenRows="1" view="pageBreakPreview">
      <selection activeCell="G53" sqref="G53"/>
      <pageMargins left="0.74803149606299213" right="0.74803149606299213" top="0.98425196850393704" bottom="0.98425196850393704" header="0.51181102362204722" footer="0.51181102362204722"/>
      <pageSetup paperSize="9" scale="59" orientation="portrait" r:id="rId9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3" orientation="portrait" r:id="rId1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H143"/>
  <sheetViews>
    <sheetView view="pageBreakPreview" topLeftCell="A33" zoomScale="70" zoomScaleSheetLayoutView="70" workbookViewId="0">
      <selection activeCell="C44" sqref="C44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5" t="s">
        <v>426</v>
      </c>
      <c r="B1" s="525"/>
      <c r="C1" s="525"/>
      <c r="D1" s="525"/>
      <c r="E1" s="525"/>
      <c r="F1" s="525"/>
    </row>
    <row r="2" spans="1:6">
      <c r="A2" s="525"/>
      <c r="B2" s="525"/>
      <c r="C2" s="525"/>
      <c r="D2" s="525"/>
      <c r="E2" s="525"/>
      <c r="F2" s="525"/>
    </row>
    <row r="3" spans="1:6" ht="63">
      <c r="A3" s="2" t="s">
        <v>0</v>
      </c>
      <c r="B3" s="2" t="s">
        <v>1</v>
      </c>
      <c r="C3" s="72" t="s">
        <v>411</v>
      </c>
      <c r="D3" s="73" t="s">
        <v>422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1771.4749999999999</v>
      </c>
      <c r="D4" s="339">
        <f>D5+D12+D14+D17+D7</f>
        <v>429.28110999999996</v>
      </c>
      <c r="E4" s="5">
        <f>SUM(D4/C4*100)</f>
        <v>24.232975909905583</v>
      </c>
      <c r="F4" s="5">
        <f>SUM(D4-C4)</f>
        <v>-1342.19389</v>
      </c>
    </row>
    <row r="5" spans="1:6" s="6" customFormat="1">
      <c r="A5" s="68">
        <v>1010000000</v>
      </c>
      <c r="B5" s="67" t="s">
        <v>5</v>
      </c>
      <c r="C5" s="5">
        <f>C6</f>
        <v>100.23</v>
      </c>
      <c r="D5" s="365">
        <f>D6</f>
        <v>25.492940000000001</v>
      </c>
      <c r="E5" s="5">
        <f t="shared" ref="E5:E52" si="0">SUM(D5/C5*100)</f>
        <v>25.434440786191757</v>
      </c>
      <c r="F5" s="5">
        <f t="shared" ref="F5:F52" si="1">SUM(D5-C5)</f>
        <v>-74.73706</v>
      </c>
    </row>
    <row r="6" spans="1:6">
      <c r="A6" s="7">
        <v>1010200001</v>
      </c>
      <c r="B6" s="8" t="s">
        <v>228</v>
      </c>
      <c r="C6" s="9">
        <v>100.23</v>
      </c>
      <c r="D6" s="454">
        <v>25.492940000000001</v>
      </c>
      <c r="E6" s="9">
        <f t="shared" ref="E6:E11" si="2">SUM(D6/C6*100)</f>
        <v>25.434440786191757</v>
      </c>
      <c r="F6" s="9">
        <f t="shared" si="1"/>
        <v>-74.73706</v>
      </c>
    </row>
    <row r="7" spans="1:6" ht="31.5">
      <c r="A7" s="3">
        <v>1030000000</v>
      </c>
      <c r="B7" s="13" t="s">
        <v>280</v>
      </c>
      <c r="C7" s="339">
        <f>C8+C10+C9</f>
        <v>601.24499999999989</v>
      </c>
      <c r="D7" s="365">
        <f>D8+D10+D9+D11</f>
        <v>291.31787999999995</v>
      </c>
      <c r="E7" s="9">
        <f t="shared" si="2"/>
        <v>48.452441184542074</v>
      </c>
      <c r="F7" s="9">
        <f t="shared" si="1"/>
        <v>-309.92711999999995</v>
      </c>
    </row>
    <row r="8" spans="1:6">
      <c r="A8" s="7">
        <v>1030223001</v>
      </c>
      <c r="B8" s="8" t="s">
        <v>282</v>
      </c>
      <c r="C8" s="9">
        <v>224.26</v>
      </c>
      <c r="D8" s="454">
        <v>131.60480999999999</v>
      </c>
      <c r="E8" s="9">
        <f t="shared" si="2"/>
        <v>58.684031927227323</v>
      </c>
      <c r="F8" s="9">
        <f t="shared" si="1"/>
        <v>-92.655190000000005</v>
      </c>
    </row>
    <row r="9" spans="1:6">
      <c r="A9" s="7">
        <v>1030224001</v>
      </c>
      <c r="B9" s="8" t="s">
        <v>288</v>
      </c>
      <c r="C9" s="9">
        <v>2.4049999999999998</v>
      </c>
      <c r="D9" s="454">
        <v>0.98863999999999996</v>
      </c>
      <c r="E9" s="9">
        <f t="shared" si="2"/>
        <v>41.107692307692311</v>
      </c>
      <c r="F9" s="9">
        <f t="shared" si="1"/>
        <v>-1.4163599999999998</v>
      </c>
    </row>
    <row r="10" spans="1:6">
      <c r="A10" s="7">
        <v>1030225001</v>
      </c>
      <c r="B10" s="8" t="s">
        <v>281</v>
      </c>
      <c r="C10" s="9">
        <v>374.58</v>
      </c>
      <c r="D10" s="454">
        <v>182.65794</v>
      </c>
      <c r="E10" s="9">
        <f t="shared" si="2"/>
        <v>48.763399006887717</v>
      </c>
      <c r="F10" s="9">
        <f t="shared" si="1"/>
        <v>-191.92205999999999</v>
      </c>
    </row>
    <row r="11" spans="1:6">
      <c r="A11" s="7">
        <v>1030226001</v>
      </c>
      <c r="B11" s="8" t="s">
        <v>290</v>
      </c>
      <c r="C11" s="9">
        <v>0</v>
      </c>
      <c r="D11" s="454">
        <v>-23.933509999999998</v>
      </c>
      <c r="E11" s="9" t="e">
        <f t="shared" si="2"/>
        <v>#DIV/0!</v>
      </c>
      <c r="F11" s="9">
        <f t="shared" si="1"/>
        <v>-23.933509999999998</v>
      </c>
    </row>
    <row r="12" spans="1:6" s="6" customFormat="1">
      <c r="A12" s="68">
        <v>1050000000</v>
      </c>
      <c r="B12" s="67" t="s">
        <v>6</v>
      </c>
      <c r="C12" s="5">
        <f>SUM(C13:C13)</f>
        <v>7</v>
      </c>
      <c r="D12" s="365">
        <f>SUM(D13:D13)</f>
        <v>7.8484400000000001</v>
      </c>
      <c r="E12" s="5">
        <f t="shared" si="0"/>
        <v>112.12057142857144</v>
      </c>
      <c r="F12" s="5">
        <f t="shared" si="1"/>
        <v>0.84844000000000008</v>
      </c>
    </row>
    <row r="13" spans="1:6" ht="15.75" customHeight="1">
      <c r="A13" s="7">
        <v>1050300000</v>
      </c>
      <c r="B13" s="11" t="s">
        <v>229</v>
      </c>
      <c r="C13" s="12">
        <v>7</v>
      </c>
      <c r="D13" s="454">
        <v>7.8484400000000001</v>
      </c>
      <c r="E13" s="9">
        <f t="shared" si="0"/>
        <v>112.12057142857144</v>
      </c>
      <c r="F13" s="9">
        <f t="shared" si="1"/>
        <v>0.84844000000000008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1058</v>
      </c>
      <c r="D14" s="365">
        <f>D15+D16</f>
        <v>102.62184999999999</v>
      </c>
      <c r="E14" s="5">
        <f t="shared" si="0"/>
        <v>9.6996077504725893</v>
      </c>
      <c r="F14" s="5">
        <f t="shared" si="1"/>
        <v>-955.37815000000001</v>
      </c>
    </row>
    <row r="15" spans="1:6" s="6" customFormat="1" ht="15.75" customHeight="1">
      <c r="A15" s="7">
        <v>1060100000</v>
      </c>
      <c r="B15" s="11" t="s">
        <v>8</v>
      </c>
      <c r="C15" s="9">
        <v>248</v>
      </c>
      <c r="D15" s="454">
        <v>42.602229999999999</v>
      </c>
      <c r="E15" s="9">
        <f t="shared" si="0"/>
        <v>17.178318548387097</v>
      </c>
      <c r="F15" s="9">
        <f>SUM(D15-C15)</f>
        <v>-205.39777000000001</v>
      </c>
    </row>
    <row r="16" spans="1:6" ht="15.75" customHeight="1">
      <c r="A16" s="7">
        <v>1060600000</v>
      </c>
      <c r="B16" s="11" t="s">
        <v>7</v>
      </c>
      <c r="C16" s="9">
        <v>810</v>
      </c>
      <c r="D16" s="454">
        <v>60.019620000000003</v>
      </c>
      <c r="E16" s="9">
        <f t="shared" si="0"/>
        <v>7.4098296296296304</v>
      </c>
      <c r="F16" s="9">
        <f t="shared" si="1"/>
        <v>-749.98037999999997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365">
        <f>D18</f>
        <v>2</v>
      </c>
      <c r="E17" s="5">
        <f t="shared" si="0"/>
        <v>40</v>
      </c>
      <c r="F17" s="5">
        <f t="shared" si="1"/>
        <v>-3</v>
      </c>
    </row>
    <row r="18" spans="1:6" ht="21.75" customHeight="1">
      <c r="A18" s="7">
        <v>1080400001</v>
      </c>
      <c r="B18" s="8" t="s">
        <v>227</v>
      </c>
      <c r="C18" s="9">
        <v>5</v>
      </c>
      <c r="D18" s="454">
        <v>2</v>
      </c>
      <c r="E18" s="9">
        <f t="shared" si="0"/>
        <v>40</v>
      </c>
      <c r="F18" s="9">
        <f t="shared" si="1"/>
        <v>-3</v>
      </c>
    </row>
    <row r="19" spans="1:6" ht="0.75" hidden="1" customHeight="1">
      <c r="A19" s="7">
        <v>1080714001</v>
      </c>
      <c r="B19" s="8" t="s">
        <v>11</v>
      </c>
      <c r="C19" s="9"/>
      <c r="D19" s="454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5">
        <f>C21+C22+C23+C24</f>
        <v>0</v>
      </c>
      <c r="D20" s="36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455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125</v>
      </c>
      <c r="C22" s="5"/>
      <c r="D22" s="455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455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455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</f>
        <v>280</v>
      </c>
      <c r="D25" s="365">
        <f>D26+D30+D32+D37+D35</f>
        <v>60.970369999999996</v>
      </c>
      <c r="E25" s="5">
        <f t="shared" si="0"/>
        <v>21.775132142857142</v>
      </c>
      <c r="F25" s="5">
        <f t="shared" si="1"/>
        <v>-219.02963</v>
      </c>
    </row>
    <row r="26" spans="1:6" s="6" customFormat="1" ht="30" customHeight="1">
      <c r="A26" s="68">
        <v>1110000000</v>
      </c>
      <c r="B26" s="69" t="s">
        <v>128</v>
      </c>
      <c r="C26" s="5">
        <f>C27+C28+C29</f>
        <v>220</v>
      </c>
      <c r="D26" s="365">
        <f>D27+D28+D29</f>
        <v>38.950749999999999</v>
      </c>
      <c r="E26" s="5">
        <f t="shared" si="0"/>
        <v>17.704886363636362</v>
      </c>
      <c r="F26" s="5">
        <f t="shared" si="1"/>
        <v>-181.04925</v>
      </c>
    </row>
    <row r="27" spans="1:6">
      <c r="A27" s="16">
        <v>1110501101</v>
      </c>
      <c r="B27" s="17" t="s">
        <v>225</v>
      </c>
      <c r="C27" s="12">
        <v>0</v>
      </c>
      <c r="D27" s="454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299</v>
      </c>
      <c r="C28" s="12">
        <v>200</v>
      </c>
      <c r="D28" s="454">
        <v>15.16</v>
      </c>
      <c r="E28" s="9">
        <f t="shared" si="0"/>
        <v>7.580000000000001</v>
      </c>
      <c r="F28" s="9">
        <f t="shared" si="1"/>
        <v>-184.84</v>
      </c>
    </row>
    <row r="29" spans="1:6" ht="18" customHeight="1">
      <c r="A29" s="7">
        <v>1110503505</v>
      </c>
      <c r="B29" s="11" t="s">
        <v>224</v>
      </c>
      <c r="C29" s="12">
        <v>20</v>
      </c>
      <c r="D29" s="454">
        <v>23.790749999999999</v>
      </c>
      <c r="E29" s="9">
        <f t="shared" si="0"/>
        <v>118.95374999999999</v>
      </c>
      <c r="F29" s="9">
        <f t="shared" si="1"/>
        <v>3.7907499999999992</v>
      </c>
    </row>
    <row r="30" spans="1:6" s="15" customFormat="1" ht="15.75" customHeight="1">
      <c r="A30" s="68">
        <v>1130000000</v>
      </c>
      <c r="B30" s="69" t="s">
        <v>130</v>
      </c>
      <c r="C30" s="5">
        <f>C31</f>
        <v>60</v>
      </c>
      <c r="D30" s="365">
        <f>D31</f>
        <v>20.042619999999999</v>
      </c>
      <c r="E30" s="5">
        <f t="shared" si="0"/>
        <v>33.404366666666668</v>
      </c>
      <c r="F30" s="5">
        <f t="shared" si="1"/>
        <v>-39.957380000000001</v>
      </c>
    </row>
    <row r="31" spans="1:6">
      <c r="A31" s="7">
        <v>1130305005</v>
      </c>
      <c r="B31" s="8" t="s">
        <v>14</v>
      </c>
      <c r="C31" s="9">
        <v>60</v>
      </c>
      <c r="D31" s="454">
        <v>20.042619999999999</v>
      </c>
      <c r="E31" s="9">
        <f t="shared" si="0"/>
        <v>33.404366666666668</v>
      </c>
      <c r="F31" s="9">
        <f t="shared" si="1"/>
        <v>-39.957380000000001</v>
      </c>
    </row>
    <row r="32" spans="1:6" ht="17.25" customHeight="1">
      <c r="A32" s="70">
        <v>1140000000</v>
      </c>
      <c r="B32" s="71" t="s">
        <v>131</v>
      </c>
      <c r="C32" s="5">
        <f>C34</f>
        <v>0</v>
      </c>
      <c r="D32" s="365">
        <f>D33+D34</f>
        <v>0</v>
      </c>
      <c r="E32" s="5" t="e">
        <f t="shared" si="0"/>
        <v>#DIV/0!</v>
      </c>
      <c r="F32" s="5">
        <f t="shared" si="1"/>
        <v>0</v>
      </c>
    </row>
    <row r="33" spans="1:7">
      <c r="A33" s="16">
        <v>1140200000</v>
      </c>
      <c r="B33" s="18" t="s">
        <v>132</v>
      </c>
      <c r="C33" s="9">
        <v>0</v>
      </c>
      <c r="D33" s="454">
        <v>0</v>
      </c>
      <c r="E33" s="9" t="e">
        <f t="shared" si="0"/>
        <v>#DIV/0!</v>
      </c>
      <c r="F33" s="9">
        <f t="shared" si="1"/>
        <v>0</v>
      </c>
    </row>
    <row r="34" spans="1:7" ht="15" hidden="1" customHeight="1">
      <c r="A34" s="7">
        <v>1140600000</v>
      </c>
      <c r="B34" s="8" t="s">
        <v>222</v>
      </c>
      <c r="C34" s="9">
        <v>0</v>
      </c>
      <c r="D34" s="454">
        <v>0</v>
      </c>
      <c r="E34" s="9" t="e">
        <f t="shared" si="0"/>
        <v>#DIV/0!</v>
      </c>
      <c r="F34" s="9">
        <f t="shared" si="1"/>
        <v>0</v>
      </c>
    </row>
    <row r="35" spans="1:7" ht="16.5" hidden="1" customHeight="1">
      <c r="A35" s="3">
        <v>1160000000</v>
      </c>
      <c r="B35" s="13" t="s">
        <v>251</v>
      </c>
      <c r="C35" s="5">
        <f>C36</f>
        <v>0</v>
      </c>
      <c r="D35" s="365">
        <f>D36</f>
        <v>0</v>
      </c>
      <c r="E35" s="5" t="e">
        <f t="shared" si="0"/>
        <v>#DIV/0!</v>
      </c>
      <c r="F35" s="5">
        <f t="shared" si="1"/>
        <v>0</v>
      </c>
    </row>
    <row r="36" spans="1:7" ht="52.5" hidden="1" customHeight="1">
      <c r="A36" s="7">
        <v>1169005010</v>
      </c>
      <c r="B36" s="8" t="s">
        <v>322</v>
      </c>
      <c r="C36" s="9">
        <v>0</v>
      </c>
      <c r="D36" s="454">
        <v>0</v>
      </c>
      <c r="E36" s="9" t="e">
        <f t="shared" si="0"/>
        <v>#DIV/0!</v>
      </c>
      <c r="F36" s="9">
        <f t="shared" si="1"/>
        <v>0</v>
      </c>
    </row>
    <row r="37" spans="1:7" ht="14.25" customHeight="1">
      <c r="A37" s="3">
        <v>1170000000</v>
      </c>
      <c r="B37" s="13" t="s">
        <v>134</v>
      </c>
      <c r="C37" s="5">
        <f>C38+C39</f>
        <v>0</v>
      </c>
      <c r="D37" s="365">
        <f>D38+D39</f>
        <v>1.9770000000000001</v>
      </c>
      <c r="E37" s="9" t="e">
        <f t="shared" si="0"/>
        <v>#DIV/0!</v>
      </c>
      <c r="F37" s="5">
        <f t="shared" si="1"/>
        <v>1.9770000000000001</v>
      </c>
    </row>
    <row r="38" spans="1:7" ht="19.5" customHeight="1">
      <c r="A38" s="7">
        <v>1170105005</v>
      </c>
      <c r="B38" s="8" t="s">
        <v>17</v>
      </c>
      <c r="C38" s="9">
        <v>0</v>
      </c>
      <c r="D38" s="456">
        <v>1.9770000000000001</v>
      </c>
      <c r="E38" s="9" t="e">
        <f t="shared" si="0"/>
        <v>#DIV/0!</v>
      </c>
      <c r="F38" s="9">
        <f t="shared" si="1"/>
        <v>1.9770000000000001</v>
      </c>
    </row>
    <row r="39" spans="1:7" s="478" customFormat="1" ht="1.5" customHeight="1">
      <c r="A39" s="474">
        <v>1170505005</v>
      </c>
      <c r="B39" s="475" t="s">
        <v>220</v>
      </c>
      <c r="C39" s="476">
        <v>0</v>
      </c>
      <c r="D39" s="477">
        <v>0</v>
      </c>
      <c r="E39" s="476" t="e">
        <f t="shared" si="0"/>
        <v>#DIV/0!</v>
      </c>
      <c r="F39" s="476">
        <f t="shared" si="1"/>
        <v>0</v>
      </c>
    </row>
    <row r="40" spans="1:7" s="6" customFormat="1" ht="15" customHeight="1">
      <c r="A40" s="3">
        <v>1000000000</v>
      </c>
      <c r="B40" s="4" t="s">
        <v>18</v>
      </c>
      <c r="C40" s="127">
        <f>SUM(C4,C25)</f>
        <v>2051.4749999999999</v>
      </c>
      <c r="D40" s="449">
        <f>D4+D25</f>
        <v>490.25147999999996</v>
      </c>
      <c r="E40" s="5">
        <f t="shared" si="0"/>
        <v>23.897511790297223</v>
      </c>
      <c r="F40" s="5">
        <f t="shared" si="1"/>
        <v>-1561.22352</v>
      </c>
    </row>
    <row r="41" spans="1:7" s="6" customFormat="1">
      <c r="A41" s="3">
        <v>2000000000</v>
      </c>
      <c r="B41" s="4" t="s">
        <v>19</v>
      </c>
      <c r="C41" s="370">
        <f>C42+C44+C46+C47+C48+C49+C43+C45+C51</f>
        <v>7489.9927100000014</v>
      </c>
      <c r="D41" s="365">
        <f>D42+D44+D46+D47+D48+D49+D43+D45+D51</f>
        <v>1223.1979999999999</v>
      </c>
      <c r="E41" s="5">
        <f t="shared" si="0"/>
        <v>16.331097336942531</v>
      </c>
      <c r="F41" s="5">
        <f t="shared" si="1"/>
        <v>-6266.7947100000019</v>
      </c>
      <c r="G41" s="19"/>
    </row>
    <row r="42" spans="1:7">
      <c r="A42" s="16">
        <v>2021000000</v>
      </c>
      <c r="B42" s="17" t="s">
        <v>20</v>
      </c>
      <c r="C42" s="479">
        <v>1759.1</v>
      </c>
      <c r="D42" s="459">
        <v>732.96</v>
      </c>
      <c r="E42" s="9">
        <f t="shared" si="0"/>
        <v>41.666761412085727</v>
      </c>
      <c r="F42" s="9">
        <f t="shared" si="1"/>
        <v>-1026.1399999999999</v>
      </c>
    </row>
    <row r="43" spans="1:7">
      <c r="A43" s="16">
        <v>2021500200</v>
      </c>
      <c r="B43" s="17" t="s">
        <v>231</v>
      </c>
      <c r="C43" s="391">
        <v>351.6</v>
      </c>
      <c r="D43" s="459">
        <v>60</v>
      </c>
      <c r="E43" s="9">
        <f t="shared" si="0"/>
        <v>17.064846416382252</v>
      </c>
      <c r="F43" s="9">
        <f t="shared" si="1"/>
        <v>-291.60000000000002</v>
      </c>
    </row>
    <row r="44" spans="1:7" ht="16.5" customHeight="1">
      <c r="A44" s="16">
        <v>2022000000</v>
      </c>
      <c r="B44" s="17" t="s">
        <v>21</v>
      </c>
      <c r="C44" s="391">
        <v>3964.4985700000002</v>
      </c>
      <c r="D44" s="454">
        <v>220</v>
      </c>
      <c r="E44" s="9">
        <f t="shared" si="0"/>
        <v>5.5492515917340839</v>
      </c>
      <c r="F44" s="9">
        <f t="shared" si="1"/>
        <v>-3744.4985700000002</v>
      </c>
    </row>
    <row r="45" spans="1:7">
      <c r="A45" s="16">
        <v>2022999910</v>
      </c>
      <c r="B45" s="18" t="s">
        <v>349</v>
      </c>
      <c r="C45" s="391">
        <v>0</v>
      </c>
      <c r="D45" s="454">
        <v>0</v>
      </c>
      <c r="E45" s="9" t="e">
        <f>SUM(D45/C45*100)</f>
        <v>#DIV/0!</v>
      </c>
      <c r="F45" s="9">
        <f>SUM(D45-C45)</f>
        <v>0</v>
      </c>
    </row>
    <row r="46" spans="1:7">
      <c r="A46" s="16">
        <v>2023000000</v>
      </c>
      <c r="B46" s="17" t="s">
        <v>22</v>
      </c>
      <c r="C46" s="391">
        <v>181.08199999999999</v>
      </c>
      <c r="D46" s="460">
        <v>74.599000000000004</v>
      </c>
      <c r="E46" s="9">
        <f>SUM(D46/C46*100)</f>
        <v>41.19625363095173</v>
      </c>
      <c r="F46" s="9">
        <f>SUM(D46-C46)</f>
        <v>-106.48299999999999</v>
      </c>
    </row>
    <row r="47" spans="1:7">
      <c r="A47" s="16">
        <v>2020400000</v>
      </c>
      <c r="B47" s="17" t="s">
        <v>23</v>
      </c>
      <c r="C47" s="391">
        <v>931.37527999999998</v>
      </c>
      <c r="D47" s="461">
        <v>0</v>
      </c>
      <c r="E47" s="9">
        <f t="shared" si="0"/>
        <v>0</v>
      </c>
      <c r="F47" s="9">
        <f t="shared" si="1"/>
        <v>-931.37527999999998</v>
      </c>
    </row>
    <row r="48" spans="1:7" ht="47.25">
      <c r="A48" s="16">
        <v>2020700000</v>
      </c>
      <c r="B48" s="18" t="s">
        <v>24</v>
      </c>
      <c r="C48" s="391"/>
      <c r="D48" s="461"/>
      <c r="E48" s="9" t="e">
        <f t="shared" si="0"/>
        <v>#DIV/0!</v>
      </c>
      <c r="F48" s="9">
        <f t="shared" si="1"/>
        <v>0</v>
      </c>
    </row>
    <row r="49" spans="1:8">
      <c r="A49" s="7">
        <v>2190500005</v>
      </c>
      <c r="B49" s="11" t="s">
        <v>25</v>
      </c>
      <c r="C49" s="390">
        <v>0</v>
      </c>
      <c r="D49" s="454">
        <v>0</v>
      </c>
      <c r="E49" s="9" t="e">
        <f t="shared" si="0"/>
        <v>#DIV/0!</v>
      </c>
      <c r="F49" s="9">
        <f>SUM(D49-C49)</f>
        <v>0</v>
      </c>
    </row>
    <row r="50" spans="1:8" s="6" customFormat="1" ht="31.5">
      <c r="A50" s="3">
        <v>3000000000</v>
      </c>
      <c r="B50" s="13" t="s">
        <v>26</v>
      </c>
      <c r="C50" s="393">
        <v>0</v>
      </c>
      <c r="D50" s="455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2070500010</v>
      </c>
      <c r="B51" s="17" t="s">
        <v>356</v>
      </c>
      <c r="C51" s="391">
        <v>302.33686</v>
      </c>
      <c r="D51" s="454">
        <v>135.63900000000001</v>
      </c>
      <c r="E51" s="9">
        <f t="shared" si="0"/>
        <v>44.86353400640597</v>
      </c>
      <c r="F51" s="9">
        <f t="shared" si="1"/>
        <v>-166.69785999999999</v>
      </c>
    </row>
    <row r="52" spans="1:8" s="6" customFormat="1" ht="23.25" customHeight="1">
      <c r="A52" s="3"/>
      <c r="B52" s="4" t="s">
        <v>27</v>
      </c>
      <c r="C52" s="339">
        <f>C40+C41</f>
        <v>9541.4677100000008</v>
      </c>
      <c r="D52" s="480">
        <f>D40+D41</f>
        <v>1713.4494799999998</v>
      </c>
      <c r="E52" s="5">
        <f t="shared" si="0"/>
        <v>17.957923582387721</v>
      </c>
      <c r="F52" s="5">
        <f t="shared" si="1"/>
        <v>-7828.0182300000015</v>
      </c>
      <c r="G52" s="94"/>
      <c r="H52" s="94"/>
    </row>
    <row r="53" spans="1:8" s="6" customFormat="1">
      <c r="A53" s="3"/>
      <c r="B53" s="21" t="s">
        <v>320</v>
      </c>
      <c r="C53" s="339">
        <f>C52-C101</f>
        <v>-513.93217999999797</v>
      </c>
      <c r="D53" s="365">
        <f>D52-D101</f>
        <v>-33.28336000000013</v>
      </c>
      <c r="E53" s="22"/>
      <c r="F53" s="22"/>
    </row>
    <row r="54" spans="1:8" ht="32.25" customHeight="1">
      <c r="A54" s="23"/>
      <c r="B54" s="24"/>
      <c r="C54" s="244"/>
      <c r="D54" s="25"/>
      <c r="E54" s="26"/>
      <c r="F54" s="27"/>
    </row>
    <row r="55" spans="1:8" ht="63">
      <c r="A55" s="28" t="s">
        <v>0</v>
      </c>
      <c r="B55" s="28" t="s">
        <v>28</v>
      </c>
      <c r="C55" s="72" t="s">
        <v>411</v>
      </c>
      <c r="D55" s="73" t="s">
        <v>419</v>
      </c>
      <c r="E55" s="72" t="s">
        <v>2</v>
      </c>
      <c r="F55" s="74" t="s">
        <v>3</v>
      </c>
    </row>
    <row r="56" spans="1:8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8" customHeight="1">
      <c r="A57" s="30" t="s">
        <v>29</v>
      </c>
      <c r="B57" s="31" t="s">
        <v>30</v>
      </c>
      <c r="C57" s="443">
        <f>C58+C59+C60+C61+C62+C64+C63</f>
        <v>1261.7510000000002</v>
      </c>
      <c r="D57" s="33">
        <f>D58+D59+D60+D61+D62+D64+D63</f>
        <v>438.66391999999996</v>
      </c>
      <c r="E57" s="34">
        <f>SUM(D57/C57*100)</f>
        <v>34.766282729318213</v>
      </c>
      <c r="F57" s="34">
        <f>SUM(D57-C57)</f>
        <v>-823.08708000000024</v>
      </c>
    </row>
    <row r="58" spans="1:8" s="6" customFormat="1" ht="1.5" hidden="1" customHeight="1">
      <c r="A58" s="35" t="s">
        <v>31</v>
      </c>
      <c r="B58" s="36" t="s">
        <v>32</v>
      </c>
      <c r="C58" s="442">
        <v>0</v>
      </c>
      <c r="D58" s="37">
        <v>0</v>
      </c>
      <c r="E58" s="38" t="e">
        <f>SUM(D58/C58*100)</f>
        <v>#DIV/0!</v>
      </c>
      <c r="F58" s="38">
        <f>SUM(D58-C58)</f>
        <v>0</v>
      </c>
    </row>
    <row r="59" spans="1:8">
      <c r="A59" s="35" t="s">
        <v>33</v>
      </c>
      <c r="B59" s="39" t="s">
        <v>34</v>
      </c>
      <c r="C59" s="442">
        <v>1247.4000000000001</v>
      </c>
      <c r="D59" s="37">
        <v>434.91291999999999</v>
      </c>
      <c r="E59" s="38">
        <f t="shared" ref="E59:E101" si="3">SUM(D59/C59*100)</f>
        <v>34.865553952220615</v>
      </c>
      <c r="F59" s="38">
        <f t="shared" ref="F59:F101" si="4">SUM(D59-C59)</f>
        <v>-812.48708000000011</v>
      </c>
    </row>
    <row r="60" spans="1:8" ht="16.5" hidden="1" customHeight="1">
      <c r="A60" s="35" t="s">
        <v>35</v>
      </c>
      <c r="B60" s="39" t="s">
        <v>36</v>
      </c>
      <c r="C60" s="442"/>
      <c r="D60" s="37"/>
      <c r="E60" s="38"/>
      <c r="F60" s="38">
        <f t="shared" si="4"/>
        <v>0</v>
      </c>
    </row>
    <row r="61" spans="1:8" ht="31.5" hidden="1" customHeight="1">
      <c r="A61" s="35" t="s">
        <v>37</v>
      </c>
      <c r="B61" s="39" t="s">
        <v>38</v>
      </c>
      <c r="C61" s="442"/>
      <c r="D61" s="37"/>
      <c r="E61" s="38" t="e">
        <f t="shared" si="3"/>
        <v>#DIV/0!</v>
      </c>
      <c r="F61" s="38">
        <f t="shared" si="4"/>
        <v>0</v>
      </c>
    </row>
    <row r="62" spans="1:8" ht="17.25" hidden="1" customHeight="1">
      <c r="A62" s="35" t="s">
        <v>39</v>
      </c>
      <c r="B62" s="39" t="s">
        <v>40</v>
      </c>
      <c r="C62" s="442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41</v>
      </c>
      <c r="B63" s="39" t="s">
        <v>42</v>
      </c>
      <c r="C63" s="444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4.25" customHeight="1">
      <c r="A64" s="35" t="s">
        <v>43</v>
      </c>
      <c r="B64" s="39" t="s">
        <v>44</v>
      </c>
      <c r="C64" s="442">
        <v>9.3510000000000009</v>
      </c>
      <c r="D64" s="37">
        <v>3.7509999999999999</v>
      </c>
      <c r="E64" s="38">
        <f t="shared" si="3"/>
        <v>40.113356860228848</v>
      </c>
      <c r="F64" s="38">
        <f t="shared" si="4"/>
        <v>-5.6000000000000014</v>
      </c>
    </row>
    <row r="65" spans="1:7" s="6" customFormat="1">
      <c r="A65" s="41" t="s">
        <v>45</v>
      </c>
      <c r="B65" s="42" t="s">
        <v>46</v>
      </c>
      <c r="C65" s="443">
        <f>C66</f>
        <v>179.892</v>
      </c>
      <c r="D65" s="32">
        <f>D66</f>
        <v>64.430999999999997</v>
      </c>
      <c r="E65" s="34">
        <f t="shared" si="3"/>
        <v>35.816489893936357</v>
      </c>
      <c r="F65" s="34">
        <f t="shared" si="4"/>
        <v>-115.461</v>
      </c>
    </row>
    <row r="66" spans="1:7" ht="15" customHeight="1">
      <c r="A66" s="43" t="s">
        <v>47</v>
      </c>
      <c r="B66" s="44" t="s">
        <v>48</v>
      </c>
      <c r="C66" s="442">
        <v>179.892</v>
      </c>
      <c r="D66" s="37">
        <v>64.430999999999997</v>
      </c>
      <c r="E66" s="38">
        <f t="shared" si="3"/>
        <v>35.816489893936357</v>
      </c>
      <c r="F66" s="38">
        <f t="shared" si="4"/>
        <v>-115.461</v>
      </c>
    </row>
    <row r="67" spans="1:7" s="6" customFormat="1" ht="18" customHeight="1">
      <c r="A67" s="30" t="s">
        <v>49</v>
      </c>
      <c r="B67" s="31" t="s">
        <v>50</v>
      </c>
      <c r="C67" s="443">
        <f>C70+C71+C72</f>
        <v>6</v>
      </c>
      <c r="D67" s="32">
        <f>D70+D71+D72</f>
        <v>4</v>
      </c>
      <c r="E67" s="34">
        <f t="shared" si="3"/>
        <v>66.666666666666657</v>
      </c>
      <c r="F67" s="34">
        <f t="shared" si="4"/>
        <v>-2</v>
      </c>
    </row>
    <row r="68" spans="1:7" ht="0.75" hidden="1" customHeight="1">
      <c r="A68" s="35" t="s">
        <v>51</v>
      </c>
      <c r="B68" s="39" t="s">
        <v>52</v>
      </c>
      <c r="C68" s="442"/>
      <c r="D68" s="37"/>
      <c r="E68" s="34" t="e">
        <f t="shared" si="3"/>
        <v>#DIV/0!</v>
      </c>
      <c r="F68" s="34">
        <f t="shared" si="4"/>
        <v>0</v>
      </c>
    </row>
    <row r="69" spans="1:7" ht="18" hidden="1" customHeight="1">
      <c r="A69" s="45" t="s">
        <v>53</v>
      </c>
      <c r="B69" s="39" t="s">
        <v>54</v>
      </c>
      <c r="C69" s="442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55</v>
      </c>
      <c r="B70" s="47" t="s">
        <v>56</v>
      </c>
      <c r="C70" s="442">
        <v>2</v>
      </c>
      <c r="D70" s="37">
        <v>2</v>
      </c>
      <c r="E70" s="34">
        <f t="shared" si="3"/>
        <v>100</v>
      </c>
      <c r="F70" s="34">
        <f t="shared" si="4"/>
        <v>0</v>
      </c>
    </row>
    <row r="71" spans="1:7" ht="17.25" customHeight="1">
      <c r="A71" s="46" t="s">
        <v>218</v>
      </c>
      <c r="B71" s="47" t="s">
        <v>219</v>
      </c>
      <c r="C71" s="442">
        <v>2</v>
      </c>
      <c r="D71" s="37">
        <v>2</v>
      </c>
      <c r="E71" s="38">
        <f t="shared" si="3"/>
        <v>100</v>
      </c>
      <c r="F71" s="38">
        <f t="shared" si="4"/>
        <v>0</v>
      </c>
    </row>
    <row r="72" spans="1:7" ht="17.25" customHeight="1">
      <c r="A72" s="46" t="s">
        <v>357</v>
      </c>
      <c r="B72" s="47" t="s">
        <v>408</v>
      </c>
      <c r="C72" s="442">
        <v>2</v>
      </c>
      <c r="D72" s="37">
        <v>0</v>
      </c>
      <c r="E72" s="38">
        <f>SUM(D72/C72*100)</f>
        <v>0</v>
      </c>
      <c r="F72" s="38">
        <f>SUM(D72-C72)</f>
        <v>-2</v>
      </c>
    </row>
    <row r="73" spans="1:7" s="6" customFormat="1" ht="19.5" customHeight="1">
      <c r="A73" s="30" t="s">
        <v>57</v>
      </c>
      <c r="B73" s="31" t="s">
        <v>58</v>
      </c>
      <c r="C73" s="401">
        <f>C75+C76+C77+C74</f>
        <v>6019.4492899999996</v>
      </c>
      <c r="D73" s="48">
        <f>SUM(D74:D77)</f>
        <v>284.15999999999997</v>
      </c>
      <c r="E73" s="34">
        <f t="shared" si="3"/>
        <v>4.7206976304637998</v>
      </c>
      <c r="F73" s="34">
        <f t="shared" si="4"/>
        <v>-5735.2892899999997</v>
      </c>
    </row>
    <row r="74" spans="1:7" ht="17.25" customHeight="1">
      <c r="A74" s="35" t="s">
        <v>59</v>
      </c>
      <c r="B74" s="39" t="s">
        <v>60</v>
      </c>
      <c r="C74" s="445">
        <v>2.681</v>
      </c>
      <c r="D74" s="37">
        <v>0</v>
      </c>
      <c r="E74" s="38">
        <f t="shared" si="3"/>
        <v>0</v>
      </c>
      <c r="F74" s="38">
        <f t="shared" si="4"/>
        <v>-2.681</v>
      </c>
    </row>
    <row r="75" spans="1:7" s="6" customFormat="1" ht="17.25" customHeight="1">
      <c r="A75" s="35" t="s">
        <v>61</v>
      </c>
      <c r="B75" s="39" t="s">
        <v>62</v>
      </c>
      <c r="C75" s="445">
        <v>686</v>
      </c>
      <c r="D75" s="37">
        <v>0</v>
      </c>
      <c r="E75" s="38">
        <f t="shared" si="3"/>
        <v>0</v>
      </c>
      <c r="F75" s="38">
        <f t="shared" si="4"/>
        <v>-686</v>
      </c>
      <c r="G75" s="50"/>
    </row>
    <row r="76" spans="1:7" ht="16.5" customHeight="1">
      <c r="A76" s="35" t="s">
        <v>63</v>
      </c>
      <c r="B76" s="39" t="s">
        <v>64</v>
      </c>
      <c r="C76" s="445">
        <v>5250.76829</v>
      </c>
      <c r="D76" s="37">
        <v>250</v>
      </c>
      <c r="E76" s="38">
        <f t="shared" si="3"/>
        <v>4.7612080021912373</v>
      </c>
      <c r="F76" s="38">
        <f t="shared" si="4"/>
        <v>-5000.76829</v>
      </c>
    </row>
    <row r="77" spans="1:7" ht="16.5" customHeight="1">
      <c r="A77" s="35" t="s">
        <v>65</v>
      </c>
      <c r="B77" s="39" t="s">
        <v>66</v>
      </c>
      <c r="C77" s="445">
        <v>80</v>
      </c>
      <c r="D77" s="37">
        <v>34.159999999999997</v>
      </c>
      <c r="E77" s="38">
        <f t="shared" si="3"/>
        <v>42.699999999999996</v>
      </c>
      <c r="F77" s="38">
        <f t="shared" si="4"/>
        <v>-45.84</v>
      </c>
    </row>
    <row r="78" spans="1:7" ht="15.75" hidden="1" customHeight="1">
      <c r="A78" s="30" t="s">
        <v>49</v>
      </c>
      <c r="B78" s="31" t="s">
        <v>50</v>
      </c>
      <c r="C78" s="401">
        <v>0</v>
      </c>
      <c r="D78" s="37"/>
      <c r="E78" s="38"/>
      <c r="F78" s="38"/>
    </row>
    <row r="79" spans="1:7" ht="15.75" hidden="1" customHeight="1">
      <c r="A79" s="46" t="s">
        <v>218</v>
      </c>
      <c r="B79" s="47" t="s">
        <v>219</v>
      </c>
      <c r="C79" s="445">
        <v>0</v>
      </c>
      <c r="D79" s="37"/>
      <c r="E79" s="38"/>
      <c r="F79" s="38"/>
    </row>
    <row r="80" spans="1:7" s="6" customFormat="1" ht="19.5" customHeight="1">
      <c r="A80" s="30" t="s">
        <v>67</v>
      </c>
      <c r="B80" s="31" t="s">
        <v>68</v>
      </c>
      <c r="C80" s="443">
        <f>SUM(C81:C83)</f>
        <v>686.98860000000002</v>
      </c>
      <c r="D80" s="32">
        <f>SUM(D81:D83)</f>
        <v>171.94766000000001</v>
      </c>
      <c r="E80" s="34">
        <f t="shared" si="3"/>
        <v>25.029186801644158</v>
      </c>
      <c r="F80" s="34">
        <f t="shared" si="4"/>
        <v>-515.04093999999998</v>
      </c>
    </row>
    <row r="81" spans="1:6" hidden="1">
      <c r="A81" s="35" t="s">
        <v>69</v>
      </c>
      <c r="B81" s="51" t="s">
        <v>70</v>
      </c>
      <c r="C81" s="442"/>
      <c r="D81" s="37"/>
      <c r="E81" s="38" t="e">
        <f t="shared" si="3"/>
        <v>#DIV/0!</v>
      </c>
      <c r="F81" s="38">
        <f t="shared" si="4"/>
        <v>0</v>
      </c>
    </row>
    <row r="82" spans="1:6">
      <c r="A82" s="35" t="s">
        <v>71</v>
      </c>
      <c r="B82" s="51" t="s">
        <v>72</v>
      </c>
      <c r="C82" s="442"/>
      <c r="D82" s="37"/>
      <c r="E82" s="38" t="e">
        <f t="shared" si="3"/>
        <v>#DIV/0!</v>
      </c>
      <c r="F82" s="38">
        <f t="shared" si="4"/>
        <v>0</v>
      </c>
    </row>
    <row r="83" spans="1:6" ht="18" customHeight="1">
      <c r="A83" s="35" t="s">
        <v>73</v>
      </c>
      <c r="B83" s="39" t="s">
        <v>74</v>
      </c>
      <c r="C83" s="442">
        <v>686.98860000000002</v>
      </c>
      <c r="D83" s="37">
        <v>171.94766000000001</v>
      </c>
      <c r="E83" s="38">
        <f t="shared" si="3"/>
        <v>25.029186801644158</v>
      </c>
      <c r="F83" s="38">
        <f t="shared" si="4"/>
        <v>-515.04093999999998</v>
      </c>
    </row>
    <row r="84" spans="1:6" s="6" customFormat="1" ht="16.5" customHeight="1">
      <c r="A84" s="30" t="s">
        <v>85</v>
      </c>
      <c r="B84" s="31" t="s">
        <v>86</v>
      </c>
      <c r="C84" s="443">
        <f>C85</f>
        <v>1849.319</v>
      </c>
      <c r="D84" s="32">
        <f>SUM(D85)</f>
        <v>783.53026</v>
      </c>
      <c r="E84" s="34">
        <f t="shared" si="3"/>
        <v>42.368583246048949</v>
      </c>
      <c r="F84" s="34">
        <f t="shared" si="4"/>
        <v>-1065.78874</v>
      </c>
    </row>
    <row r="85" spans="1:6" ht="14.25" customHeight="1">
      <c r="A85" s="35" t="s">
        <v>87</v>
      </c>
      <c r="B85" s="39" t="s">
        <v>233</v>
      </c>
      <c r="C85" s="442">
        <v>1849.319</v>
      </c>
      <c r="D85" s="37">
        <v>783.53026</v>
      </c>
      <c r="E85" s="38">
        <f t="shared" si="3"/>
        <v>42.368583246048949</v>
      </c>
      <c r="F85" s="38">
        <f t="shared" si="4"/>
        <v>-1065.78874</v>
      </c>
    </row>
    <row r="86" spans="1:6" s="6" customFormat="1" ht="12" hidden="1" customHeight="1">
      <c r="A86" s="52">
        <v>1000</v>
      </c>
      <c r="B86" s="31" t="s">
        <v>88</v>
      </c>
      <c r="C86" s="443">
        <f>SUM(C87:C90)</f>
        <v>0</v>
      </c>
      <c r="D86" s="32">
        <f>SUM(D87:D90)</f>
        <v>0</v>
      </c>
      <c r="E86" s="34" t="e">
        <f t="shared" si="3"/>
        <v>#DIV/0!</v>
      </c>
      <c r="F86" s="34">
        <f t="shared" si="4"/>
        <v>0</v>
      </c>
    </row>
    <row r="87" spans="1:6" ht="9" hidden="1" customHeight="1">
      <c r="A87" s="53">
        <v>1001</v>
      </c>
      <c r="B87" s="54" t="s">
        <v>89</v>
      </c>
      <c r="C87" s="442"/>
      <c r="D87" s="37"/>
      <c r="E87" s="38" t="e">
        <f t="shared" si="3"/>
        <v>#DIV/0!</v>
      </c>
      <c r="F87" s="38">
        <f t="shared" si="4"/>
        <v>0</v>
      </c>
    </row>
    <row r="88" spans="1:6" ht="12" hidden="1" customHeight="1">
      <c r="A88" s="53">
        <v>1003</v>
      </c>
      <c r="B88" s="54" t="s">
        <v>90</v>
      </c>
      <c r="C88" s="442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2.75" hidden="1" customHeight="1">
      <c r="A89" s="53">
        <v>1004</v>
      </c>
      <c r="B89" s="54" t="s">
        <v>91</v>
      </c>
      <c r="C89" s="442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9.5" hidden="1" customHeight="1">
      <c r="A90" s="35" t="s">
        <v>92</v>
      </c>
      <c r="B90" s="39" t="s">
        <v>93</v>
      </c>
      <c r="C90" s="442">
        <v>0</v>
      </c>
      <c r="D90" s="37">
        <v>0</v>
      </c>
      <c r="E90" s="38"/>
      <c r="F90" s="38">
        <f t="shared" si="4"/>
        <v>0</v>
      </c>
    </row>
    <row r="91" spans="1:6" ht="15" customHeight="1">
      <c r="A91" s="30" t="s">
        <v>94</v>
      </c>
      <c r="B91" s="31" t="s">
        <v>95</v>
      </c>
      <c r="C91" s="443">
        <f>C92+C93+C94+C95+C96</f>
        <v>52</v>
      </c>
      <c r="D91" s="32">
        <f>D92+D93+D94+D95+D96</f>
        <v>0</v>
      </c>
      <c r="E91" s="38">
        <f t="shared" si="3"/>
        <v>0</v>
      </c>
      <c r="F91" s="22">
        <f>F92+F93+F94+F95+F96</f>
        <v>-52</v>
      </c>
    </row>
    <row r="92" spans="1:6" ht="19.5" customHeight="1">
      <c r="A92" s="35" t="s">
        <v>96</v>
      </c>
      <c r="B92" s="39" t="s">
        <v>97</v>
      </c>
      <c r="C92" s="442">
        <v>52</v>
      </c>
      <c r="D92" s="37">
        <v>0</v>
      </c>
      <c r="E92" s="38">
        <f t="shared" si="3"/>
        <v>0</v>
      </c>
      <c r="F92" s="38">
        <f>SUM(D92-C92)</f>
        <v>-52</v>
      </c>
    </row>
    <row r="93" spans="1:6" ht="15" hidden="1" customHeight="1">
      <c r="A93" s="35" t="s">
        <v>98</v>
      </c>
      <c r="B93" s="39" t="s">
        <v>99</v>
      </c>
      <c r="C93" s="442"/>
      <c r="D93" s="37"/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100</v>
      </c>
      <c r="B94" s="39" t="s">
        <v>101</v>
      </c>
      <c r="C94" s="442"/>
      <c r="D94" s="37"/>
      <c r="E94" s="38" t="e">
        <f t="shared" si="3"/>
        <v>#DIV/0!</v>
      </c>
      <c r="F94" s="38"/>
    </row>
    <row r="95" spans="1:6" ht="15" hidden="1" customHeight="1">
      <c r="A95" s="35" t="s">
        <v>102</v>
      </c>
      <c r="B95" s="39" t="s">
        <v>103</v>
      </c>
      <c r="C95" s="442"/>
      <c r="D95" s="37"/>
      <c r="E95" s="38" t="e">
        <f t="shared" si="3"/>
        <v>#DIV/0!</v>
      </c>
      <c r="F95" s="38"/>
    </row>
    <row r="96" spans="1:6" ht="57.75" hidden="1" customHeight="1">
      <c r="A96" s="35" t="s">
        <v>104</v>
      </c>
      <c r="B96" s="39" t="s">
        <v>105</v>
      </c>
      <c r="C96" s="442"/>
      <c r="D96" s="237"/>
      <c r="E96" s="38" t="e">
        <f t="shared" si="3"/>
        <v>#DIV/0!</v>
      </c>
      <c r="F96" s="38"/>
    </row>
    <row r="97" spans="1:6" s="6" customFormat="1" ht="15" hidden="1" customHeight="1">
      <c r="A97" s="52">
        <v>1400</v>
      </c>
      <c r="B97" s="56" t="s">
        <v>114</v>
      </c>
      <c r="C97" s="401">
        <f>C98+C99+C100</f>
        <v>0</v>
      </c>
      <c r="D97" s="48">
        <f>SUM(D98:D100)</f>
        <v>0</v>
      </c>
      <c r="E97" s="34" t="e">
        <f t="shared" si="3"/>
        <v>#DIV/0!</v>
      </c>
      <c r="F97" s="34">
        <f t="shared" si="4"/>
        <v>0</v>
      </c>
    </row>
    <row r="98" spans="1:6" ht="16.5" hidden="1" customHeight="1">
      <c r="A98" s="53">
        <v>1401</v>
      </c>
      <c r="B98" s="54" t="s">
        <v>115</v>
      </c>
      <c r="C98" s="442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6" ht="20.25" hidden="1" customHeight="1">
      <c r="A99" s="53">
        <v>1402</v>
      </c>
      <c r="B99" s="54" t="s">
        <v>116</v>
      </c>
      <c r="C99" s="445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6" ht="13.5" hidden="1" customHeight="1">
      <c r="A100" s="53">
        <v>1403</v>
      </c>
      <c r="B100" s="54" t="s">
        <v>117</v>
      </c>
      <c r="C100" s="445">
        <v>0</v>
      </c>
      <c r="D100" s="92">
        <v>0</v>
      </c>
      <c r="E100" s="38" t="e">
        <f t="shared" si="3"/>
        <v>#DIV/0!</v>
      </c>
      <c r="F100" s="38">
        <f t="shared" si="4"/>
        <v>0</v>
      </c>
    </row>
    <row r="101" spans="1:6" s="6" customFormat="1">
      <c r="A101" s="52"/>
      <c r="B101" s="57" t="s">
        <v>118</v>
      </c>
      <c r="C101" s="447">
        <f>C57+C65+C67+C73+C80+C84+C86+C91+C78</f>
        <v>10055.399889999999</v>
      </c>
      <c r="D101" s="376">
        <f>D57+D65+D67+D73+D80+D84+D91+D86</f>
        <v>1746.7328399999999</v>
      </c>
      <c r="E101" s="34">
        <f t="shared" si="3"/>
        <v>17.371092737317284</v>
      </c>
      <c r="F101" s="34">
        <f t="shared" si="4"/>
        <v>-8308.6670499999982</v>
      </c>
    </row>
    <row r="102" spans="1:6" ht="5.25" customHeight="1">
      <c r="C102" s="120"/>
      <c r="D102" s="61"/>
    </row>
    <row r="103" spans="1:6" s="65" customFormat="1" ht="12.75">
      <c r="A103" s="63" t="s">
        <v>119</v>
      </c>
      <c r="B103" s="63"/>
      <c r="C103" s="116"/>
      <c r="D103" s="64"/>
    </row>
    <row r="104" spans="1:6" s="65" customFormat="1" ht="12.75">
      <c r="A104" s="66" t="s">
        <v>120</v>
      </c>
      <c r="B104" s="66"/>
      <c r="C104" s="65" t="s">
        <v>121</v>
      </c>
    </row>
    <row r="105" spans="1:6">
      <c r="C105" s="120"/>
    </row>
    <row r="143" hidden="1"/>
  </sheetData>
  <customSheetViews>
    <customSheetView guid="{61528DAC-5C4C-48F4-ADE2-8A724B05A086}" scale="70" showPageBreaks="1" fitToPage="1" printArea="1" hiddenRows="1" view="pageBreakPreview" topLeftCell="A31">
      <selection activeCell="C77" sqref="C77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2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3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4"/>
    </customSheetView>
    <customSheetView guid="{3DCB9AAA-F09C-4EA6-B992-F93E466D374A}" hiddenRows="1" topLeftCell="A47">
      <selection activeCell="B100" sqref="B100"/>
      <pageMargins left="0.7" right="0.7" top="0.75" bottom="0.75" header="0.3" footer="0.3"/>
      <pageSetup paperSize="9" scale="51" orientation="portrait" r:id="rId5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6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B31C8DB7-3E78-4144-A6B5-8DE36DE63F0E}" scale="89" showPageBreaks="1" printArea="1" hiddenRows="1" view="pageBreakPreview">
      <selection activeCell="C12" sqref="C12"/>
      <pageMargins left="0.7" right="0.7" top="0.75" bottom="0.75" header="0.3" footer="0.3"/>
      <pageSetup paperSize="9" scale="47" orientation="portrait" r:id="rId8"/>
    </customSheetView>
    <customSheetView guid="{B30CE22D-C12F-4E12-8BB9-3AAE0A6991CC}" scale="70" showPageBreaks="1" printArea="1" hiddenRows="1" view="pageBreakPreview">
      <selection activeCell="D15" sqref="D15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42"/>
  <sheetViews>
    <sheetView tabSelected="1" view="pageBreakPreview" zoomScale="70" zoomScaleSheetLayoutView="70" workbookViewId="0">
      <selection activeCell="E48" sqref="E48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25" t="s">
        <v>427</v>
      </c>
      <c r="B1" s="525"/>
      <c r="C1" s="525"/>
      <c r="D1" s="525"/>
      <c r="E1" s="525"/>
      <c r="F1" s="525"/>
    </row>
    <row r="2" spans="1:6">
      <c r="A2" s="525"/>
      <c r="B2" s="525"/>
      <c r="C2" s="525"/>
      <c r="D2" s="525"/>
      <c r="E2" s="525"/>
      <c r="F2" s="525"/>
    </row>
    <row r="3" spans="1:6" ht="63">
      <c r="A3" s="2" t="s">
        <v>0</v>
      </c>
      <c r="B3" s="2" t="s">
        <v>1</v>
      </c>
      <c r="C3" s="72" t="s">
        <v>411</v>
      </c>
      <c r="D3" s="73" t="s">
        <v>422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277">
        <f>C5+C12+C14+C17+C20+C7</f>
        <v>4380.491</v>
      </c>
      <c r="D4" s="277">
        <f>D5+D12+D14+D17+D20+D7</f>
        <v>958.24104999999986</v>
      </c>
      <c r="E4" s="5">
        <f>SUM(D4/C4*100)</f>
        <v>21.875197323770323</v>
      </c>
      <c r="F4" s="5">
        <f>SUM(D4-C4)</f>
        <v>-3422.2499500000004</v>
      </c>
    </row>
    <row r="5" spans="1:6" s="6" customFormat="1">
      <c r="A5" s="68">
        <v>1010000000</v>
      </c>
      <c r="B5" s="67" t="s">
        <v>5</v>
      </c>
      <c r="C5" s="277">
        <f>C6</f>
        <v>452.03100000000001</v>
      </c>
      <c r="D5" s="277">
        <f>D6</f>
        <v>172.22501</v>
      </c>
      <c r="E5" s="5">
        <f t="shared" ref="E5:E50" si="0">SUM(D5/C5*100)</f>
        <v>38.100265247294985</v>
      </c>
      <c r="F5" s="5">
        <f t="shared" ref="F5:F50" si="1">SUM(D5-C5)</f>
        <v>-279.80599000000001</v>
      </c>
    </row>
    <row r="6" spans="1:6">
      <c r="A6" s="7">
        <v>1010200001</v>
      </c>
      <c r="B6" s="8" t="s">
        <v>228</v>
      </c>
      <c r="C6" s="325">
        <v>452.03100000000001</v>
      </c>
      <c r="D6" s="326">
        <v>172.22501</v>
      </c>
      <c r="E6" s="9">
        <f t="shared" ref="E6:E11" si="2">SUM(D6/C6*100)</f>
        <v>38.100265247294985</v>
      </c>
      <c r="F6" s="9">
        <f t="shared" si="1"/>
        <v>-279.80599000000001</v>
      </c>
    </row>
    <row r="7" spans="1:6" ht="31.5">
      <c r="A7" s="3">
        <v>1030000000</v>
      </c>
      <c r="B7" s="13" t="s">
        <v>280</v>
      </c>
      <c r="C7" s="416">
        <f>C8+C10+C9</f>
        <v>715.46</v>
      </c>
      <c r="D7" s="277">
        <f>D8+D10+D9+D11</f>
        <v>346.65778999999998</v>
      </c>
      <c r="E7" s="5">
        <f t="shared" si="2"/>
        <v>48.452434797193412</v>
      </c>
      <c r="F7" s="5">
        <f t="shared" si="1"/>
        <v>-368.80221000000006</v>
      </c>
    </row>
    <row r="8" spans="1:6">
      <c r="A8" s="7">
        <v>1030223001</v>
      </c>
      <c r="B8" s="8" t="s">
        <v>282</v>
      </c>
      <c r="C8" s="325">
        <v>266.87</v>
      </c>
      <c r="D8" s="326">
        <v>156.60491999999999</v>
      </c>
      <c r="E8" s="9">
        <f t="shared" si="2"/>
        <v>58.682099898827147</v>
      </c>
      <c r="F8" s="9">
        <f t="shared" si="1"/>
        <v>-110.26508000000001</v>
      </c>
    </row>
    <row r="9" spans="1:6">
      <c r="A9" s="7">
        <v>1030224001</v>
      </c>
      <c r="B9" s="8" t="s">
        <v>288</v>
      </c>
      <c r="C9" s="325">
        <v>2.86</v>
      </c>
      <c r="D9" s="326">
        <v>1.1764699999999999</v>
      </c>
      <c r="E9" s="9">
        <f t="shared" si="2"/>
        <v>41.135314685314682</v>
      </c>
      <c r="F9" s="9">
        <f t="shared" si="1"/>
        <v>-1.68353</v>
      </c>
    </row>
    <row r="10" spans="1:6">
      <c r="A10" s="7">
        <v>1030225001</v>
      </c>
      <c r="B10" s="8" t="s">
        <v>281</v>
      </c>
      <c r="C10" s="325">
        <v>445.73</v>
      </c>
      <c r="D10" s="326">
        <v>217.35640000000001</v>
      </c>
      <c r="E10" s="9">
        <f t="shared" si="2"/>
        <v>48.764139725842995</v>
      </c>
      <c r="F10" s="9">
        <f t="shared" si="1"/>
        <v>-228.37360000000001</v>
      </c>
    </row>
    <row r="11" spans="1:6">
      <c r="A11" s="7">
        <v>1030226001</v>
      </c>
      <c r="B11" s="8" t="s">
        <v>289</v>
      </c>
      <c r="C11" s="325">
        <v>0</v>
      </c>
      <c r="D11" s="324">
        <v>-28.48</v>
      </c>
      <c r="E11" s="9" t="e">
        <f t="shared" si="2"/>
        <v>#DIV/0!</v>
      </c>
      <c r="F11" s="9">
        <f t="shared" si="1"/>
        <v>-28.48</v>
      </c>
    </row>
    <row r="12" spans="1:6" s="6" customFormat="1">
      <c r="A12" s="68">
        <v>1050000000</v>
      </c>
      <c r="B12" s="67" t="s">
        <v>6</v>
      </c>
      <c r="C12" s="277">
        <f>SUM(C13:C13)</f>
        <v>50</v>
      </c>
      <c r="D12" s="277">
        <f>D13</f>
        <v>26.8843</v>
      </c>
      <c r="E12" s="5">
        <f t="shared" si="0"/>
        <v>53.768599999999999</v>
      </c>
      <c r="F12" s="5">
        <f t="shared" si="1"/>
        <v>-23.1157</v>
      </c>
    </row>
    <row r="13" spans="1:6" ht="15.75" customHeight="1">
      <c r="A13" s="7">
        <v>1050300000</v>
      </c>
      <c r="B13" s="11" t="s">
        <v>229</v>
      </c>
      <c r="C13" s="327">
        <v>50</v>
      </c>
      <c r="D13" s="326">
        <v>26.8843</v>
      </c>
      <c r="E13" s="9">
        <f t="shared" si="0"/>
        <v>53.768599999999999</v>
      </c>
      <c r="F13" s="9">
        <f t="shared" si="1"/>
        <v>-23.1157</v>
      </c>
    </row>
    <row r="14" spans="1:6" s="6" customFormat="1" ht="15.75" customHeight="1">
      <c r="A14" s="68">
        <v>1060000000</v>
      </c>
      <c r="B14" s="67" t="s">
        <v>135</v>
      </c>
      <c r="C14" s="277">
        <f>C15+C16</f>
        <v>3138</v>
      </c>
      <c r="D14" s="277">
        <f>D15+D16</f>
        <v>403.17394999999999</v>
      </c>
      <c r="E14" s="5">
        <f t="shared" si="0"/>
        <v>12.84811822817081</v>
      </c>
      <c r="F14" s="5">
        <f t="shared" si="1"/>
        <v>-2734.8260500000001</v>
      </c>
    </row>
    <row r="15" spans="1:6" s="6" customFormat="1" ht="15.75" customHeight="1">
      <c r="A15" s="7">
        <v>1060100000</v>
      </c>
      <c r="B15" s="11" t="s">
        <v>8</v>
      </c>
      <c r="C15" s="325">
        <v>338</v>
      </c>
      <c r="D15" s="326">
        <v>36.567920000000001</v>
      </c>
      <c r="E15" s="9">
        <f t="shared" si="0"/>
        <v>10.81891124260355</v>
      </c>
      <c r="F15" s="9">
        <f>SUM(D15-C15)</f>
        <v>-301.43207999999998</v>
      </c>
    </row>
    <row r="16" spans="1:6" ht="15.75" customHeight="1">
      <c r="A16" s="7">
        <v>1060600000</v>
      </c>
      <c r="B16" s="11" t="s">
        <v>7</v>
      </c>
      <c r="C16" s="325">
        <v>2800</v>
      </c>
      <c r="D16" s="326">
        <v>366.60602999999998</v>
      </c>
      <c r="E16" s="9">
        <f t="shared" si="0"/>
        <v>13.0930725</v>
      </c>
      <c r="F16" s="9">
        <f t="shared" si="1"/>
        <v>-2433.3939700000001</v>
      </c>
    </row>
    <row r="17" spans="1:6" s="6" customFormat="1">
      <c r="A17" s="3">
        <v>1080000000</v>
      </c>
      <c r="B17" s="4" t="s">
        <v>10</v>
      </c>
      <c r="C17" s="277">
        <f>C18</f>
        <v>25</v>
      </c>
      <c r="D17" s="277">
        <f>D18</f>
        <v>9.3000000000000007</v>
      </c>
      <c r="E17" s="5">
        <f t="shared" si="0"/>
        <v>37.200000000000003</v>
      </c>
      <c r="F17" s="5">
        <f t="shared" si="1"/>
        <v>-15.7</v>
      </c>
    </row>
    <row r="18" spans="1:6" ht="18" customHeight="1">
      <c r="A18" s="7">
        <v>1080400001</v>
      </c>
      <c r="B18" s="8" t="s">
        <v>227</v>
      </c>
      <c r="C18" s="325">
        <v>25</v>
      </c>
      <c r="D18" s="326">
        <v>9.3000000000000007</v>
      </c>
      <c r="E18" s="9">
        <f t="shared" si="0"/>
        <v>37.200000000000003</v>
      </c>
      <c r="F18" s="9">
        <f t="shared" si="1"/>
        <v>-15.7</v>
      </c>
    </row>
    <row r="19" spans="1:6" ht="47.25" hidden="1" customHeight="1">
      <c r="A19" s="7">
        <v>1080714001</v>
      </c>
      <c r="B19" s="8" t="s">
        <v>11</v>
      </c>
      <c r="C19" s="325"/>
      <c r="D19" s="326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277">
        <f>C21+C22+C23+C24</f>
        <v>0</v>
      </c>
      <c r="D20" s="277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277"/>
      <c r="D21" s="328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125</v>
      </c>
      <c r="C22" s="277"/>
      <c r="D22" s="328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277"/>
      <c r="D23" s="328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277"/>
      <c r="D24" s="328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277">
        <f>C26+C29+C31+C36</f>
        <v>40</v>
      </c>
      <c r="D25" s="93">
        <f>D26+D29+D31+D36+D34</f>
        <v>115.71235999999999</v>
      </c>
      <c r="E25" s="5">
        <f t="shared" si="0"/>
        <v>289.28089999999997</v>
      </c>
      <c r="F25" s="5">
        <f t="shared" si="1"/>
        <v>75.71235999999999</v>
      </c>
    </row>
    <row r="26" spans="1:6" s="6" customFormat="1" ht="30" customHeight="1">
      <c r="A26" s="68">
        <v>1110000000</v>
      </c>
      <c r="B26" s="69" t="s">
        <v>128</v>
      </c>
      <c r="C26" s="277">
        <f>C27+C28</f>
        <v>40</v>
      </c>
      <c r="D26" s="93">
        <f>D27+D28</f>
        <v>88.280379999999994</v>
      </c>
      <c r="E26" s="5">
        <f t="shared" si="0"/>
        <v>220.70094999999998</v>
      </c>
      <c r="F26" s="5">
        <f t="shared" si="1"/>
        <v>48.280379999999994</v>
      </c>
    </row>
    <row r="27" spans="1:6" ht="15" customHeight="1">
      <c r="A27" s="16">
        <v>1110502510</v>
      </c>
      <c r="B27" s="17" t="s">
        <v>225</v>
      </c>
      <c r="C27" s="327">
        <v>40</v>
      </c>
      <c r="D27" s="324">
        <v>88.280379999999994</v>
      </c>
      <c r="E27" s="9">
        <f t="shared" si="0"/>
        <v>220.70094999999998</v>
      </c>
      <c r="F27" s="9">
        <f t="shared" si="1"/>
        <v>48.280379999999994</v>
      </c>
    </row>
    <row r="28" spans="1:6" ht="15.75" customHeight="1">
      <c r="A28" s="7">
        <v>1110503505</v>
      </c>
      <c r="B28" s="11" t="s">
        <v>224</v>
      </c>
      <c r="C28" s="327">
        <v>0</v>
      </c>
      <c r="D28" s="326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130</v>
      </c>
      <c r="C29" s="277">
        <f>C30</f>
        <v>0</v>
      </c>
      <c r="D29" s="277">
        <f>D30</f>
        <v>27.431979999999999</v>
      </c>
      <c r="E29" s="5" t="e">
        <f t="shared" si="0"/>
        <v>#DIV/0!</v>
      </c>
      <c r="F29" s="5">
        <f t="shared" si="1"/>
        <v>27.431979999999999</v>
      </c>
    </row>
    <row r="30" spans="1:6" ht="17.25" customHeight="1">
      <c r="A30" s="7">
        <v>1130206005</v>
      </c>
      <c r="B30" s="8" t="s">
        <v>223</v>
      </c>
      <c r="C30" s="325">
        <v>0</v>
      </c>
      <c r="D30" s="326">
        <v>27.431979999999999</v>
      </c>
      <c r="E30" s="9" t="e">
        <f t="shared" si="0"/>
        <v>#DIV/0!</v>
      </c>
      <c r="F30" s="9">
        <f t="shared" si="1"/>
        <v>27.431979999999999</v>
      </c>
    </row>
    <row r="31" spans="1:6" ht="28.5" hidden="1">
      <c r="A31" s="70">
        <v>1140000000</v>
      </c>
      <c r="B31" s="71" t="s">
        <v>131</v>
      </c>
      <c r="C31" s="277">
        <f>C32+C33</f>
        <v>0</v>
      </c>
      <c r="D31" s="277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221</v>
      </c>
      <c r="C32" s="325">
        <v>0</v>
      </c>
      <c r="D32" s="326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222</v>
      </c>
      <c r="C33" s="325">
        <v>0</v>
      </c>
      <c r="D33" s="326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1160000000</v>
      </c>
      <c r="B34" s="13" t="s">
        <v>251</v>
      </c>
      <c r="C34" s="277">
        <f>C35</f>
        <v>0</v>
      </c>
      <c r="D34" s="277">
        <f>D35</f>
        <v>0</v>
      </c>
      <c r="E34" s="5" t="e">
        <f>SUM(D34/C34*100)</f>
        <v>#DIV/0!</v>
      </c>
      <c r="F34" s="5">
        <f>SUM(D34-C34)</f>
        <v>0</v>
      </c>
    </row>
    <row r="35" spans="1:7" ht="47.25" hidden="1">
      <c r="A35" s="7">
        <v>1163305010</v>
      </c>
      <c r="B35" s="8" t="s">
        <v>267</v>
      </c>
      <c r="C35" s="325">
        <v>0</v>
      </c>
      <c r="D35" s="326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134</v>
      </c>
      <c r="C36" s="277">
        <f>C37+C38</f>
        <v>0</v>
      </c>
      <c r="D36" s="93">
        <f>D37</f>
        <v>0</v>
      </c>
      <c r="E36" s="5" t="e">
        <f t="shared" si="0"/>
        <v>#DIV/0!</v>
      </c>
      <c r="F36" s="5">
        <f t="shared" si="1"/>
        <v>0</v>
      </c>
    </row>
    <row r="37" spans="1:7" ht="19.5" customHeight="1">
      <c r="A37" s="7">
        <v>1170105005</v>
      </c>
      <c r="B37" s="8" t="s">
        <v>17</v>
      </c>
      <c r="C37" s="325">
        <f>C38</f>
        <v>0</v>
      </c>
      <c r="D37" s="335">
        <v>0</v>
      </c>
      <c r="E37" s="9" t="e">
        <f t="shared" si="0"/>
        <v>#DIV/0!</v>
      </c>
      <c r="F37" s="9">
        <f t="shared" si="1"/>
        <v>0</v>
      </c>
    </row>
    <row r="38" spans="1:7" ht="17.25" hidden="1" customHeight="1">
      <c r="A38" s="7">
        <v>1170505005</v>
      </c>
      <c r="B38" s="11" t="s">
        <v>220</v>
      </c>
      <c r="C38" s="325">
        <v>0</v>
      </c>
      <c r="D38" s="326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18</v>
      </c>
      <c r="C39" s="329">
        <f>SUM(C4,C25)</f>
        <v>4420.491</v>
      </c>
      <c r="D39" s="329">
        <f>D4+D25</f>
        <v>1073.9534099999998</v>
      </c>
      <c r="E39" s="5">
        <f t="shared" si="0"/>
        <v>24.29488964008749</v>
      </c>
      <c r="F39" s="5">
        <f t="shared" si="1"/>
        <v>-3346.5375899999999</v>
      </c>
    </row>
    <row r="40" spans="1:7" s="6" customFormat="1">
      <c r="A40" s="3">
        <v>2000000000</v>
      </c>
      <c r="B40" s="4" t="s">
        <v>19</v>
      </c>
      <c r="C40" s="377">
        <f>C41+C43+C45+C46+C47+C48+C42+C44</f>
        <v>4602.7895800000006</v>
      </c>
      <c r="D40" s="277">
        <f>D41+D43+D45+D46+D47+D48+D42</f>
        <v>894.85900000000004</v>
      </c>
      <c r="E40" s="5">
        <f t="shared" si="0"/>
        <v>19.441666503468532</v>
      </c>
      <c r="F40" s="5">
        <f t="shared" si="1"/>
        <v>-3707.9305800000006</v>
      </c>
      <c r="G40" s="19"/>
    </row>
    <row r="41" spans="1:7">
      <c r="A41" s="16">
        <v>2021000000</v>
      </c>
      <c r="B41" s="17" t="s">
        <v>20</v>
      </c>
      <c r="C41" s="330">
        <v>1151.0999999999999</v>
      </c>
      <c r="D41" s="331">
        <v>458.79</v>
      </c>
      <c r="E41" s="9">
        <f t="shared" si="0"/>
        <v>39.856658848058387</v>
      </c>
      <c r="F41" s="9">
        <f t="shared" si="1"/>
        <v>-692.31</v>
      </c>
    </row>
    <row r="42" spans="1:7" ht="17.25" hidden="1" customHeight="1">
      <c r="A42" s="16">
        <v>2021500200</v>
      </c>
      <c r="B42" s="17" t="s">
        <v>231</v>
      </c>
      <c r="C42" s="330">
        <v>0</v>
      </c>
      <c r="D42" s="331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21</v>
      </c>
      <c r="C43" s="330">
        <v>2973.0091900000002</v>
      </c>
      <c r="D43" s="326">
        <v>361.47</v>
      </c>
      <c r="E43" s="9">
        <f t="shared" si="0"/>
        <v>12.158388249045405</v>
      </c>
      <c r="F43" s="9">
        <f t="shared" si="1"/>
        <v>-2611.5391900000004</v>
      </c>
    </row>
    <row r="44" spans="1:7" ht="15.75" customHeight="1">
      <c r="A44" s="16">
        <v>2022999910</v>
      </c>
      <c r="B44" s="18" t="s">
        <v>349</v>
      </c>
      <c r="C44" s="330">
        <v>0</v>
      </c>
      <c r="D44" s="326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22</v>
      </c>
      <c r="C45" s="327">
        <v>182.38900000000001</v>
      </c>
      <c r="D45" s="332">
        <v>74.599000000000004</v>
      </c>
      <c r="E45" s="9">
        <f t="shared" si="0"/>
        <v>40.901041181211582</v>
      </c>
      <c r="F45" s="9">
        <f t="shared" si="1"/>
        <v>-107.79</v>
      </c>
    </row>
    <row r="46" spans="1:7" ht="17.25" customHeight="1">
      <c r="A46" s="16">
        <v>2020400000</v>
      </c>
      <c r="B46" s="17" t="s">
        <v>23</v>
      </c>
      <c r="C46" s="327">
        <v>293.8</v>
      </c>
      <c r="D46" s="333"/>
      <c r="E46" s="9">
        <f t="shared" si="0"/>
        <v>0</v>
      </c>
      <c r="F46" s="9">
        <f t="shared" si="1"/>
        <v>-293.8</v>
      </c>
    </row>
    <row r="47" spans="1:7" ht="17.25" customHeight="1">
      <c r="A47" s="7">
        <v>2070500010</v>
      </c>
      <c r="B47" s="17" t="s">
        <v>356</v>
      </c>
      <c r="C47" s="327">
        <v>2.49139</v>
      </c>
      <c r="D47" s="333">
        <v>0</v>
      </c>
      <c r="E47" s="9">
        <f t="shared" si="0"/>
        <v>0</v>
      </c>
      <c r="F47" s="9">
        <f t="shared" si="1"/>
        <v>-2.49139</v>
      </c>
    </row>
    <row r="48" spans="1:7" ht="21" hidden="1" customHeight="1">
      <c r="A48" s="7">
        <v>2190500005</v>
      </c>
      <c r="B48" s="11" t="s">
        <v>25</v>
      </c>
      <c r="C48" s="328"/>
      <c r="D48" s="328"/>
      <c r="E48" s="5"/>
      <c r="F48" s="5">
        <f>SUM(D48-C48)</f>
        <v>0</v>
      </c>
    </row>
    <row r="49" spans="1:8" s="6" customFormat="1" ht="17.25" hidden="1" customHeight="1">
      <c r="A49" s="3">
        <v>3000000000</v>
      </c>
      <c r="B49" s="13" t="s">
        <v>26</v>
      </c>
      <c r="C49" s="334">
        <v>0</v>
      </c>
      <c r="D49" s="328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27</v>
      </c>
      <c r="C50" s="366">
        <f>C39+C40</f>
        <v>9023.2805800000006</v>
      </c>
      <c r="D50" s="364">
        <f>D39+D40</f>
        <v>1968.81241</v>
      </c>
      <c r="E50" s="277">
        <f t="shared" si="0"/>
        <v>21.819252904136114</v>
      </c>
      <c r="F50" s="93">
        <f t="shared" si="1"/>
        <v>-7054.4681700000001</v>
      </c>
      <c r="G50" s="151"/>
      <c r="H50" s="290"/>
    </row>
    <row r="51" spans="1:8" s="6" customFormat="1">
      <c r="A51" s="3"/>
      <c r="B51" s="21" t="s">
        <v>320</v>
      </c>
      <c r="C51" s="93">
        <f>C50-C97</f>
        <v>-906.38554999999906</v>
      </c>
      <c r="D51" s="93">
        <f>D50-D97</f>
        <v>-548.75453999999991</v>
      </c>
      <c r="E51" s="32"/>
      <c r="F51" s="32"/>
    </row>
    <row r="52" spans="1:8">
      <c r="A52" s="23"/>
      <c r="B52" s="24"/>
      <c r="C52" s="322"/>
      <c r="D52" s="322"/>
      <c r="E52" s="26"/>
      <c r="F52" s="27"/>
    </row>
    <row r="53" spans="1:8" ht="45.75" customHeight="1">
      <c r="A53" s="28" t="s">
        <v>0</v>
      </c>
      <c r="B53" s="28" t="s">
        <v>28</v>
      </c>
      <c r="C53" s="240" t="s">
        <v>411</v>
      </c>
      <c r="D53" s="241" t="s">
        <v>419</v>
      </c>
      <c r="E53" s="72" t="s">
        <v>2</v>
      </c>
      <c r="F53" s="74" t="s">
        <v>3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29.25" customHeight="1">
      <c r="A55" s="30" t="s">
        <v>29</v>
      </c>
      <c r="B55" s="31" t="s">
        <v>30</v>
      </c>
      <c r="C55" s="32">
        <f>C56+C57+C58+C59+C60+C62+C61</f>
        <v>1662.1209999999999</v>
      </c>
      <c r="D55" s="32">
        <f>D56+D57+D58+D59+D60+D62+D61</f>
        <v>561.33646999999996</v>
      </c>
      <c r="E55" s="34">
        <f>SUM(D55/C55*100)</f>
        <v>33.772298767658917</v>
      </c>
      <c r="F55" s="34">
        <f>SUM(D55-C55)</f>
        <v>-1100.7845299999999</v>
      </c>
    </row>
    <row r="56" spans="1:8" s="6" customFormat="1" ht="31.5" hidden="1">
      <c r="A56" s="35" t="s">
        <v>31</v>
      </c>
      <c r="B56" s="36" t="s">
        <v>32</v>
      </c>
      <c r="C56" s="37"/>
      <c r="D56" s="37"/>
      <c r="E56" s="38"/>
      <c r="F56" s="38"/>
    </row>
    <row r="57" spans="1:8" ht="15.75" customHeight="1">
      <c r="A57" s="35" t="s">
        <v>33</v>
      </c>
      <c r="B57" s="39" t="s">
        <v>34</v>
      </c>
      <c r="C57" s="37">
        <v>1582.0709999999999</v>
      </c>
      <c r="D57" s="37">
        <v>506.28647000000001</v>
      </c>
      <c r="E57" s="38">
        <f t="shared" ref="E57:E69" si="3">SUM(D57/C57*100)</f>
        <v>32.001501196848942</v>
      </c>
      <c r="F57" s="38">
        <f t="shared" ref="F57:F69" si="4">SUM(D57-C57)</f>
        <v>-1075.7845299999999</v>
      </c>
    </row>
    <row r="58" spans="1:8" ht="0.75" hidden="1" customHeight="1">
      <c r="A58" s="35" t="s">
        <v>35</v>
      </c>
      <c r="B58" s="39" t="s">
        <v>36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37</v>
      </c>
      <c r="B59" s="39" t="s">
        <v>38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7.25" hidden="1" customHeight="1">
      <c r="A60" s="35" t="s">
        <v>39</v>
      </c>
      <c r="B60" s="39" t="s">
        <v>40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41</v>
      </c>
      <c r="B61" s="39" t="s">
        <v>42</v>
      </c>
      <c r="C61" s="37">
        <v>5</v>
      </c>
      <c r="D61" s="32">
        <v>0</v>
      </c>
      <c r="E61" s="38">
        <f t="shared" si="3"/>
        <v>0</v>
      </c>
      <c r="F61" s="38">
        <f t="shared" si="4"/>
        <v>-5</v>
      </c>
    </row>
    <row r="62" spans="1:8" ht="15" customHeight="1">
      <c r="A62" s="35" t="s">
        <v>43</v>
      </c>
      <c r="B62" s="39" t="s">
        <v>44</v>
      </c>
      <c r="C62" s="37">
        <v>75.05</v>
      </c>
      <c r="D62" s="37">
        <v>55.05</v>
      </c>
      <c r="E62" s="38">
        <f t="shared" si="3"/>
        <v>73.351099267155234</v>
      </c>
      <c r="F62" s="38">
        <f t="shared" si="4"/>
        <v>-20</v>
      </c>
    </row>
    <row r="63" spans="1:8" s="6" customFormat="1">
      <c r="A63" s="41" t="s">
        <v>45</v>
      </c>
      <c r="B63" s="42" t="s">
        <v>46</v>
      </c>
      <c r="C63" s="32">
        <f>C64</f>
        <v>179.892</v>
      </c>
      <c r="D63" s="32">
        <f>D64</f>
        <v>63.89837</v>
      </c>
      <c r="E63" s="34">
        <f t="shared" si="3"/>
        <v>35.52040668845752</v>
      </c>
      <c r="F63" s="34">
        <f t="shared" si="4"/>
        <v>-115.99363</v>
      </c>
    </row>
    <row r="64" spans="1:8">
      <c r="A64" s="43" t="s">
        <v>47</v>
      </c>
      <c r="B64" s="44" t="s">
        <v>48</v>
      </c>
      <c r="C64" s="37">
        <v>179.892</v>
      </c>
      <c r="D64" s="37">
        <v>63.89837</v>
      </c>
      <c r="E64" s="38">
        <f t="shared" si="3"/>
        <v>35.52040668845752</v>
      </c>
      <c r="F64" s="38">
        <f t="shared" si="4"/>
        <v>-115.99363</v>
      </c>
    </row>
    <row r="65" spans="1:7" s="6" customFormat="1" ht="15.75" customHeight="1">
      <c r="A65" s="30" t="s">
        <v>49</v>
      </c>
      <c r="B65" s="31" t="s">
        <v>50</v>
      </c>
      <c r="C65" s="32">
        <f>C68+C69+C70</f>
        <v>6.8</v>
      </c>
      <c r="D65" s="32">
        <f>D68+D69</f>
        <v>0.6</v>
      </c>
      <c r="E65" s="34">
        <f t="shared" si="3"/>
        <v>8.8235294117647065</v>
      </c>
      <c r="F65" s="34">
        <f t="shared" si="4"/>
        <v>-6.2</v>
      </c>
    </row>
    <row r="66" spans="1:7" hidden="1">
      <c r="A66" s="35" t="s">
        <v>51</v>
      </c>
      <c r="B66" s="39" t="s">
        <v>52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53</v>
      </c>
      <c r="B67" s="39" t="s">
        <v>54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55</v>
      </c>
      <c r="B68" s="47" t="s">
        <v>56</v>
      </c>
      <c r="C68" s="37">
        <v>2.4</v>
      </c>
      <c r="D68" s="37">
        <v>0</v>
      </c>
      <c r="E68" s="34">
        <f t="shared" si="3"/>
        <v>0</v>
      </c>
      <c r="F68" s="34">
        <f t="shared" si="4"/>
        <v>-2.4</v>
      </c>
    </row>
    <row r="69" spans="1:7" s="6" customFormat="1" ht="15.75" customHeight="1">
      <c r="A69" s="46" t="s">
        <v>218</v>
      </c>
      <c r="B69" s="47" t="s">
        <v>219</v>
      </c>
      <c r="C69" s="37">
        <v>2.4</v>
      </c>
      <c r="D69" s="37">
        <v>0.6</v>
      </c>
      <c r="E69" s="38">
        <f t="shared" si="3"/>
        <v>25</v>
      </c>
      <c r="F69" s="38">
        <f t="shared" si="4"/>
        <v>-1.7999999999999998</v>
      </c>
    </row>
    <row r="70" spans="1:7" s="6" customFormat="1" ht="15.75" customHeight="1">
      <c r="A70" s="46" t="s">
        <v>357</v>
      </c>
      <c r="B70" s="47" t="s">
        <v>413</v>
      </c>
      <c r="C70" s="37">
        <v>2</v>
      </c>
      <c r="D70" s="37"/>
      <c r="E70" s="38"/>
      <c r="F70" s="38"/>
    </row>
    <row r="71" spans="1:7">
      <c r="A71" s="30" t="s">
        <v>57</v>
      </c>
      <c r="B71" s="31" t="s">
        <v>58</v>
      </c>
      <c r="C71" s="48">
        <f>SUM(C72:C75)</f>
        <v>4768.7961299999997</v>
      </c>
      <c r="D71" s="48">
        <f>SUM(D72:D75)</f>
        <v>780.98067000000003</v>
      </c>
      <c r="E71" s="34">
        <f t="shared" ref="E71:E86" si="5">SUM(D71/C71*100)</f>
        <v>16.376893637514339</v>
      </c>
      <c r="F71" s="34">
        <f t="shared" ref="F71:F86" si="6">SUM(D71-C71)</f>
        <v>-3987.8154599999998</v>
      </c>
    </row>
    <row r="72" spans="1:7" s="6" customFormat="1" ht="17.25" customHeight="1">
      <c r="A72" s="35" t="s">
        <v>59</v>
      </c>
      <c r="B72" s="39" t="s">
        <v>60</v>
      </c>
      <c r="C72" s="49">
        <v>6.7024999999999997</v>
      </c>
      <c r="D72" s="37">
        <v>0</v>
      </c>
      <c r="E72" s="38">
        <f t="shared" si="5"/>
        <v>0</v>
      </c>
      <c r="F72" s="38">
        <f t="shared" si="6"/>
        <v>-6.7024999999999997</v>
      </c>
      <c r="G72" s="50"/>
    </row>
    <row r="73" spans="1:7">
      <c r="A73" s="35" t="s">
        <v>61</v>
      </c>
      <c r="B73" s="39" t="s">
        <v>62</v>
      </c>
      <c r="C73" s="49">
        <v>452</v>
      </c>
      <c r="D73" s="37">
        <v>363.82026000000002</v>
      </c>
      <c r="E73" s="38">
        <f t="shared" si="5"/>
        <v>80.49120796460177</v>
      </c>
      <c r="F73" s="38">
        <f t="shared" si="6"/>
        <v>-88.179739999999981</v>
      </c>
    </row>
    <row r="74" spans="1:7">
      <c r="A74" s="35" t="s">
        <v>63</v>
      </c>
      <c r="B74" s="39" t="s">
        <v>64</v>
      </c>
      <c r="C74" s="49">
        <v>4084.89363</v>
      </c>
      <c r="D74" s="37">
        <v>410.76040999999998</v>
      </c>
      <c r="E74" s="38">
        <f t="shared" si="5"/>
        <v>10.05559623348136</v>
      </c>
      <c r="F74" s="38">
        <f t="shared" si="6"/>
        <v>-3674.1332200000002</v>
      </c>
    </row>
    <row r="75" spans="1:7" s="6" customFormat="1">
      <c r="A75" s="35" t="s">
        <v>65</v>
      </c>
      <c r="B75" s="39" t="s">
        <v>66</v>
      </c>
      <c r="C75" s="49">
        <v>225.2</v>
      </c>
      <c r="D75" s="37">
        <v>6.4</v>
      </c>
      <c r="E75" s="38">
        <f t="shared" si="5"/>
        <v>2.8419182948490236</v>
      </c>
      <c r="F75" s="38">
        <f t="shared" si="6"/>
        <v>-218.79999999999998</v>
      </c>
    </row>
    <row r="76" spans="1:7" ht="17.25" customHeight="1">
      <c r="A76" s="30" t="s">
        <v>67</v>
      </c>
      <c r="B76" s="31" t="s">
        <v>68</v>
      </c>
      <c r="C76" s="32">
        <f>SUM(C77:C79)</f>
        <v>1023.457</v>
      </c>
      <c r="D76" s="32">
        <f>SUM(D77:D79)</f>
        <v>543.75144</v>
      </c>
      <c r="E76" s="34">
        <f t="shared" si="5"/>
        <v>53.128899406618935</v>
      </c>
      <c r="F76" s="34">
        <f t="shared" si="6"/>
        <v>-479.70555999999999</v>
      </c>
    </row>
    <row r="77" spans="1:7" ht="0.75" hidden="1" customHeight="1">
      <c r="A77" s="35" t="s">
        <v>69</v>
      </c>
      <c r="B77" s="51" t="s">
        <v>70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ht="17.25" hidden="1" customHeight="1">
      <c r="A78" s="35" t="s">
        <v>71</v>
      </c>
      <c r="B78" s="51" t="s">
        <v>72</v>
      </c>
      <c r="C78" s="37">
        <v>0</v>
      </c>
      <c r="D78" s="37">
        <v>0</v>
      </c>
      <c r="E78" s="38" t="e">
        <f t="shared" si="5"/>
        <v>#DIV/0!</v>
      </c>
      <c r="F78" s="38">
        <f t="shared" si="6"/>
        <v>0</v>
      </c>
    </row>
    <row r="79" spans="1:7" s="6" customFormat="1">
      <c r="A79" s="35" t="s">
        <v>73</v>
      </c>
      <c r="B79" s="39" t="s">
        <v>74</v>
      </c>
      <c r="C79" s="37">
        <v>1023.457</v>
      </c>
      <c r="D79" s="37">
        <v>543.75144</v>
      </c>
      <c r="E79" s="38">
        <f t="shared" si="5"/>
        <v>53.128899406618935</v>
      </c>
      <c r="F79" s="38">
        <f t="shared" si="6"/>
        <v>-479.70555999999999</v>
      </c>
    </row>
    <row r="80" spans="1:7">
      <c r="A80" s="30" t="s">
        <v>85</v>
      </c>
      <c r="B80" s="31" t="s">
        <v>86</v>
      </c>
      <c r="C80" s="32">
        <f>C81</f>
        <v>2287.6</v>
      </c>
      <c r="D80" s="32">
        <f>D81</f>
        <v>567</v>
      </c>
      <c r="E80" s="34">
        <f t="shared" si="5"/>
        <v>24.785801713586292</v>
      </c>
      <c r="F80" s="34">
        <f t="shared" si="6"/>
        <v>-1720.6</v>
      </c>
    </row>
    <row r="81" spans="1:6" s="6" customFormat="1" ht="15" customHeight="1">
      <c r="A81" s="35" t="s">
        <v>87</v>
      </c>
      <c r="B81" s="39" t="s">
        <v>233</v>
      </c>
      <c r="C81" s="37">
        <v>2287.6</v>
      </c>
      <c r="D81" s="37">
        <v>567</v>
      </c>
      <c r="E81" s="38">
        <f t="shared" si="5"/>
        <v>24.785801713586292</v>
      </c>
      <c r="F81" s="38">
        <f t="shared" si="6"/>
        <v>-1720.6</v>
      </c>
    </row>
    <row r="82" spans="1:6" ht="20.25" hidden="1" customHeight="1">
      <c r="A82" s="52">
        <v>1000</v>
      </c>
      <c r="B82" s="31" t="s">
        <v>88</v>
      </c>
      <c r="C82" s="32">
        <f>SUM(C83:C86)</f>
        <v>0</v>
      </c>
      <c r="D82" s="32">
        <f>SUM(D83:D86)</f>
        <v>0</v>
      </c>
      <c r="E82" s="34" t="e">
        <f t="shared" si="5"/>
        <v>#DIV/0!</v>
      </c>
      <c r="F82" s="34">
        <f t="shared" si="6"/>
        <v>0</v>
      </c>
    </row>
    <row r="83" spans="1:6" ht="18" hidden="1" customHeight="1">
      <c r="A83" s="53">
        <v>1001</v>
      </c>
      <c r="B83" s="54" t="s">
        <v>89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1003</v>
      </c>
      <c r="B84" s="54" t="s">
        <v>90</v>
      </c>
      <c r="C84" s="37">
        <v>0</v>
      </c>
      <c r="D84" s="37">
        <v>0</v>
      </c>
      <c r="E84" s="38" t="e">
        <f t="shared" si="5"/>
        <v>#DIV/0!</v>
      </c>
      <c r="F84" s="38">
        <f t="shared" si="6"/>
        <v>0</v>
      </c>
    </row>
    <row r="85" spans="1:6" ht="17.25" hidden="1" customHeight="1">
      <c r="A85" s="53">
        <v>1004</v>
      </c>
      <c r="B85" s="54" t="s">
        <v>91</v>
      </c>
      <c r="C85" s="37">
        <v>0</v>
      </c>
      <c r="D85" s="55">
        <v>0</v>
      </c>
      <c r="E85" s="38" t="e">
        <f t="shared" si="5"/>
        <v>#DIV/0!</v>
      </c>
      <c r="F85" s="38">
        <f t="shared" si="6"/>
        <v>0</v>
      </c>
    </row>
    <row r="86" spans="1:6" ht="21.75" hidden="1" customHeight="1">
      <c r="A86" s="35" t="s">
        <v>92</v>
      </c>
      <c r="B86" s="39" t="s">
        <v>93</v>
      </c>
      <c r="C86" s="37">
        <v>0</v>
      </c>
      <c r="D86" s="37"/>
      <c r="E86" s="38" t="e">
        <f t="shared" si="5"/>
        <v>#DIV/0!</v>
      </c>
      <c r="F86" s="38">
        <f t="shared" si="6"/>
        <v>0</v>
      </c>
    </row>
    <row r="87" spans="1:6">
      <c r="A87" s="30" t="s">
        <v>94</v>
      </c>
      <c r="B87" s="31" t="s">
        <v>95</v>
      </c>
      <c r="C87" s="32">
        <f>C88+C89+C90+C91+C92</f>
        <v>1</v>
      </c>
      <c r="D87" s="32">
        <f>D88+D89+D90+D91+D92</f>
        <v>0</v>
      </c>
      <c r="E87" s="38">
        <f t="shared" ref="E87:E97" si="7">SUM(D87/C87*100)</f>
        <v>0</v>
      </c>
      <c r="F87" s="22">
        <f>F88+F89+F90+F91+F92</f>
        <v>-1</v>
      </c>
    </row>
    <row r="88" spans="1:6" ht="15.75" customHeight="1">
      <c r="A88" s="35" t="s">
        <v>96</v>
      </c>
      <c r="B88" s="39" t="s">
        <v>97</v>
      </c>
      <c r="C88" s="37">
        <v>1</v>
      </c>
      <c r="D88" s="37">
        <v>0</v>
      </c>
      <c r="E88" s="38">
        <f t="shared" si="7"/>
        <v>0</v>
      </c>
      <c r="F88" s="38">
        <f>SUM(D88-C88)</f>
        <v>-1</v>
      </c>
    </row>
    <row r="89" spans="1:6" ht="15" hidden="1" customHeight="1">
      <c r="A89" s="35" t="s">
        <v>98</v>
      </c>
      <c r="B89" s="39" t="s">
        <v>99</v>
      </c>
      <c r="C89" s="37"/>
      <c r="D89" s="37"/>
      <c r="E89" s="38" t="e">
        <f t="shared" si="7"/>
        <v>#DIV/0!</v>
      </c>
      <c r="F89" s="38">
        <f>SUM(D89-C89)</f>
        <v>0</v>
      </c>
    </row>
    <row r="90" spans="1:6" ht="15" hidden="1" customHeight="1">
      <c r="A90" s="35" t="s">
        <v>100</v>
      </c>
      <c r="B90" s="39" t="s">
        <v>101</v>
      </c>
      <c r="C90" s="37"/>
      <c r="D90" s="37"/>
      <c r="E90" s="38" t="e">
        <f t="shared" si="7"/>
        <v>#DIV/0!</v>
      </c>
      <c r="F90" s="38"/>
    </row>
    <row r="91" spans="1:6" ht="15" hidden="1" customHeight="1">
      <c r="A91" s="35" t="s">
        <v>102</v>
      </c>
      <c r="B91" s="39" t="s">
        <v>103</v>
      </c>
      <c r="C91" s="37"/>
      <c r="D91" s="37"/>
      <c r="E91" s="38" t="e">
        <f t="shared" si="7"/>
        <v>#DIV/0!</v>
      </c>
      <c r="F91" s="38"/>
    </row>
    <row r="92" spans="1:6" s="6" customFormat="1" ht="15" hidden="1" customHeight="1">
      <c r="A92" s="35" t="s">
        <v>104</v>
      </c>
      <c r="B92" s="39" t="s">
        <v>105</v>
      </c>
      <c r="C92" s="37"/>
      <c r="D92" s="37"/>
      <c r="E92" s="38" t="e">
        <f t="shared" si="7"/>
        <v>#DIV/0!</v>
      </c>
      <c r="F92" s="38"/>
    </row>
    <row r="93" spans="1:6" ht="18.75" hidden="1" customHeight="1">
      <c r="A93" s="52">
        <v>1400</v>
      </c>
      <c r="B93" s="56" t="s">
        <v>114</v>
      </c>
      <c r="C93" s="48">
        <f>C94+C95+C96</f>
        <v>0</v>
      </c>
      <c r="D93" s="48">
        <f>SUM(D94:D96)</f>
        <v>0</v>
      </c>
      <c r="E93" s="34" t="e">
        <f t="shared" si="7"/>
        <v>#DIV/0!</v>
      </c>
      <c r="F93" s="34">
        <f>SUM(D93-C93)</f>
        <v>0</v>
      </c>
    </row>
    <row r="94" spans="1:6" ht="18" hidden="1" customHeight="1">
      <c r="A94" s="53">
        <v>1401</v>
      </c>
      <c r="B94" s="54" t="s">
        <v>115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ht="18" hidden="1" customHeight="1">
      <c r="A95" s="53">
        <v>1402</v>
      </c>
      <c r="B95" s="54" t="s">
        <v>116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s="6" customFormat="1" ht="18" hidden="1" customHeight="1">
      <c r="A96" s="53">
        <v>1403</v>
      </c>
      <c r="B96" s="54" t="s">
        <v>117</v>
      </c>
      <c r="C96" s="49"/>
      <c r="D96" s="37"/>
      <c r="E96" s="38" t="e">
        <f t="shared" si="7"/>
        <v>#DIV/0!</v>
      </c>
      <c r="F96" s="38">
        <f>SUM(D96-C96)</f>
        <v>0</v>
      </c>
    </row>
    <row r="97" spans="1:6" ht="15" customHeight="1">
      <c r="A97" s="52"/>
      <c r="B97" s="57" t="s">
        <v>118</v>
      </c>
      <c r="C97" s="366">
        <f>C55+C63+C65+C71+C76+C80+C82+C87+C93</f>
        <v>9929.6661299999996</v>
      </c>
      <c r="D97" s="374">
        <f>D55+D63+D65+D71+D76+D80+D82+D87+D93</f>
        <v>2517.5669499999999</v>
      </c>
      <c r="E97" s="34">
        <f t="shared" si="7"/>
        <v>25.35399395145625</v>
      </c>
      <c r="F97" s="34">
        <f>SUM(D97-C97)</f>
        <v>-7412.0991799999993</v>
      </c>
    </row>
    <row r="98" spans="1:6" s="65" customFormat="1" ht="22.5" customHeight="1">
      <c r="A98" s="63" t="s">
        <v>119</v>
      </c>
      <c r="B98" s="63"/>
      <c r="C98" s="246"/>
      <c r="D98" s="246"/>
    </row>
    <row r="99" spans="1:6" ht="16.5" customHeight="1">
      <c r="A99" s="66" t="s">
        <v>120</v>
      </c>
      <c r="B99" s="66"/>
      <c r="C99" s="246" t="s">
        <v>121</v>
      </c>
      <c r="D99" s="246"/>
      <c r="E99" s="65"/>
      <c r="F99" s="65"/>
    </row>
    <row r="100" spans="1:6" ht="20.25" customHeight="1">
      <c r="C100" s="120"/>
    </row>
    <row r="101" spans="1:6" ht="13.5" customHeight="1"/>
    <row r="102" spans="1:6" ht="5.25" customHeight="1"/>
    <row r="142" hidden="1"/>
  </sheetData>
  <customSheetViews>
    <customSheetView guid="{61528DAC-5C4C-48F4-ADE2-8A724B05A086}" scale="70" showPageBreaks="1" hiddenRows="1" view="pageBreakPreview" topLeftCell="A13">
      <selection activeCell="C75" sqref="C75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2"/>
    </customSheetView>
    <customSheetView guid="{1A52382B-3765-4E8C-903F-6B8919B7242E}" hiddenRows="1">
      <selection activeCell="A70" sqref="A70:XFD70"/>
      <pageMargins left="0.7" right="0.7" top="0.75" bottom="0.75" header="0.3" footer="0.3"/>
      <pageSetup paperSize="9" scale="54" orientation="portrait" r:id="rId3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5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6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B31C8DB7-3E78-4144-A6B5-8DE36DE63F0E}" hiddenRows="1" topLeftCell="A15">
      <selection activeCell="D51" sqref="D51"/>
      <pageMargins left="0.7" right="0.7" top="0.75" bottom="0.75" header="0.3" footer="0.3"/>
      <pageSetup paperSize="9" scale="54" orientation="portrait" r:id="rId8"/>
    </customSheetView>
    <customSheetView guid="{B30CE22D-C12F-4E12-8BB9-3AAE0A6991CC}" scale="70" showPageBreaks="1" hiddenRows="1" view="pageBreakPreview">
      <selection activeCell="D6" sqref="D6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42"/>
  <sheetViews>
    <sheetView tabSelected="1" view="pageBreakPreview" zoomScale="70" zoomScaleSheetLayoutView="70" workbookViewId="0">
      <selection activeCell="E48" sqref="E48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5" t="s">
        <v>428</v>
      </c>
      <c r="B1" s="525"/>
      <c r="C1" s="525"/>
      <c r="D1" s="525"/>
      <c r="E1" s="525"/>
      <c r="F1" s="525"/>
    </row>
    <row r="2" spans="1:6">
      <c r="A2" s="525"/>
      <c r="B2" s="525"/>
      <c r="C2" s="525"/>
      <c r="D2" s="525"/>
      <c r="E2" s="525"/>
      <c r="F2" s="525"/>
    </row>
    <row r="3" spans="1:6" ht="63">
      <c r="A3" s="2" t="s">
        <v>0</v>
      </c>
      <c r="B3" s="2" t="s">
        <v>1</v>
      </c>
      <c r="C3" s="72" t="s">
        <v>411</v>
      </c>
      <c r="D3" s="73" t="s">
        <v>422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C5+C12+C14+C17+C20+C7</f>
        <v>4744.2569999999996</v>
      </c>
      <c r="D4" s="5">
        <f>D5+D12+D14+D7+D20+D17</f>
        <v>1433.2573</v>
      </c>
      <c r="E4" s="5">
        <f>SUM(D4/C4*100)</f>
        <v>30.210363814607856</v>
      </c>
      <c r="F4" s="5">
        <f>SUM(D4-C4)</f>
        <v>-3310.9996999999994</v>
      </c>
    </row>
    <row r="5" spans="1:6" s="6" customFormat="1">
      <c r="A5" s="68">
        <v>1010000000</v>
      </c>
      <c r="B5" s="67" t="s">
        <v>5</v>
      </c>
      <c r="C5" s="5">
        <f>C6</f>
        <v>1755.837</v>
      </c>
      <c r="D5" s="5">
        <f>D6</f>
        <v>681.80624</v>
      </c>
      <c r="E5" s="5">
        <f t="shared" ref="E5:E51" si="0">SUM(D5/C5*100)</f>
        <v>38.830839081304248</v>
      </c>
      <c r="F5" s="5">
        <f t="shared" ref="F5:F51" si="1">SUM(D5-C5)</f>
        <v>-1074.0307600000001</v>
      </c>
    </row>
    <row r="6" spans="1:6">
      <c r="A6" s="7">
        <v>1010200001</v>
      </c>
      <c r="B6" s="8" t="s">
        <v>228</v>
      </c>
      <c r="C6" s="91">
        <v>1755.837</v>
      </c>
      <c r="D6" s="10">
        <v>681.80624</v>
      </c>
      <c r="E6" s="9">
        <f t="shared" ref="E6:E11" si="2">SUM(D6/C6*100)</f>
        <v>38.830839081304248</v>
      </c>
      <c r="F6" s="9">
        <f t="shared" si="1"/>
        <v>-1074.0307600000001</v>
      </c>
    </row>
    <row r="7" spans="1:6">
      <c r="A7" s="3">
        <v>1030200001</v>
      </c>
      <c r="B7" s="13" t="s">
        <v>278</v>
      </c>
      <c r="C7" s="5">
        <f>C8+C10+C9</f>
        <v>353.42</v>
      </c>
      <c r="D7" s="5">
        <f>D8+D9+D10+D11</f>
        <v>171.24062000000001</v>
      </c>
      <c r="E7" s="9">
        <f t="shared" si="2"/>
        <v>48.452441853884899</v>
      </c>
      <c r="F7" s="9">
        <f t="shared" si="1"/>
        <v>-182.17938000000001</v>
      </c>
    </row>
    <row r="8" spans="1:6">
      <c r="A8" s="7">
        <v>1030223001</v>
      </c>
      <c r="B8" s="8" t="s">
        <v>282</v>
      </c>
      <c r="C8" s="9">
        <v>131.83000000000001</v>
      </c>
      <c r="D8" s="10">
        <v>77.359070000000003</v>
      </c>
      <c r="E8" s="9">
        <f t="shared" si="2"/>
        <v>58.680929985587497</v>
      </c>
      <c r="F8" s="9">
        <f t="shared" si="1"/>
        <v>-54.47093000000001</v>
      </c>
    </row>
    <row r="9" spans="1:6">
      <c r="A9" s="7">
        <v>1030224001</v>
      </c>
      <c r="B9" s="8" t="s">
        <v>288</v>
      </c>
      <c r="C9" s="9">
        <v>1.41</v>
      </c>
      <c r="D9" s="10">
        <v>0.58115000000000006</v>
      </c>
      <c r="E9" s="9">
        <f t="shared" si="2"/>
        <v>41.2163120567376</v>
      </c>
      <c r="F9" s="9">
        <f t="shared" si="1"/>
        <v>-0.82884999999999986</v>
      </c>
    </row>
    <row r="10" spans="1:6">
      <c r="A10" s="7">
        <v>1030225001</v>
      </c>
      <c r="B10" s="8" t="s">
        <v>281</v>
      </c>
      <c r="C10" s="9">
        <v>220.18</v>
      </c>
      <c r="D10" s="10">
        <v>107.36883</v>
      </c>
      <c r="E10" s="9">
        <f t="shared" si="2"/>
        <v>48.764115723498961</v>
      </c>
      <c r="F10" s="9">
        <f t="shared" si="1"/>
        <v>-112.81117</v>
      </c>
    </row>
    <row r="11" spans="1:6">
      <c r="A11" s="7">
        <v>1030226001</v>
      </c>
      <c r="B11" s="8" t="s">
        <v>290</v>
      </c>
      <c r="C11" s="9">
        <v>0</v>
      </c>
      <c r="D11" s="10">
        <v>-14.068429999999999</v>
      </c>
      <c r="E11" s="9" t="e">
        <f t="shared" si="2"/>
        <v>#DIV/0!</v>
      </c>
      <c r="F11" s="9">
        <f t="shared" si="1"/>
        <v>-14.068429999999999</v>
      </c>
    </row>
    <row r="12" spans="1:6" s="6" customFormat="1" ht="15" customHeight="1">
      <c r="A12" s="68">
        <v>1050000000</v>
      </c>
      <c r="B12" s="67" t="s">
        <v>6</v>
      </c>
      <c r="C12" s="5">
        <f>SUM(C13:C13)</f>
        <v>75</v>
      </c>
      <c r="D12" s="5">
        <f>SUM(D13:D13)</f>
        <v>74.869280000000003</v>
      </c>
      <c r="E12" s="5">
        <f t="shared" si="0"/>
        <v>99.825706666666676</v>
      </c>
      <c r="F12" s="5">
        <f t="shared" si="1"/>
        <v>-0.13071999999999662</v>
      </c>
    </row>
    <row r="13" spans="1:6" ht="15.75" customHeight="1">
      <c r="A13" s="7">
        <v>1050300000</v>
      </c>
      <c r="B13" s="11" t="s">
        <v>229</v>
      </c>
      <c r="C13" s="12">
        <v>75</v>
      </c>
      <c r="D13" s="10">
        <v>74.869280000000003</v>
      </c>
      <c r="E13" s="9">
        <f t="shared" si="0"/>
        <v>99.825706666666676</v>
      </c>
      <c r="F13" s="9">
        <f t="shared" si="1"/>
        <v>-0.13071999999999662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2560</v>
      </c>
      <c r="D14" s="5">
        <f>D15+D16</f>
        <v>505.34116</v>
      </c>
      <c r="E14" s="5">
        <f t="shared" si="0"/>
        <v>19.739889062499998</v>
      </c>
      <c r="F14" s="5">
        <f t="shared" si="1"/>
        <v>-2054.6588400000001</v>
      </c>
    </row>
    <row r="15" spans="1:6" s="6" customFormat="1" ht="15" customHeight="1">
      <c r="A15" s="7">
        <v>1060100000</v>
      </c>
      <c r="B15" s="11" t="s">
        <v>253</v>
      </c>
      <c r="C15" s="9">
        <v>900</v>
      </c>
      <c r="D15" s="10">
        <v>73.839669999999998</v>
      </c>
      <c r="E15" s="9">
        <f t="shared" si="0"/>
        <v>8.204407777777778</v>
      </c>
      <c r="F15" s="9">
        <f>SUM(D15-C15)</f>
        <v>-826.16033000000004</v>
      </c>
    </row>
    <row r="16" spans="1:6" ht="17.25" customHeight="1">
      <c r="A16" s="7">
        <v>1060600000</v>
      </c>
      <c r="B16" s="11" t="s">
        <v>7</v>
      </c>
      <c r="C16" s="9">
        <v>1660</v>
      </c>
      <c r="D16" s="10">
        <v>431.50148999999999</v>
      </c>
      <c r="E16" s="9">
        <f t="shared" si="0"/>
        <v>25.994065662650602</v>
      </c>
      <c r="F16" s="9">
        <f t="shared" si="1"/>
        <v>-1228.4985099999999</v>
      </c>
    </row>
    <row r="17" spans="1:6" s="6" customFormat="1" ht="0.75" hidden="1" customHeight="1">
      <c r="A17" s="3">
        <v>1080000000</v>
      </c>
      <c r="B17" s="4" t="s">
        <v>10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227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11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232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127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12</v>
      </c>
      <c r="C25" s="5">
        <f>C26+C29+C31+C34+C36</f>
        <v>0</v>
      </c>
      <c r="D25" s="5">
        <f>D26+D29+D31+D34+D36</f>
        <v>0</v>
      </c>
      <c r="E25" s="5" t="e">
        <f t="shared" si="0"/>
        <v>#DIV/0!</v>
      </c>
      <c r="F25" s="5">
        <f t="shared" si="1"/>
        <v>0</v>
      </c>
    </row>
    <row r="26" spans="1:6" s="6" customFormat="1" ht="32.25" customHeight="1">
      <c r="A26" s="68">
        <v>1110000000</v>
      </c>
      <c r="B26" s="69" t="s">
        <v>128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hidden="1" customHeight="1">
      <c r="A27" s="16">
        <v>1110502501</v>
      </c>
      <c r="B27" s="17" t="s">
        <v>225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130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8" customHeight="1">
      <c r="A30" s="7">
        <v>1130206005</v>
      </c>
      <c r="B30" s="8" t="s">
        <v>223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idden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132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251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267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134</v>
      </c>
      <c r="C36" s="5">
        <f>C37+C38</f>
        <v>0</v>
      </c>
      <c r="D36" s="5">
        <f>D37+D38</f>
        <v>0</v>
      </c>
      <c r="E36" s="5">
        <v>0</v>
      </c>
      <c r="F36" s="5">
        <f t="shared" si="1"/>
        <v>0</v>
      </c>
    </row>
    <row r="37" spans="1:7" ht="15" customHeight="1">
      <c r="A37" s="7">
        <v>1170105005</v>
      </c>
      <c r="B37" s="8" t="s">
        <v>17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220</v>
      </c>
      <c r="C38" s="9">
        <v>0</v>
      </c>
      <c r="D38" s="10">
        <v>0</v>
      </c>
      <c r="E38" s="9">
        <v>0</v>
      </c>
      <c r="F38" s="9">
        <f t="shared" si="1"/>
        <v>0</v>
      </c>
    </row>
    <row r="39" spans="1:7" s="6" customFormat="1" ht="18" customHeight="1">
      <c r="A39" s="3">
        <v>1000000000</v>
      </c>
      <c r="B39" s="4" t="s">
        <v>18</v>
      </c>
      <c r="C39" s="127">
        <f>SUM(C4,C25)</f>
        <v>4744.2569999999996</v>
      </c>
      <c r="D39" s="127">
        <f>D4+D25</f>
        <v>1433.2573</v>
      </c>
      <c r="E39" s="5">
        <f t="shared" si="0"/>
        <v>30.210363814607856</v>
      </c>
      <c r="F39" s="5">
        <f t="shared" si="1"/>
        <v>-3310.9996999999994</v>
      </c>
    </row>
    <row r="40" spans="1:7" s="6" customFormat="1">
      <c r="A40" s="3">
        <v>2000000000</v>
      </c>
      <c r="B40" s="4" t="s">
        <v>19</v>
      </c>
      <c r="C40" s="5">
        <f>C41+C43+C45+C46+C47+C49+C42+C44+C48</f>
        <v>14266.395040000001</v>
      </c>
      <c r="D40" s="5">
        <f>D41+D43+D45+D46+D47+D49+D42+D48</f>
        <v>2779.3687600000003</v>
      </c>
      <c r="E40" s="5">
        <f t="shared" si="0"/>
        <v>19.481927650308499</v>
      </c>
      <c r="F40" s="5">
        <f t="shared" si="1"/>
        <v>-11487.026280000002</v>
      </c>
      <c r="G40" s="19"/>
    </row>
    <row r="41" spans="1:7" ht="17.25" customHeight="1">
      <c r="A41" s="16">
        <v>2021000000</v>
      </c>
      <c r="B41" s="17" t="s">
        <v>20</v>
      </c>
      <c r="C41" s="12">
        <v>4687.5</v>
      </c>
      <c r="D41" s="20">
        <v>1953.125</v>
      </c>
      <c r="E41" s="9">
        <f t="shared" si="0"/>
        <v>41.666666666666671</v>
      </c>
      <c r="F41" s="9">
        <f t="shared" si="1"/>
        <v>-2734.375</v>
      </c>
    </row>
    <row r="42" spans="1:7" ht="15" customHeight="1">
      <c r="A42" s="16">
        <v>2021500210</v>
      </c>
      <c r="B42" s="17" t="s">
        <v>231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20.25" customHeight="1">
      <c r="A43" s="16">
        <v>2022000000</v>
      </c>
      <c r="B43" s="17" t="s">
        <v>21</v>
      </c>
      <c r="C43" s="276">
        <v>9100.4907500000008</v>
      </c>
      <c r="D43" s="10">
        <v>380.34399999999999</v>
      </c>
      <c r="E43" s="9">
        <f t="shared" si="0"/>
        <v>4.1793790076650534</v>
      </c>
      <c r="F43" s="9">
        <f t="shared" si="1"/>
        <v>-8720.1467500000017</v>
      </c>
    </row>
    <row r="44" spans="1:7" ht="0.75" hidden="1" customHeight="1">
      <c r="A44" s="16">
        <v>2022999910</v>
      </c>
      <c r="B44" s="18" t="s">
        <v>349</v>
      </c>
      <c r="C44" s="276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22</v>
      </c>
      <c r="C45" s="12">
        <v>9.2170000000000005</v>
      </c>
      <c r="D45" s="248">
        <v>1.1948000000000001</v>
      </c>
      <c r="E45" s="9">
        <f t="shared" si="0"/>
        <v>12.963003146359986</v>
      </c>
      <c r="F45" s="9">
        <f t="shared" si="1"/>
        <v>-8.0221999999999998</v>
      </c>
    </row>
    <row r="46" spans="1:7" ht="0.75" hidden="1" customHeight="1">
      <c r="A46" s="16">
        <v>2020400000</v>
      </c>
      <c r="B46" s="17" t="s">
        <v>23</v>
      </c>
      <c r="C46" s="12">
        <v>0</v>
      </c>
      <c r="D46" s="249">
        <v>0</v>
      </c>
      <c r="E46" s="9" t="e">
        <f t="shared" si="0"/>
        <v>#DIV/0!</v>
      </c>
      <c r="F46" s="9">
        <f t="shared" si="1"/>
        <v>0</v>
      </c>
    </row>
    <row r="47" spans="1:7" ht="31.5" hidden="1">
      <c r="A47" s="16">
        <v>2020900000</v>
      </c>
      <c r="B47" s="18" t="s">
        <v>24</v>
      </c>
      <c r="C47" s="12"/>
      <c r="D47" s="249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297</v>
      </c>
      <c r="C48" s="12">
        <v>469.18729000000002</v>
      </c>
      <c r="D48" s="249">
        <v>444.70496000000003</v>
      </c>
      <c r="E48" s="9">
        <f>SUM(D48/C48*100)</f>
        <v>94.781970756283712</v>
      </c>
      <c r="F48" s="9">
        <f>SUM(D48-C48)</f>
        <v>-24.48232999999999</v>
      </c>
    </row>
    <row r="49" spans="1:7" hidden="1">
      <c r="A49" s="7">
        <v>2190500005</v>
      </c>
      <c r="B49" s="11" t="s">
        <v>25</v>
      </c>
      <c r="C49" s="14">
        <v>0</v>
      </c>
      <c r="D49" s="14"/>
      <c r="E49" s="9" t="e">
        <f>SUM(D49/C49*100)</f>
        <v>#DIV/0!</v>
      </c>
      <c r="F49" s="9">
        <f>SUM(D49-C49)</f>
        <v>0</v>
      </c>
    </row>
    <row r="50" spans="1:7" s="6" customFormat="1" ht="31.5" hidden="1">
      <c r="A50" s="3">
        <v>3000000000</v>
      </c>
      <c r="B50" s="13" t="s">
        <v>26</v>
      </c>
      <c r="C50" s="274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27</v>
      </c>
      <c r="C51" s="363">
        <f>SUM(C39,C40,C50)</f>
        <v>19010.652040000001</v>
      </c>
      <c r="D51" s="364">
        <f>D39+D40</f>
        <v>4212.6260600000005</v>
      </c>
      <c r="E51" s="93">
        <f t="shared" si="0"/>
        <v>22.159292859267968</v>
      </c>
      <c r="F51" s="93">
        <f t="shared" si="1"/>
        <v>-14798.02598</v>
      </c>
      <c r="G51" s="151">
        <f>18510.65204-C51</f>
        <v>-500</v>
      </c>
    </row>
    <row r="52" spans="1:7" s="6" customFormat="1" ht="23.25" customHeight="1">
      <c r="A52" s="3"/>
      <c r="B52" s="21" t="s">
        <v>320</v>
      </c>
      <c r="C52" s="93">
        <f>C51-C98</f>
        <v>-554.81055999999808</v>
      </c>
      <c r="D52" s="93">
        <f>D51-D98</f>
        <v>-209.81833000000006</v>
      </c>
      <c r="E52" s="278"/>
      <c r="F52" s="278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0</v>
      </c>
      <c r="B54" s="28" t="s">
        <v>28</v>
      </c>
      <c r="C54" s="245" t="s">
        <v>411</v>
      </c>
      <c r="D54" s="73" t="s">
        <v>419</v>
      </c>
      <c r="E54" s="72" t="s">
        <v>2</v>
      </c>
      <c r="F54" s="74" t="s">
        <v>3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15" customHeight="1">
      <c r="A56" s="30" t="s">
        <v>29</v>
      </c>
      <c r="B56" s="31" t="s">
        <v>30</v>
      </c>
      <c r="C56" s="32">
        <f>C57+C58+C59+C60+C61+C63+C62+C65</f>
        <v>1974.018</v>
      </c>
      <c r="D56" s="33">
        <f>D57+D58+D59+D60+D61+D63+D62</f>
        <v>795.02972</v>
      </c>
      <c r="E56" s="34">
        <f>SUM(D56/C56*100)</f>
        <v>40.274694556989857</v>
      </c>
      <c r="F56" s="34">
        <f>SUM(D56-C56)</f>
        <v>-1178.98828</v>
      </c>
    </row>
    <row r="57" spans="1:7" s="6" customFormat="1" ht="0.75" hidden="1" customHeight="1">
      <c r="A57" s="35" t="s">
        <v>31</v>
      </c>
      <c r="B57" s="36" t="s">
        <v>32</v>
      </c>
      <c r="C57" s="37"/>
      <c r="D57" s="37"/>
      <c r="E57" s="38"/>
      <c r="F57" s="38"/>
    </row>
    <row r="58" spans="1:7" ht="16.5" customHeight="1">
      <c r="A58" s="35" t="s">
        <v>33</v>
      </c>
      <c r="B58" s="39" t="s">
        <v>34</v>
      </c>
      <c r="C58" s="97">
        <v>1775.1</v>
      </c>
      <c r="D58" s="37">
        <v>655.10365000000002</v>
      </c>
      <c r="E58" s="38">
        <f t="shared" ref="E58:E98" si="3">SUM(D58/C58*100)</f>
        <v>36.905168722888853</v>
      </c>
      <c r="F58" s="38">
        <f t="shared" ref="F58:F98" si="4">SUM(D58-C58)</f>
        <v>-1119.9963499999999</v>
      </c>
    </row>
    <row r="59" spans="1:7" ht="1.5" hidden="1" customHeight="1">
      <c r="A59" s="35" t="s">
        <v>35</v>
      </c>
      <c r="B59" s="39" t="s">
        <v>36</v>
      </c>
      <c r="C59" s="97"/>
      <c r="D59" s="37"/>
      <c r="E59" s="38"/>
      <c r="F59" s="38">
        <f t="shared" si="4"/>
        <v>0</v>
      </c>
    </row>
    <row r="60" spans="1:7" ht="17.25" hidden="1" customHeight="1">
      <c r="A60" s="35" t="s">
        <v>37</v>
      </c>
      <c r="B60" s="39" t="s">
        <v>38</v>
      </c>
      <c r="C60" s="9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39</v>
      </c>
      <c r="B61" s="39" t="s">
        <v>40</v>
      </c>
      <c r="C61" s="9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41</v>
      </c>
      <c r="B62" s="39" t="s">
        <v>42</v>
      </c>
      <c r="C62" s="149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5.75" customHeight="1">
      <c r="A63" s="35" t="s">
        <v>43</v>
      </c>
      <c r="B63" s="39" t="s">
        <v>44</v>
      </c>
      <c r="C63" s="97">
        <v>193.91800000000001</v>
      </c>
      <c r="D63" s="37">
        <v>139.92607000000001</v>
      </c>
      <c r="E63" s="38">
        <f t="shared" si="3"/>
        <v>72.157339700285689</v>
      </c>
      <c r="F63" s="38">
        <f t="shared" si="4"/>
        <v>-53.991929999999996</v>
      </c>
    </row>
    <row r="64" spans="1:7" s="6" customFormat="1" ht="15.75" hidden="1" customHeight="1">
      <c r="A64" s="41" t="s">
        <v>45</v>
      </c>
      <c r="B64" s="42" t="s">
        <v>46</v>
      </c>
      <c r="C64" s="150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47</v>
      </c>
      <c r="B65" s="44" t="s">
        <v>48</v>
      </c>
      <c r="C65" s="97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49</v>
      </c>
      <c r="B66" s="31" t="s">
        <v>50</v>
      </c>
      <c r="C66" s="150">
        <f>C69+C70+C71</f>
        <v>36.4</v>
      </c>
      <c r="D66" s="150">
        <f>D69+D70</f>
        <v>0</v>
      </c>
      <c r="E66" s="34">
        <f t="shared" si="3"/>
        <v>0</v>
      </c>
      <c r="F66" s="34">
        <f t="shared" si="4"/>
        <v>-36.4</v>
      </c>
    </row>
    <row r="67" spans="1:7" ht="3.75" hidden="1" customHeight="1">
      <c r="A67" s="35" t="s">
        <v>51</v>
      </c>
      <c r="B67" s="39" t="s">
        <v>52</v>
      </c>
      <c r="C67" s="97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53</v>
      </c>
      <c r="B68" s="39" t="s">
        <v>54</v>
      </c>
      <c r="C68" s="97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55</v>
      </c>
      <c r="B69" s="47" t="s">
        <v>56</v>
      </c>
      <c r="C69" s="97">
        <v>2.4</v>
      </c>
      <c r="D69" s="37">
        <v>0</v>
      </c>
      <c r="E69" s="34">
        <f t="shared" si="3"/>
        <v>0</v>
      </c>
      <c r="F69" s="34">
        <f t="shared" si="4"/>
        <v>-2.4</v>
      </c>
    </row>
    <row r="70" spans="1:7" ht="17.25" customHeight="1">
      <c r="A70" s="46" t="s">
        <v>218</v>
      </c>
      <c r="B70" s="47" t="s">
        <v>219</v>
      </c>
      <c r="C70" s="97">
        <v>32</v>
      </c>
      <c r="D70" s="37">
        <v>0</v>
      </c>
      <c r="E70" s="34">
        <f t="shared" si="3"/>
        <v>0</v>
      </c>
      <c r="F70" s="34">
        <f t="shared" si="4"/>
        <v>-32</v>
      </c>
    </row>
    <row r="71" spans="1:7" ht="17.25" customHeight="1">
      <c r="A71" s="46" t="s">
        <v>357</v>
      </c>
      <c r="B71" s="47" t="s">
        <v>414</v>
      </c>
      <c r="C71" s="97">
        <v>2</v>
      </c>
      <c r="D71" s="37">
        <v>0</v>
      </c>
      <c r="E71" s="34">
        <f>SUM(D71/C71*100)</f>
        <v>0</v>
      </c>
      <c r="F71" s="34">
        <f>SUM(D71-C71)</f>
        <v>-2</v>
      </c>
    </row>
    <row r="72" spans="1:7" s="6" customFormat="1" ht="16.5" customHeight="1">
      <c r="A72" s="30" t="s">
        <v>57</v>
      </c>
      <c r="B72" s="31" t="s">
        <v>58</v>
      </c>
      <c r="C72" s="48">
        <f>SUM(C73:C76)</f>
        <v>3958.7777000000001</v>
      </c>
      <c r="D72" s="48">
        <f>SUM(D73:D76)</f>
        <v>1008.60697</v>
      </c>
      <c r="E72" s="34">
        <f t="shared" si="3"/>
        <v>25.477736979270144</v>
      </c>
      <c r="F72" s="34">
        <f t="shared" si="4"/>
        <v>-2950.1707299999998</v>
      </c>
    </row>
    <row r="73" spans="1:7" ht="15" customHeight="1">
      <c r="A73" s="35" t="s">
        <v>59</v>
      </c>
      <c r="B73" s="39" t="s">
        <v>60</v>
      </c>
      <c r="C73" s="49">
        <v>21.448</v>
      </c>
      <c r="D73" s="37">
        <v>2.681</v>
      </c>
      <c r="E73" s="38">
        <f t="shared" si="3"/>
        <v>12.5</v>
      </c>
      <c r="F73" s="38">
        <f t="shared" si="4"/>
        <v>-18.766999999999999</v>
      </c>
    </row>
    <row r="74" spans="1:7" s="6" customFormat="1" ht="15.75" customHeight="1">
      <c r="A74" s="35" t="s">
        <v>61</v>
      </c>
      <c r="B74" s="39" t="s">
        <v>62</v>
      </c>
      <c r="C74" s="49">
        <v>255</v>
      </c>
      <c r="D74" s="37">
        <v>113.99838</v>
      </c>
      <c r="E74" s="38">
        <f t="shared" si="3"/>
        <v>44.705247058823531</v>
      </c>
      <c r="F74" s="38">
        <f t="shared" si="4"/>
        <v>-141.00162</v>
      </c>
      <c r="G74" s="50"/>
    </row>
    <row r="75" spans="1:7" ht="15" customHeight="1">
      <c r="A75" s="35" t="s">
        <v>63</v>
      </c>
      <c r="B75" s="39" t="s">
        <v>64</v>
      </c>
      <c r="C75" s="49">
        <v>3366.7937000000002</v>
      </c>
      <c r="D75" s="37">
        <v>798.42759000000001</v>
      </c>
      <c r="E75" s="38">
        <f t="shared" si="3"/>
        <v>23.714776168198245</v>
      </c>
      <c r="F75" s="38">
        <f t="shared" si="4"/>
        <v>-2568.3661099999999</v>
      </c>
    </row>
    <row r="76" spans="1:7" ht="18" customHeight="1">
      <c r="A76" s="35" t="s">
        <v>65</v>
      </c>
      <c r="B76" s="39" t="s">
        <v>66</v>
      </c>
      <c r="C76" s="49">
        <v>315.536</v>
      </c>
      <c r="D76" s="37">
        <v>93.5</v>
      </c>
      <c r="E76" s="38">
        <f t="shared" si="3"/>
        <v>29.632118046752193</v>
      </c>
      <c r="F76" s="38">
        <f t="shared" si="4"/>
        <v>-222.036</v>
      </c>
    </row>
    <row r="77" spans="1:7" s="6" customFormat="1" ht="17.25" customHeight="1">
      <c r="A77" s="30" t="s">
        <v>67</v>
      </c>
      <c r="B77" s="31" t="s">
        <v>68</v>
      </c>
      <c r="C77" s="32">
        <f>C78+C79+C80+C83</f>
        <v>9856.2669000000005</v>
      </c>
      <c r="D77" s="32">
        <f>D78+D79+D80+D83</f>
        <v>1062.5577000000001</v>
      </c>
      <c r="E77" s="34">
        <f t="shared" si="3"/>
        <v>10.780528883608053</v>
      </c>
      <c r="F77" s="34">
        <f t="shared" si="4"/>
        <v>-8793.7092000000011</v>
      </c>
    </row>
    <row r="78" spans="1:7" ht="18" hidden="1" customHeight="1">
      <c r="A78" s="35" t="s">
        <v>69</v>
      </c>
      <c r="B78" s="51" t="s">
        <v>70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20.25" hidden="1" customHeight="1">
      <c r="A79" s="35" t="s">
        <v>71</v>
      </c>
      <c r="B79" s="51" t="s">
        <v>72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7.25" customHeight="1">
      <c r="A80" s="35" t="s">
        <v>73</v>
      </c>
      <c r="B80" s="39" t="s">
        <v>74</v>
      </c>
      <c r="C80" s="37">
        <v>9856.2669000000005</v>
      </c>
      <c r="D80" s="37">
        <v>1062.5577000000001</v>
      </c>
      <c r="E80" s="38">
        <f t="shared" si="3"/>
        <v>10.780528883608053</v>
      </c>
      <c r="F80" s="38">
        <f t="shared" si="4"/>
        <v>-8793.7092000000011</v>
      </c>
    </row>
    <row r="81" spans="1:6" s="6" customFormat="1" ht="18.75" customHeight="1">
      <c r="A81" s="30" t="s">
        <v>85</v>
      </c>
      <c r="B81" s="31" t="s">
        <v>86</v>
      </c>
      <c r="C81" s="32">
        <f>C82</f>
        <v>3735</v>
      </c>
      <c r="D81" s="32">
        <f>D82</f>
        <v>1556.25</v>
      </c>
      <c r="E81" s="38">
        <f t="shared" si="3"/>
        <v>41.666666666666671</v>
      </c>
      <c r="F81" s="38">
        <f t="shared" si="4"/>
        <v>-2178.75</v>
      </c>
    </row>
    <row r="82" spans="1:6" ht="19.5" customHeight="1">
      <c r="A82" s="35" t="s">
        <v>87</v>
      </c>
      <c r="B82" s="39" t="s">
        <v>233</v>
      </c>
      <c r="C82" s="37">
        <v>3735</v>
      </c>
      <c r="D82" s="37">
        <v>1556.25</v>
      </c>
      <c r="E82" s="38">
        <f t="shared" si="3"/>
        <v>41.666666666666671</v>
      </c>
      <c r="F82" s="38">
        <f t="shared" si="4"/>
        <v>-2178.75</v>
      </c>
    </row>
    <row r="83" spans="1:6" ht="15" hidden="1" customHeight="1">
      <c r="A83" s="35" t="s">
        <v>263</v>
      </c>
      <c r="B83" s="39" t="s">
        <v>264</v>
      </c>
      <c r="C83" s="37">
        <v>0</v>
      </c>
      <c r="D83" s="37"/>
      <c r="E83" s="38" t="e">
        <f t="shared" si="3"/>
        <v>#DIV/0!</v>
      </c>
      <c r="F83" s="38">
        <f t="shared" si="4"/>
        <v>0</v>
      </c>
    </row>
    <row r="84" spans="1:6" s="6" customFormat="1" ht="12.75" hidden="1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2.75" hidden="1" customHeight="1">
      <c r="A85" s="53">
        <v>1001</v>
      </c>
      <c r="B85" s="54" t="s">
        <v>89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90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1004</v>
      </c>
      <c r="B87" s="54" t="s">
        <v>91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35" t="s">
        <v>92</v>
      </c>
      <c r="B88" s="39" t="s">
        <v>93</v>
      </c>
      <c r="C88" s="37">
        <v>0</v>
      </c>
      <c r="D88" s="37">
        <v>0</v>
      </c>
      <c r="E88" s="38"/>
      <c r="F88" s="38">
        <f t="shared" si="4"/>
        <v>0</v>
      </c>
    </row>
    <row r="89" spans="1:6" ht="19.5" customHeight="1">
      <c r="A89" s="30" t="s">
        <v>94</v>
      </c>
      <c r="B89" s="31" t="s">
        <v>95</v>
      </c>
      <c r="C89" s="32">
        <f>C90+C91+C92+C93+C94</f>
        <v>5</v>
      </c>
      <c r="D89" s="32">
        <f>D90+D91+D92+D93+D94</f>
        <v>0</v>
      </c>
      <c r="E89" s="38">
        <f t="shared" si="3"/>
        <v>0</v>
      </c>
      <c r="F89" s="22">
        <f>F90+F91+F92+F93+F94</f>
        <v>-5</v>
      </c>
    </row>
    <row r="90" spans="1:6" ht="15.75" customHeight="1">
      <c r="A90" s="35" t="s">
        <v>96</v>
      </c>
      <c r="B90" s="39" t="s">
        <v>97</v>
      </c>
      <c r="C90" s="37">
        <v>5</v>
      </c>
      <c r="D90" s="37">
        <v>0</v>
      </c>
      <c r="E90" s="38">
        <f t="shared" si="3"/>
        <v>0</v>
      </c>
      <c r="F90" s="38">
        <f>SUM(D90-C90)</f>
        <v>-5</v>
      </c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18" hidden="1" customHeight="1">
      <c r="A95" s="52">
        <v>1400</v>
      </c>
      <c r="B95" s="56" t="s">
        <v>114</v>
      </c>
      <c r="C95" s="48">
        <f>SUM(C96+C97)</f>
        <v>0</v>
      </c>
      <c r="D95" s="48">
        <f>SUM(D96+D97)</f>
        <v>0</v>
      </c>
      <c r="E95" s="34" t="e">
        <f t="shared" si="3"/>
        <v>#DIV/0!</v>
      </c>
      <c r="F95" s="34">
        <f t="shared" si="4"/>
        <v>0</v>
      </c>
    </row>
    <row r="96" spans="1:6" ht="20.25" hidden="1" customHeight="1">
      <c r="A96" s="53">
        <v>1402</v>
      </c>
      <c r="B96" s="54" t="s">
        <v>116</v>
      </c>
      <c r="C96" s="236"/>
      <c r="D96" s="237"/>
      <c r="E96" s="38" t="e">
        <f t="shared" si="3"/>
        <v>#DIV/0!</v>
      </c>
      <c r="F96" s="38">
        <f t="shared" si="4"/>
        <v>0</v>
      </c>
    </row>
    <row r="97" spans="1:7" ht="15" hidden="1" customHeight="1">
      <c r="A97" s="53">
        <v>1403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6.5" customHeight="1">
      <c r="A98" s="52"/>
      <c r="B98" s="57" t="s">
        <v>118</v>
      </c>
      <c r="C98" s="366">
        <f>C56+C72+C77+C84+C89+C95+C66+C81</f>
        <v>19565.462599999999</v>
      </c>
      <c r="D98" s="366">
        <f>D56+D72+D77+D84+D89+D95+D66+D81</f>
        <v>4422.4443900000006</v>
      </c>
      <c r="E98" s="34">
        <f t="shared" si="3"/>
        <v>22.60332137508469</v>
      </c>
      <c r="F98" s="34">
        <f t="shared" si="4"/>
        <v>-15143.018209999998</v>
      </c>
      <c r="G98" s="290">
        <f>19065.4626-C98</f>
        <v>-500</v>
      </c>
    </row>
    <row r="99" spans="1:7" ht="20.25" customHeight="1">
      <c r="D99" s="242"/>
    </row>
    <row r="100" spans="1:7" s="65" customFormat="1" ht="13.5" customHeight="1">
      <c r="A100" s="63" t="s">
        <v>119</v>
      </c>
      <c r="B100" s="63"/>
      <c r="C100" s="119"/>
      <c r="D100" s="64"/>
    </row>
    <row r="101" spans="1:7" s="65" customFormat="1" ht="12.75">
      <c r="A101" s="66" t="s">
        <v>120</v>
      </c>
      <c r="B101" s="66"/>
      <c r="C101" s="134" t="s">
        <v>121</v>
      </c>
      <c r="D101" s="134"/>
    </row>
    <row r="102" spans="1:7" ht="5.25" customHeight="1"/>
    <row r="142" hidden="1"/>
  </sheetData>
  <customSheetViews>
    <customSheetView guid="{61528DAC-5C4C-48F4-ADE2-8A724B05A086}" scale="70" showPageBreaks="1" printArea="1" hiddenRows="1" view="pageBreakPreview" topLeftCell="A13">
      <selection activeCell="C76" sqref="C76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2"/>
    </customSheetView>
    <customSheetView guid="{1A52382B-3765-4E8C-903F-6B8919B7242E}" scale="70" showPageBreaks="1" printArea="1" hiddenRows="1" view="pageBreakPreview" topLeftCell="A34">
      <selection activeCell="C69" sqref="C69"/>
      <pageMargins left="0.7" right="0.7" top="0.75" bottom="0.75" header="0.3" footer="0.3"/>
      <pageSetup paperSize="9" scale="50" orientation="portrait" r:id="rId3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3DCB9AAA-F09C-4EA6-B992-F93E466D374A}" hiddenRows="1" topLeftCell="A31">
      <selection activeCell="B100" sqref="B100"/>
      <pageMargins left="0.7" right="0.7" top="0.75" bottom="0.75" header="0.3" footer="0.3"/>
      <pageSetup paperSize="9" scale="50" orientation="portrait" r:id="rId5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6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B31C8DB7-3E78-4144-A6B5-8DE36DE63F0E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8"/>
    </customSheetView>
    <customSheetView guid="{B30CE22D-C12F-4E12-8BB9-3AAE0A6991CC}" scale="70" showPageBreaks="1" printArea="1" hiddenRows="1" view="pageBreakPreview">
      <selection activeCell="D7" sqref="D7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43"/>
  <sheetViews>
    <sheetView tabSelected="1" view="pageBreakPreview" topLeftCell="A40" zoomScale="70" zoomScaleSheetLayoutView="86" workbookViewId="0">
      <selection activeCell="E48" sqref="E48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25" t="s">
        <v>429</v>
      </c>
      <c r="B1" s="525"/>
      <c r="C1" s="525"/>
      <c r="D1" s="525"/>
      <c r="E1" s="525"/>
      <c r="F1" s="525"/>
    </row>
    <row r="2" spans="1:6">
      <c r="A2" s="525"/>
      <c r="B2" s="525"/>
      <c r="C2" s="525"/>
      <c r="D2" s="525"/>
      <c r="E2" s="525"/>
      <c r="F2" s="525"/>
    </row>
    <row r="3" spans="1:6" ht="63">
      <c r="A3" s="2" t="s">
        <v>0</v>
      </c>
      <c r="B3" s="2" t="s">
        <v>1</v>
      </c>
      <c r="C3" s="72" t="s">
        <v>411</v>
      </c>
      <c r="D3" s="73" t="s">
        <v>422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C5+C12+C14+C17+C20+C7</f>
        <v>4541.1550000000007</v>
      </c>
      <c r="D4" s="5">
        <f>D5+D12+D14+D17+D20+D7</f>
        <v>1372.9762799999999</v>
      </c>
      <c r="E4" s="5">
        <f>SUM(D4/C4*100)</f>
        <v>30.234076573030421</v>
      </c>
      <c r="F4" s="5">
        <f>SUM(D4-C4)</f>
        <v>-3168.1787200000008</v>
      </c>
    </row>
    <row r="5" spans="1:6" s="6" customFormat="1">
      <c r="A5" s="68">
        <v>1010000000</v>
      </c>
      <c r="B5" s="67" t="s">
        <v>5</v>
      </c>
      <c r="C5" s="5">
        <f>C6</f>
        <v>1300.26</v>
      </c>
      <c r="D5" s="5">
        <f>D6</f>
        <v>606.14603999999997</v>
      </c>
      <c r="E5" s="5">
        <f t="shared" ref="E5:E52" si="0">SUM(D5/C5*100)</f>
        <v>46.617295002537951</v>
      </c>
      <c r="F5" s="5">
        <f t="shared" ref="F5:F52" si="1">SUM(D5-C5)</f>
        <v>-694.11396000000002</v>
      </c>
    </row>
    <row r="6" spans="1:6">
      <c r="A6" s="7">
        <v>1010200001</v>
      </c>
      <c r="B6" s="8" t="s">
        <v>228</v>
      </c>
      <c r="C6" s="9">
        <v>1300.26</v>
      </c>
      <c r="D6" s="10">
        <v>606.14603999999997</v>
      </c>
      <c r="E6" s="9">
        <f t="shared" ref="E6:E11" si="2">SUM(D6/C6*100)</f>
        <v>46.617295002537951</v>
      </c>
      <c r="F6" s="9">
        <f t="shared" si="1"/>
        <v>-694.11396000000002</v>
      </c>
    </row>
    <row r="7" spans="1:6" ht="31.5">
      <c r="A7" s="3">
        <v>1030000000</v>
      </c>
      <c r="B7" s="13" t="s">
        <v>280</v>
      </c>
      <c r="C7" s="5">
        <f>C8+C10+C9</f>
        <v>665.89499999999998</v>
      </c>
      <c r="D7" s="5">
        <f>D8+D10+D9+D11</f>
        <v>322.64236000000005</v>
      </c>
      <c r="E7" s="9">
        <f t="shared" si="2"/>
        <v>48.452437696633865</v>
      </c>
      <c r="F7" s="9">
        <f t="shared" si="1"/>
        <v>-343.25263999999993</v>
      </c>
    </row>
    <row r="8" spans="1:6">
      <c r="A8" s="7">
        <v>1030223001</v>
      </c>
      <c r="B8" s="8" t="s">
        <v>282</v>
      </c>
      <c r="C8" s="9">
        <v>248.38</v>
      </c>
      <c r="D8" s="10">
        <v>145.75582</v>
      </c>
      <c r="E8" s="9">
        <f t="shared" si="2"/>
        <v>58.682591190917144</v>
      </c>
      <c r="F8" s="9">
        <f t="shared" si="1"/>
        <v>-102.62418</v>
      </c>
    </row>
    <row r="9" spans="1:6">
      <c r="A9" s="7">
        <v>1030224001</v>
      </c>
      <c r="B9" s="8" t="s">
        <v>288</v>
      </c>
      <c r="C9" s="9">
        <v>2.665</v>
      </c>
      <c r="D9" s="10">
        <v>1.09497</v>
      </c>
      <c r="E9" s="9">
        <f t="shared" si="2"/>
        <v>41.087054409005631</v>
      </c>
      <c r="F9" s="9">
        <f t="shared" si="1"/>
        <v>-1.57003</v>
      </c>
    </row>
    <row r="10" spans="1:6">
      <c r="A10" s="7">
        <v>1030225001</v>
      </c>
      <c r="B10" s="8" t="s">
        <v>281</v>
      </c>
      <c r="C10" s="9">
        <v>414.85</v>
      </c>
      <c r="D10" s="10">
        <v>202.29856000000001</v>
      </c>
      <c r="E10" s="9">
        <f t="shared" si="2"/>
        <v>48.7642666023864</v>
      </c>
      <c r="F10" s="9">
        <f t="shared" si="1"/>
        <v>-212.55144000000001</v>
      </c>
    </row>
    <row r="11" spans="1:6">
      <c r="A11" s="7">
        <v>1030226001</v>
      </c>
      <c r="B11" s="8" t="s">
        <v>291</v>
      </c>
      <c r="C11" s="9">
        <v>0</v>
      </c>
      <c r="D11" s="10">
        <v>-26.506989999999998</v>
      </c>
      <c r="E11" s="9" t="e">
        <f t="shared" si="2"/>
        <v>#DIV/0!</v>
      </c>
      <c r="F11" s="9">
        <f t="shared" si="1"/>
        <v>-26.506989999999998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SUM(D13:D13)</f>
        <v>27.633299999999998</v>
      </c>
      <c r="E12" s="5">
        <f t="shared" si="0"/>
        <v>92.111000000000004</v>
      </c>
      <c r="F12" s="5">
        <f t="shared" si="1"/>
        <v>-2.3667000000000016</v>
      </c>
    </row>
    <row r="13" spans="1:6" ht="15.75" customHeight="1">
      <c r="A13" s="7">
        <v>1050300000</v>
      </c>
      <c r="B13" s="11" t="s">
        <v>229</v>
      </c>
      <c r="C13" s="12">
        <v>30</v>
      </c>
      <c r="D13" s="10">
        <v>27.633299999999998</v>
      </c>
      <c r="E13" s="9">
        <f t="shared" si="0"/>
        <v>92.111000000000004</v>
      </c>
      <c r="F13" s="9">
        <f t="shared" si="1"/>
        <v>-2.3667000000000016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2535</v>
      </c>
      <c r="D14" s="5">
        <f>D15+D16</f>
        <v>412.95457999999996</v>
      </c>
      <c r="E14" s="5">
        <f t="shared" si="0"/>
        <v>16.290121499013804</v>
      </c>
      <c r="F14" s="5">
        <f t="shared" si="1"/>
        <v>-2122.0454199999999</v>
      </c>
    </row>
    <row r="15" spans="1:6" s="6" customFormat="1" ht="15.75" customHeight="1">
      <c r="A15" s="7">
        <v>1060100000</v>
      </c>
      <c r="B15" s="11" t="s">
        <v>8</v>
      </c>
      <c r="C15" s="9">
        <v>295</v>
      </c>
      <c r="D15" s="10">
        <v>10.68309</v>
      </c>
      <c r="E15" s="9">
        <f t="shared" si="0"/>
        <v>3.6213864406779663</v>
      </c>
      <c r="F15" s="9">
        <f>SUM(D15-C15)</f>
        <v>-284.31691000000001</v>
      </c>
    </row>
    <row r="16" spans="1:6" ht="15.75" customHeight="1">
      <c r="A16" s="7">
        <v>1060600000</v>
      </c>
      <c r="B16" s="11" t="s">
        <v>7</v>
      </c>
      <c r="C16" s="9">
        <v>2240</v>
      </c>
      <c r="D16" s="10">
        <v>402.27148999999997</v>
      </c>
      <c r="E16" s="9">
        <f t="shared" si="0"/>
        <v>17.958548660714285</v>
      </c>
      <c r="F16" s="9">
        <f t="shared" si="1"/>
        <v>-1837.7285099999999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3.6</v>
      </c>
      <c r="E17" s="5">
        <f t="shared" si="0"/>
        <v>36</v>
      </c>
      <c r="F17" s="5">
        <f t="shared" si="1"/>
        <v>-6.4</v>
      </c>
    </row>
    <row r="18" spans="1:6" ht="15" customHeight="1">
      <c r="A18" s="7">
        <v>1080400001</v>
      </c>
      <c r="B18" s="8" t="s">
        <v>227</v>
      </c>
      <c r="C18" s="9">
        <v>10</v>
      </c>
      <c r="D18" s="10">
        <v>3.6</v>
      </c>
      <c r="E18" s="9">
        <f t="shared" si="0"/>
        <v>36</v>
      </c>
      <c r="F18" s="9">
        <f t="shared" si="1"/>
        <v>-6.4</v>
      </c>
    </row>
    <row r="19" spans="1:6" ht="1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0</v>
      </c>
      <c r="D25" s="5">
        <f>D26+D29+D31+D36+D34</f>
        <v>24.808959999999999</v>
      </c>
      <c r="E25" s="5" t="e">
        <f t="shared" si="0"/>
        <v>#DIV/0!</v>
      </c>
      <c r="F25" s="5">
        <f t="shared" si="1"/>
        <v>24.808959999999999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>
      <c r="A27" s="16">
        <v>1110501101</v>
      </c>
      <c r="B27" s="17" t="s">
        <v>225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13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7.25" hidden="1" customHeight="1">
      <c r="A29" s="68">
        <v>1130000000</v>
      </c>
      <c r="B29" s="69" t="s">
        <v>130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9.5" hidden="1" customHeight="1">
      <c r="A30" s="7">
        <v>1130206005</v>
      </c>
      <c r="B30" s="8" t="s">
        <v>14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5.5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hidden="1" customHeight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5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251</v>
      </c>
      <c r="C34" s="5">
        <f>C35</f>
        <v>0</v>
      </c>
      <c r="D34" s="5">
        <f>D35</f>
        <v>17.513960000000001</v>
      </c>
      <c r="E34" s="5" t="e">
        <f t="shared" si="0"/>
        <v>#DIV/0!</v>
      </c>
      <c r="F34" s="5">
        <f t="shared" si="1"/>
        <v>17.513960000000001</v>
      </c>
    </row>
    <row r="35" spans="1:7" ht="15" customHeight="1">
      <c r="A35" s="7">
        <v>1163305010</v>
      </c>
      <c r="B35" s="8" t="s">
        <v>267</v>
      </c>
      <c r="C35" s="9">
        <v>0</v>
      </c>
      <c r="D35" s="10">
        <v>17.513960000000001</v>
      </c>
      <c r="E35" s="9" t="e">
        <f t="shared" si="0"/>
        <v>#DIV/0!</v>
      </c>
      <c r="F35" s="9">
        <f t="shared" si="1"/>
        <v>17.513960000000001</v>
      </c>
    </row>
    <row r="36" spans="1:7" ht="15" customHeight="1">
      <c r="A36" s="3">
        <v>1170000000</v>
      </c>
      <c r="B36" s="13" t="s">
        <v>134</v>
      </c>
      <c r="C36" s="5">
        <f>C37+C38</f>
        <v>0</v>
      </c>
      <c r="D36" s="5">
        <f>D37+D38</f>
        <v>7.2949999999999999</v>
      </c>
      <c r="E36" s="5" t="e">
        <f t="shared" si="0"/>
        <v>#DIV/0!</v>
      </c>
      <c r="F36" s="5">
        <f t="shared" si="1"/>
        <v>7.2949999999999999</v>
      </c>
    </row>
    <row r="37" spans="1:7" ht="15" customHeight="1">
      <c r="A37" s="7">
        <v>1170105005</v>
      </c>
      <c r="B37" s="8" t="s">
        <v>17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1170505005</v>
      </c>
      <c r="B38" s="11" t="s">
        <v>220</v>
      </c>
      <c r="C38" s="9">
        <v>0</v>
      </c>
      <c r="D38" s="10">
        <v>7.2949999999999999</v>
      </c>
      <c r="E38" s="9" t="e">
        <f t="shared" si="0"/>
        <v>#DIV/0!</v>
      </c>
      <c r="F38" s="9">
        <f t="shared" si="1"/>
        <v>7.2949999999999999</v>
      </c>
    </row>
    <row r="39" spans="1:7" s="6" customFormat="1" ht="15" customHeight="1">
      <c r="A39" s="3">
        <v>1000000000</v>
      </c>
      <c r="B39" s="4" t="s">
        <v>18</v>
      </c>
      <c r="C39" s="127">
        <f>SUM(C4,C25)</f>
        <v>4541.1550000000007</v>
      </c>
      <c r="D39" s="127">
        <f>SUM(D4,D25)</f>
        <v>1397.7852399999999</v>
      </c>
      <c r="E39" s="5">
        <f t="shared" si="0"/>
        <v>30.780390451327904</v>
      </c>
      <c r="F39" s="5">
        <f t="shared" si="1"/>
        <v>-3143.3697600000005</v>
      </c>
    </row>
    <row r="40" spans="1:7" s="6" customFormat="1" ht="20.25" customHeight="1">
      <c r="A40" s="3">
        <v>2000000000</v>
      </c>
      <c r="B40" s="4" t="s">
        <v>19</v>
      </c>
      <c r="C40" s="5">
        <f>C41+C43+C45+C46+C48+C49+C42+C44+C51+C47</f>
        <v>6028.0687099999996</v>
      </c>
      <c r="D40" s="339">
        <f>D41+D43+D45+D46+D48+D49+D42+D44+D51</f>
        <v>1138.4954700000001</v>
      </c>
      <c r="E40" s="5">
        <f t="shared" si="0"/>
        <v>18.886570886482151</v>
      </c>
      <c r="F40" s="5">
        <f t="shared" si="1"/>
        <v>-4889.5732399999997</v>
      </c>
      <c r="G40" s="19"/>
    </row>
    <row r="41" spans="1:7" ht="15.75" customHeight="1">
      <c r="A41" s="16">
        <v>2021500200</v>
      </c>
      <c r="B41" s="17" t="s">
        <v>441</v>
      </c>
      <c r="C41" s="12">
        <v>200</v>
      </c>
      <c r="D41" s="20">
        <v>0</v>
      </c>
      <c r="E41" s="9">
        <f t="shared" si="0"/>
        <v>0</v>
      </c>
      <c r="F41" s="9">
        <f t="shared" si="1"/>
        <v>-200</v>
      </c>
    </row>
    <row r="42" spans="1:7" ht="15.75" customHeight="1">
      <c r="A42" s="16">
        <v>2020100310</v>
      </c>
      <c r="B42" s="17" t="s">
        <v>231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21</v>
      </c>
      <c r="C43" s="12">
        <v>4758.9176399999997</v>
      </c>
      <c r="D43" s="10">
        <v>175.83</v>
      </c>
      <c r="E43" s="9">
        <f t="shared" si="0"/>
        <v>3.6947476989746777</v>
      </c>
      <c r="F43" s="9">
        <f t="shared" si="1"/>
        <v>-4583.0876399999997</v>
      </c>
    </row>
    <row r="44" spans="1:7" hidden="1">
      <c r="A44" s="16">
        <v>2022999910</v>
      </c>
      <c r="B44" s="18" t="s">
        <v>349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22</v>
      </c>
      <c r="C45" s="12">
        <v>181.68199999999999</v>
      </c>
      <c r="D45" s="248">
        <v>75.196399999999997</v>
      </c>
      <c r="E45" s="9">
        <f t="shared" si="0"/>
        <v>41.389020376261819</v>
      </c>
      <c r="F45" s="9">
        <f t="shared" si="1"/>
        <v>-106.48559999999999</v>
      </c>
    </row>
    <row r="46" spans="1:7" ht="12.75" customHeight="1">
      <c r="A46" s="16">
        <v>2020400000</v>
      </c>
      <c r="B46" s="17" t="s">
        <v>23</v>
      </c>
      <c r="C46" s="12">
        <v>0</v>
      </c>
      <c r="D46" s="249">
        <v>0</v>
      </c>
      <c r="E46" s="9" t="e">
        <f t="shared" si="0"/>
        <v>#DIV/0!</v>
      </c>
      <c r="F46" s="9">
        <f t="shared" si="1"/>
        <v>0</v>
      </c>
    </row>
    <row r="47" spans="1:7" ht="12.75" customHeight="1">
      <c r="A47" s="16">
        <v>2020700000</v>
      </c>
      <c r="B47" s="17" t="s">
        <v>356</v>
      </c>
      <c r="C47" s="12">
        <v>0</v>
      </c>
      <c r="D47" s="249"/>
      <c r="E47" s="9"/>
      <c r="F47" s="9"/>
    </row>
    <row r="48" spans="1:7" ht="15" customHeight="1">
      <c r="A48" s="16">
        <v>2020900000</v>
      </c>
      <c r="B48" s="18" t="s">
        <v>24</v>
      </c>
      <c r="C48" s="12">
        <v>0</v>
      </c>
      <c r="D48" s="249">
        <v>0</v>
      </c>
      <c r="E48" s="9" t="e">
        <f t="shared" si="0"/>
        <v>#DIV/0!</v>
      </c>
      <c r="F48" s="9">
        <f t="shared" si="1"/>
        <v>0</v>
      </c>
    </row>
    <row r="49" spans="1:7" ht="15.75" customHeight="1">
      <c r="A49" s="7">
        <v>2190500005</v>
      </c>
      <c r="B49" s="11" t="s">
        <v>25</v>
      </c>
      <c r="C49" s="14">
        <v>0</v>
      </c>
      <c r="D49" s="14">
        <v>0</v>
      </c>
      <c r="E49" s="5" t="e">
        <f>SUM(D49/C49*100)</f>
        <v>#DIV/0!</v>
      </c>
      <c r="F49" s="5">
        <f>SUM(D49-C49)</f>
        <v>0</v>
      </c>
    </row>
    <row r="50" spans="1:7" s="6" customFormat="1" ht="18" customHeight="1">
      <c r="A50" s="3">
        <v>3000000000</v>
      </c>
      <c r="B50" s="13" t="s">
        <v>26</v>
      </c>
      <c r="C50" s="27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7">
        <v>2070500010</v>
      </c>
      <c r="B51" s="8" t="s">
        <v>351</v>
      </c>
      <c r="C51" s="12">
        <v>887.46906999999999</v>
      </c>
      <c r="D51" s="10">
        <v>887.46906999999999</v>
      </c>
      <c r="E51" s="9">
        <f t="shared" si="0"/>
        <v>100</v>
      </c>
      <c r="F51" s="9">
        <f t="shared" si="1"/>
        <v>0</v>
      </c>
    </row>
    <row r="52" spans="1:7" s="6" customFormat="1" ht="15.75" customHeight="1">
      <c r="A52" s="3"/>
      <c r="B52" s="4" t="s">
        <v>27</v>
      </c>
      <c r="C52" s="363">
        <f>C39+C40</f>
        <v>10569.22371</v>
      </c>
      <c r="D52" s="364">
        <f>D39+D40</f>
        <v>2536.28071</v>
      </c>
      <c r="E52" s="5">
        <f t="shared" si="0"/>
        <v>23.996849528317913</v>
      </c>
      <c r="F52" s="5">
        <f t="shared" si="1"/>
        <v>-8032.9430000000002</v>
      </c>
      <c r="G52" s="94"/>
    </row>
    <row r="53" spans="1:7" s="6" customFormat="1">
      <c r="A53" s="3"/>
      <c r="B53" s="21" t="s">
        <v>321</v>
      </c>
      <c r="C53" s="93">
        <f>C52-C103</f>
        <v>-785.19563000000016</v>
      </c>
      <c r="D53" s="93">
        <f>D52-D103</f>
        <v>1000.4254599999999</v>
      </c>
      <c r="E53" s="22"/>
      <c r="F53" s="22"/>
    </row>
    <row r="54" spans="1:7">
      <c r="A54" s="23"/>
      <c r="B54" s="24"/>
      <c r="C54" s="247"/>
      <c r="D54" s="247"/>
      <c r="E54" s="26"/>
      <c r="F54" s="92"/>
    </row>
    <row r="55" spans="1:7" ht="42.75" customHeight="1">
      <c r="A55" s="28" t="s">
        <v>0</v>
      </c>
      <c r="B55" s="28" t="s">
        <v>28</v>
      </c>
      <c r="C55" s="240" t="s">
        <v>411</v>
      </c>
      <c r="D55" s="241" t="s">
        <v>419</v>
      </c>
      <c r="E55" s="72" t="s">
        <v>2</v>
      </c>
      <c r="F55" s="74" t="s">
        <v>3</v>
      </c>
    </row>
    <row r="56" spans="1:7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29.25" customHeight="1">
      <c r="A57" s="30" t="s">
        <v>29</v>
      </c>
      <c r="B57" s="31" t="s">
        <v>30</v>
      </c>
      <c r="C57" s="243">
        <f>C58+C59+C60+C61+C62+C64+C63</f>
        <v>2124.7999999999997</v>
      </c>
      <c r="D57" s="32">
        <f>D58+D59+D60+D61+D62+D64+D63</f>
        <v>714.92716999999993</v>
      </c>
      <c r="E57" s="34">
        <f>SUM(D57/C57*100)</f>
        <v>33.646798286897592</v>
      </c>
      <c r="F57" s="34">
        <f>SUM(D57-C57)</f>
        <v>-1409.8728299999998</v>
      </c>
    </row>
    <row r="58" spans="1:7" s="6" customFormat="1" ht="31.5" hidden="1">
      <c r="A58" s="35" t="s">
        <v>31</v>
      </c>
      <c r="B58" s="36" t="s">
        <v>32</v>
      </c>
      <c r="C58" s="37"/>
      <c r="D58" s="37"/>
      <c r="E58" s="38"/>
      <c r="F58" s="38"/>
    </row>
    <row r="59" spans="1:7">
      <c r="A59" s="35" t="s">
        <v>33</v>
      </c>
      <c r="B59" s="39" t="s">
        <v>34</v>
      </c>
      <c r="C59" s="37">
        <v>2115.3229999999999</v>
      </c>
      <c r="D59" s="37">
        <v>710.45016999999996</v>
      </c>
      <c r="E59" s="38">
        <f t="shared" ref="E59:E103" si="3">SUM(D59/C59*100)</f>
        <v>33.585895392807622</v>
      </c>
      <c r="F59" s="38">
        <f t="shared" ref="F59:F103" si="4">SUM(D59-C59)</f>
        <v>-1404.8728299999998</v>
      </c>
    </row>
    <row r="60" spans="1:7" ht="0.75" hidden="1" customHeight="1">
      <c r="A60" s="35" t="s">
        <v>35</v>
      </c>
      <c r="B60" s="39" t="s">
        <v>36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37</v>
      </c>
      <c r="B61" s="39" t="s">
        <v>38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>
      <c r="A62" s="35" t="s">
        <v>39</v>
      </c>
      <c r="B62" s="39" t="s">
        <v>40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41</v>
      </c>
      <c r="B63" s="39" t="s">
        <v>42</v>
      </c>
      <c r="C63" s="40">
        <v>5</v>
      </c>
      <c r="D63" s="40">
        <v>0</v>
      </c>
      <c r="E63" s="38">
        <f>SUM(D63/C63*100)</f>
        <v>0</v>
      </c>
      <c r="F63" s="38">
        <f t="shared" si="4"/>
        <v>-5</v>
      </c>
    </row>
    <row r="64" spans="1:7" ht="18" customHeight="1">
      <c r="A64" s="35" t="s">
        <v>43</v>
      </c>
      <c r="B64" s="39" t="s">
        <v>44</v>
      </c>
      <c r="C64" s="37">
        <v>4.4770000000000003</v>
      </c>
      <c r="D64" s="37">
        <v>4.4770000000000003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45</v>
      </c>
      <c r="B65" s="42" t="s">
        <v>46</v>
      </c>
      <c r="C65" s="32">
        <f>C66</f>
        <v>179.892</v>
      </c>
      <c r="D65" s="32">
        <f>D66</f>
        <v>58.789560000000002</v>
      </c>
      <c r="E65" s="34">
        <f t="shared" si="3"/>
        <v>32.680474951637649</v>
      </c>
      <c r="F65" s="34">
        <f t="shared" si="4"/>
        <v>-121.10244</v>
      </c>
    </row>
    <row r="66" spans="1:7">
      <c r="A66" s="43" t="s">
        <v>47</v>
      </c>
      <c r="B66" s="44" t="s">
        <v>48</v>
      </c>
      <c r="C66" s="37">
        <v>179.892</v>
      </c>
      <c r="D66" s="37">
        <v>58.789560000000002</v>
      </c>
      <c r="E66" s="38">
        <f t="shared" si="3"/>
        <v>32.680474951637649</v>
      </c>
      <c r="F66" s="38">
        <f t="shared" si="4"/>
        <v>-121.10244</v>
      </c>
    </row>
    <row r="67" spans="1:7" s="6" customFormat="1" ht="15" customHeight="1">
      <c r="A67" s="30" t="s">
        <v>49</v>
      </c>
      <c r="B67" s="31" t="s">
        <v>50</v>
      </c>
      <c r="C67" s="32">
        <f>C70+C71+C72</f>
        <v>9</v>
      </c>
      <c r="D67" s="32">
        <f>D70+D71</f>
        <v>0.6</v>
      </c>
      <c r="E67" s="34">
        <f t="shared" si="3"/>
        <v>6.666666666666667</v>
      </c>
      <c r="F67" s="34">
        <f t="shared" si="4"/>
        <v>-8.4</v>
      </c>
    </row>
    <row r="68" spans="1:7" hidden="1">
      <c r="A68" s="3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53</v>
      </c>
      <c r="B69" s="39" t="s">
        <v>54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55</v>
      </c>
      <c r="B70" s="47" t="s">
        <v>56</v>
      </c>
      <c r="C70" s="9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218</v>
      </c>
      <c r="B71" s="47" t="s">
        <v>219</v>
      </c>
      <c r="C71" s="37">
        <v>5</v>
      </c>
      <c r="D71" s="37">
        <v>0.6</v>
      </c>
      <c r="E71" s="34">
        <f t="shared" si="3"/>
        <v>12</v>
      </c>
      <c r="F71" s="34">
        <f t="shared" si="4"/>
        <v>-4.4000000000000004</v>
      </c>
    </row>
    <row r="72" spans="1:7" ht="15.75" customHeight="1">
      <c r="A72" s="46" t="s">
        <v>357</v>
      </c>
      <c r="B72" s="47" t="s">
        <v>415</v>
      </c>
      <c r="C72" s="37">
        <v>2</v>
      </c>
      <c r="D72" s="37"/>
      <c r="E72" s="34"/>
      <c r="F72" s="34"/>
    </row>
    <row r="73" spans="1:7" s="6" customFormat="1" ht="17.25" customHeight="1">
      <c r="A73" s="30" t="s">
        <v>57</v>
      </c>
      <c r="B73" s="31" t="s">
        <v>58</v>
      </c>
      <c r="C73" s="48">
        <f>SUM(C74:C77)</f>
        <v>6768.4988400000002</v>
      </c>
      <c r="D73" s="48">
        <f>SUM(D74:D77)</f>
        <v>315.05119999999999</v>
      </c>
      <c r="E73" s="34">
        <f t="shared" si="3"/>
        <v>4.654668744835007</v>
      </c>
      <c r="F73" s="34">
        <f t="shared" si="4"/>
        <v>-6453.4476400000003</v>
      </c>
    </row>
    <row r="74" spans="1:7" ht="15" customHeight="1">
      <c r="A74" s="35" t="s">
        <v>59</v>
      </c>
      <c r="B74" s="39" t="s">
        <v>60</v>
      </c>
      <c r="C74" s="49">
        <v>4.0214999999999996</v>
      </c>
      <c r="D74" s="37">
        <v>1.3405</v>
      </c>
      <c r="E74" s="38">
        <f t="shared" si="3"/>
        <v>33.333333333333336</v>
      </c>
      <c r="F74" s="38">
        <f t="shared" si="4"/>
        <v>-2.6809999999999996</v>
      </c>
    </row>
    <row r="75" spans="1:7" s="6" customFormat="1" ht="15" customHeight="1">
      <c r="A75" s="35" t="s">
        <v>61</v>
      </c>
      <c r="B75" s="39" t="s">
        <v>62</v>
      </c>
      <c r="C75" s="49">
        <v>268</v>
      </c>
      <c r="D75" s="37">
        <v>113.90298</v>
      </c>
      <c r="E75" s="38">
        <f t="shared" si="3"/>
        <v>42.501111940298507</v>
      </c>
      <c r="F75" s="38">
        <f t="shared" si="4"/>
        <v>-154.09701999999999</v>
      </c>
      <c r="G75" s="50"/>
    </row>
    <row r="76" spans="1:7">
      <c r="A76" s="35" t="s">
        <v>63</v>
      </c>
      <c r="B76" s="39" t="s">
        <v>64</v>
      </c>
      <c r="C76" s="49">
        <v>6479.4773400000004</v>
      </c>
      <c r="D76" s="37">
        <v>199.80771999999999</v>
      </c>
      <c r="E76" s="38">
        <f t="shared" si="3"/>
        <v>3.0837011924792068</v>
      </c>
      <c r="F76" s="38">
        <f t="shared" si="4"/>
        <v>-6279.6696200000006</v>
      </c>
    </row>
    <row r="77" spans="1:7">
      <c r="A77" s="35" t="s">
        <v>65</v>
      </c>
      <c r="B77" s="39" t="s">
        <v>66</v>
      </c>
      <c r="C77" s="49">
        <v>17</v>
      </c>
      <c r="D77" s="37">
        <v>0</v>
      </c>
      <c r="E77" s="38">
        <f t="shared" si="3"/>
        <v>0</v>
      </c>
      <c r="F77" s="38">
        <f t="shared" si="4"/>
        <v>-17</v>
      </c>
    </row>
    <row r="78" spans="1:7" s="6" customFormat="1" ht="17.25" customHeight="1">
      <c r="A78" s="30" t="s">
        <v>67</v>
      </c>
      <c r="B78" s="31" t="s">
        <v>68</v>
      </c>
      <c r="C78" s="32">
        <f>SUM(C79:C82)</f>
        <v>830.52850000000001</v>
      </c>
      <c r="D78" s="32">
        <f>SUM(D79:D82)</f>
        <v>201.20331999999999</v>
      </c>
      <c r="E78" s="34">
        <f t="shared" si="3"/>
        <v>24.22593806233019</v>
      </c>
      <c r="F78" s="34">
        <f t="shared" si="4"/>
        <v>-629.32518000000005</v>
      </c>
    </row>
    <row r="79" spans="1:7" ht="17.25" hidden="1" customHeight="1">
      <c r="A79" s="35" t="s">
        <v>69</v>
      </c>
      <c r="B79" s="51" t="s">
        <v>70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5" hidden="1" customHeight="1">
      <c r="A80" s="35" t="s">
        <v>71</v>
      </c>
      <c r="B80" s="51" t="s">
        <v>72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ht="18" customHeight="1">
      <c r="A81" s="35" t="s">
        <v>73</v>
      </c>
      <c r="B81" s="39" t="s">
        <v>74</v>
      </c>
      <c r="C81" s="37">
        <v>830.52850000000001</v>
      </c>
      <c r="D81" s="37">
        <v>201.20331999999999</v>
      </c>
      <c r="E81" s="38">
        <f t="shared" si="3"/>
        <v>24.22593806233019</v>
      </c>
      <c r="F81" s="38">
        <f t="shared" si="4"/>
        <v>-629.32518000000005</v>
      </c>
    </row>
    <row r="82" spans="1:6" hidden="1">
      <c r="A82" s="35" t="s">
        <v>263</v>
      </c>
      <c r="B82" s="39" t="s">
        <v>264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ht="20.25" customHeight="1">
      <c r="A83" s="30" t="s">
        <v>85</v>
      </c>
      <c r="B83" s="31" t="s">
        <v>86</v>
      </c>
      <c r="C83" s="32">
        <f>C84+C85</f>
        <v>1411.7</v>
      </c>
      <c r="D83" s="32">
        <f>D84+D85</f>
        <v>235.28399999999999</v>
      </c>
      <c r="E83" s="34">
        <f t="shared" si="3"/>
        <v>16.666713891053337</v>
      </c>
      <c r="F83" s="34">
        <f t="shared" si="4"/>
        <v>-1176.4160000000002</v>
      </c>
    </row>
    <row r="84" spans="1:6" ht="18" customHeight="1">
      <c r="A84" s="35" t="s">
        <v>87</v>
      </c>
      <c r="B84" s="39" t="s">
        <v>233</v>
      </c>
      <c r="C84" s="37">
        <v>1411.7</v>
      </c>
      <c r="D84" s="37">
        <v>235.28399999999999</v>
      </c>
      <c r="E84" s="38">
        <f t="shared" si="3"/>
        <v>16.666713891053337</v>
      </c>
      <c r="F84" s="38">
        <f t="shared" si="4"/>
        <v>-1176.4160000000002</v>
      </c>
    </row>
    <row r="85" spans="1:6" hidden="1">
      <c r="A85" s="35" t="s">
        <v>272</v>
      </c>
      <c r="B85" s="39" t="s">
        <v>273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s="6" customFormat="1" hidden="1">
      <c r="A86" s="52">
        <v>1000</v>
      </c>
      <c r="B86" s="31" t="s">
        <v>88</v>
      </c>
      <c r="C86" s="32">
        <f>SUM(C87:C90)</f>
        <v>0</v>
      </c>
      <c r="D86" s="32">
        <f>SUM(D87:D90)</f>
        <v>0</v>
      </c>
      <c r="E86" s="38" t="e">
        <f t="shared" si="3"/>
        <v>#DIV/0!</v>
      </c>
      <c r="F86" s="38">
        <f t="shared" si="4"/>
        <v>0</v>
      </c>
    </row>
    <row r="87" spans="1:6" hidden="1">
      <c r="A87" s="53">
        <v>1001</v>
      </c>
      <c r="B87" s="54" t="s">
        <v>89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53">
        <v>1003</v>
      </c>
      <c r="B88" s="54" t="s">
        <v>90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5" hidden="1" customHeight="1">
      <c r="A89" s="53">
        <v>1004</v>
      </c>
      <c r="B89" s="54" t="s">
        <v>91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8" hidden="1" customHeight="1">
      <c r="A90" s="35" t="s">
        <v>92</v>
      </c>
      <c r="B90" s="39" t="s">
        <v>93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8.75" hidden="1" customHeight="1">
      <c r="A91" s="52">
        <v>1000</v>
      </c>
      <c r="B91" s="31" t="s">
        <v>88</v>
      </c>
      <c r="C91" s="32">
        <f>SUM(C92)</f>
        <v>0</v>
      </c>
      <c r="D91" s="32">
        <f>SUM(D92)</f>
        <v>0</v>
      </c>
      <c r="E91" s="34" t="e">
        <f t="shared" si="3"/>
        <v>#DIV/0!</v>
      </c>
      <c r="F91" s="34">
        <f t="shared" si="4"/>
        <v>0</v>
      </c>
    </row>
    <row r="92" spans="1:6" ht="20.25" hidden="1" customHeight="1">
      <c r="A92" s="53">
        <v>1006</v>
      </c>
      <c r="B92" s="54" t="s">
        <v>89</v>
      </c>
      <c r="C92" s="37">
        <v>0</v>
      </c>
      <c r="D92" s="37">
        <v>0</v>
      </c>
      <c r="E92" s="38" t="e">
        <f t="shared" si="3"/>
        <v>#DIV/0!</v>
      </c>
      <c r="F92" s="38">
        <f t="shared" si="4"/>
        <v>0</v>
      </c>
    </row>
    <row r="93" spans="1:6" ht="16.5" customHeight="1">
      <c r="A93" s="53">
        <v>1100</v>
      </c>
      <c r="B93" s="56" t="s">
        <v>95</v>
      </c>
      <c r="C93" s="32">
        <f>C94+C95+C96+C97+C98</f>
        <v>30</v>
      </c>
      <c r="D93" s="32">
        <f>D94+D95+D96+D97+D98</f>
        <v>10</v>
      </c>
      <c r="E93" s="38">
        <f t="shared" si="3"/>
        <v>33.333333333333329</v>
      </c>
      <c r="F93" s="22">
        <f>F94+F95+F96+F97+F98</f>
        <v>-20</v>
      </c>
    </row>
    <row r="94" spans="1:6" ht="18.75" customHeight="1">
      <c r="A94" s="53">
        <v>1101</v>
      </c>
      <c r="B94" s="54" t="s">
        <v>97</v>
      </c>
      <c r="C94" s="37">
        <v>30</v>
      </c>
      <c r="D94" s="37">
        <v>10</v>
      </c>
      <c r="E94" s="38">
        <f t="shared" si="3"/>
        <v>33.333333333333329</v>
      </c>
      <c r="F94" s="38">
        <f>SUM(D94-C94)</f>
        <v>-20</v>
      </c>
    </row>
    <row r="95" spans="1:6" ht="0.75" hidden="1" customHeight="1">
      <c r="A95" s="35" t="s">
        <v>92</v>
      </c>
      <c r="B95" s="39" t="s">
        <v>93</v>
      </c>
      <c r="C95" s="37"/>
      <c r="D95" s="37"/>
      <c r="E95" s="38" t="e">
        <f t="shared" si="3"/>
        <v>#DIV/0!</v>
      </c>
      <c r="F95" s="38">
        <f>SUM(D95-C95)</f>
        <v>0</v>
      </c>
    </row>
    <row r="96" spans="1:6" ht="18" hidden="1" customHeight="1">
      <c r="A96" s="35" t="s">
        <v>100</v>
      </c>
      <c r="B96" s="39" t="s">
        <v>101</v>
      </c>
      <c r="C96" s="37"/>
      <c r="D96" s="37"/>
      <c r="E96" s="38" t="e">
        <f t="shared" si="3"/>
        <v>#DIV/0!</v>
      </c>
      <c r="F96" s="38"/>
    </row>
    <row r="97" spans="1:6" ht="17.25" hidden="1" customHeight="1">
      <c r="A97" s="35" t="s">
        <v>102</v>
      </c>
      <c r="B97" s="39" t="s">
        <v>103</v>
      </c>
      <c r="C97" s="37"/>
      <c r="D97" s="37"/>
      <c r="E97" s="38" t="e">
        <f t="shared" si="3"/>
        <v>#DIV/0!</v>
      </c>
      <c r="F97" s="38"/>
    </row>
    <row r="98" spans="1:6" ht="18" hidden="1" customHeight="1">
      <c r="A98" s="35" t="s">
        <v>104</v>
      </c>
      <c r="B98" s="39" t="s">
        <v>105</v>
      </c>
      <c r="C98" s="37"/>
      <c r="D98" s="37"/>
      <c r="E98" s="38" t="e">
        <f t="shared" si="3"/>
        <v>#DIV/0!</v>
      </c>
      <c r="F98" s="38"/>
    </row>
    <row r="99" spans="1:6" s="6" customFormat="1" ht="57.75" hidden="1" customHeight="1">
      <c r="A99" s="52">
        <v>1400</v>
      </c>
      <c r="B99" s="56" t="s">
        <v>114</v>
      </c>
      <c r="C99" s="48">
        <f>C100+C101+C102</f>
        <v>0</v>
      </c>
      <c r="D99" s="48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.5" hidden="1" customHeight="1">
      <c r="A100" s="53">
        <v>1401</v>
      </c>
      <c r="B100" s="54" t="s">
        <v>115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ht="16.5" hidden="1" customHeight="1">
      <c r="A101" s="53">
        <v>1402</v>
      </c>
      <c r="B101" s="54" t="s">
        <v>116</v>
      </c>
      <c r="C101" s="49"/>
      <c r="D101" s="37"/>
      <c r="E101" s="38" t="e">
        <f t="shared" si="3"/>
        <v>#DIV/0!</v>
      </c>
      <c r="F101" s="38">
        <f t="shared" si="4"/>
        <v>0</v>
      </c>
    </row>
    <row r="102" spans="1:6" ht="20.25" hidden="1" customHeight="1">
      <c r="A102" s="53">
        <v>1403</v>
      </c>
      <c r="B102" s="54" t="s">
        <v>117</v>
      </c>
      <c r="C102" s="49"/>
      <c r="D102" s="37"/>
      <c r="E102" s="38" t="e">
        <f t="shared" si="3"/>
        <v>#DIV/0!</v>
      </c>
      <c r="F102" s="38">
        <f t="shared" si="4"/>
        <v>0</v>
      </c>
    </row>
    <row r="103" spans="1:6" s="6" customFormat="1" ht="14.25" customHeight="1">
      <c r="A103" s="52"/>
      <c r="B103" s="57" t="s">
        <v>118</v>
      </c>
      <c r="C103" s="366">
        <f>C57+C65+C67+C73+C78+C83+C86+C93+C99+C91</f>
        <v>11354.41934</v>
      </c>
      <c r="D103" s="366">
        <f>D57+D65+D67+D73+D78+D83+D86+D93+D99+D91</f>
        <v>1535.8552500000001</v>
      </c>
      <c r="E103" s="34">
        <f t="shared" si="3"/>
        <v>13.526497516164484</v>
      </c>
      <c r="F103" s="34">
        <f t="shared" si="4"/>
        <v>-9818.5640899999999</v>
      </c>
    </row>
    <row r="104" spans="1:6">
      <c r="D104" s="242"/>
    </row>
    <row r="105" spans="1:6" s="65" customFormat="1" ht="12.75">
      <c r="A105" s="63" t="s">
        <v>119</v>
      </c>
      <c r="B105" s="63"/>
      <c r="C105" s="119"/>
      <c r="D105" s="64"/>
    </row>
    <row r="106" spans="1:6" s="65" customFormat="1" ht="18.75" customHeight="1">
      <c r="A106" s="66" t="s">
        <v>120</v>
      </c>
      <c r="B106" s="66"/>
      <c r="C106" s="65" t="s">
        <v>121</v>
      </c>
    </row>
    <row r="143" hidden="1"/>
  </sheetData>
  <customSheetViews>
    <customSheetView guid="{61528DAC-5C4C-48F4-ADE2-8A724B05A086}" scale="70" showPageBreaks="1" hiddenRows="1" view="pageBreakPreview" topLeftCell="A28">
      <selection activeCell="D94" sqref="D94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86" showPageBreaks="1" hiddenRows="1" view="pageBreakPreview">
      <selection activeCell="C102" sqref="C102"/>
      <pageMargins left="0.7" right="0.7" top="0.75" bottom="0.75" header="0.3" footer="0.3"/>
      <pageSetup paperSize="9" scale="53" orientation="portrait" r:id="rId2"/>
    </customSheetView>
    <customSheetView guid="{1A52382B-3765-4E8C-903F-6B8919B7242E}" scale="86" showPageBreaks="1" hiddenRows="1" view="pageBreakPreview" topLeftCell="A46">
      <selection activeCell="J91" sqref="J91"/>
      <pageMargins left="0.7" right="0.7" top="0.75" bottom="0.75" header="0.3" footer="0.3"/>
      <pageSetup paperSize="9" scale="52" orientation="portrait" r:id="rId3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4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5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6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B31C8DB7-3E78-4144-A6B5-8DE36DE63F0E}" scale="86" showPageBreaks="1" hiddenRows="1" view="pageBreakPreview">
      <selection activeCell="C102" sqref="C102"/>
      <pageMargins left="0.7" right="0.7" top="0.75" bottom="0.75" header="0.3" footer="0.3"/>
      <pageSetup paperSize="9" scale="53" orientation="portrait" r:id="rId8"/>
    </customSheetView>
    <customSheetView guid="{B30CE22D-C12F-4E12-8BB9-3AAE0A6991CC}" scale="70" showPageBreaks="1" hiddenRows="1" view="pageBreakPreview">
      <selection activeCell="C48" sqref="C48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11</vt:i4>
      </vt:variant>
    </vt:vector>
  </HeadingPairs>
  <TitlesOfParts>
    <vt:vector size="32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Лист1</vt:lpstr>
      <vt:lpstr>Лист2</vt:lpstr>
      <vt:lpstr>Але!Область_печати</vt:lpstr>
      <vt:lpstr>Иль!Область_печати</vt:lpstr>
      <vt:lpstr>Консол!Область_печати</vt:lpstr>
      <vt:lpstr>Мор!Область_печати</vt:lpstr>
      <vt:lpstr>Справка!Область_печати</vt:lpstr>
      <vt:lpstr>Сун!Область_печати</vt:lpstr>
      <vt:lpstr>Тор!Область_печати</vt:lpstr>
      <vt:lpstr>Чум!Область_печати</vt:lpstr>
      <vt:lpstr>Юнг!Область_печати</vt:lpstr>
      <vt:lpstr>Юсь!Область_печати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поселение</cp:lastModifiedBy>
  <cp:lastPrinted>2019-06-07T13:09:31Z</cp:lastPrinted>
  <dcterms:created xsi:type="dcterms:W3CDTF">1996-10-08T23:32:33Z</dcterms:created>
  <dcterms:modified xsi:type="dcterms:W3CDTF">2019-12-27T13:30:14Z</dcterms:modified>
</cp:coreProperties>
</file>